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K:\SASD\22CAFR\Packages\SIG\"/>
    </mc:Choice>
  </mc:AlternateContent>
  <xr:revisionPtr revIDLastSave="0" documentId="13_ncr:1_{B4AF2E9E-E708-4B08-9ADE-2201329AC066}" xr6:coauthVersionLast="47" xr6:coauthVersionMax="47" xr10:uidLastSave="{00000000-0000-0000-0000-000000000000}"/>
  <bookViews>
    <workbookView xWindow="345" yWindow="150" windowWidth="27975" windowHeight="15450" tabRatio="923"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201" sheetId="5" r:id="rId9"/>
    <sheet name="202" sheetId="112" r:id="rId10"/>
    <sheet name="203" sheetId="113" r:id="rId11"/>
    <sheet name="210" sheetId="8" r:id="rId12"/>
    <sheet name="215" sheetId="9" r:id="rId13"/>
    <sheet name="220" sheetId="10" r:id="rId14"/>
    <sheet name="301" sheetId="11" r:id="rId15"/>
    <sheet name="305" sheetId="12" r:id="rId16"/>
    <sheet name="310" sheetId="13" r:id="rId17"/>
    <sheet name="315" sheetId="14" r:id="rId18"/>
    <sheet name="320" sheetId="15" r:id="rId19"/>
    <sheet name="322" sheetId="16" r:id="rId20"/>
    <sheet name="323" sheetId="115" r:id="rId21"/>
    <sheet name="325" sheetId="17" r:id="rId22"/>
    <sheet name="330" sheetId="18" r:id="rId23"/>
    <sheet name="338" sheetId="95" r:id="rId24"/>
    <sheet name="340" sheetId="19" r:id="rId25"/>
    <sheet name="341" sheetId="20" r:id="rId26"/>
    <sheet name="342" sheetId="21" r:id="rId27"/>
    <sheet name="345" sheetId="22" r:id="rId28"/>
    <sheet name="350" sheetId="23" r:id="rId29"/>
    <sheet name="355" sheetId="24" r:id="rId30"/>
    <sheet name="365" sheetId="25" r:id="rId31"/>
    <sheet name="370" sheetId="26" r:id="rId32"/>
    <sheet name="375-A" sheetId="119" r:id="rId33"/>
    <sheet name="375-B" sheetId="120" r:id="rId34"/>
    <sheet name="401" sheetId="28" r:id="rId35"/>
    <sheet name="405" sheetId="29" r:id="rId36"/>
    <sheet name="410" sheetId="30" r:id="rId37"/>
    <sheet name="415" sheetId="31" r:id="rId38"/>
    <sheet name="420" sheetId="32" r:id="rId39"/>
    <sheet name="425" sheetId="33" r:id="rId40"/>
    <sheet name="430G" sheetId="34" r:id="rId41"/>
    <sheet name="430BTA" sheetId="94" r:id="rId42"/>
    <sheet name="430F" sheetId="118" r:id="rId43"/>
    <sheet name="431G" sheetId="35" r:id="rId44"/>
    <sheet name="431BTA" sheetId="98" r:id="rId45"/>
    <sheet name="501" sheetId="36" r:id="rId46"/>
    <sheet name="505" sheetId="37" r:id="rId47"/>
    <sheet name="510" sheetId="38" r:id="rId48"/>
    <sheet name="515" sheetId="39" r:id="rId49"/>
    <sheet name="520" sheetId="40" r:id="rId50"/>
    <sheet name="525" sheetId="41" r:id="rId51"/>
    <sheet name="530" sheetId="42" r:id="rId52"/>
    <sheet name="535" sheetId="43" r:id="rId53"/>
    <sheet name="540" sheetId="109" r:id="rId54"/>
    <sheet name="545" sheetId="110" r:id="rId55"/>
    <sheet name="550" sheetId="106" r:id="rId56"/>
    <sheet name="555" sheetId="107" r:id="rId57"/>
    <sheet name="560" sheetId="108" r:id="rId58"/>
    <sheet name="565" sheetId="46" r:id="rId59"/>
    <sheet name="570" sheetId="47" r:id="rId60"/>
    <sheet name="602" sheetId="117" r:id="rId61"/>
    <sheet name="605" sheetId="49" r:id="rId62"/>
    <sheet name="610" sheetId="50" r:id="rId63"/>
    <sheet name="615" sheetId="51" r:id="rId64"/>
    <sheet name="616" sheetId="105" r:id="rId65"/>
    <sheet name="620" sheetId="52" r:id="rId66"/>
    <sheet name="625" sheetId="53" r:id="rId67"/>
    <sheet name="635" sheetId="55" r:id="rId68"/>
    <sheet name="640" sheetId="104" r:id="rId69"/>
    <sheet name="705" sheetId="56" r:id="rId70"/>
    <sheet name="710" sheetId="57" r:id="rId71"/>
    <sheet name="715" sheetId="59" r:id="rId72"/>
    <sheet name="720" sheetId="60" r:id="rId73"/>
    <sheet name="725" sheetId="61" r:id="rId74"/>
    <sheet name="730" sheetId="62" r:id="rId75"/>
    <sheet name="735" sheetId="63" r:id="rId76"/>
    <sheet name="740" sheetId="64" r:id="rId77"/>
    <sheet name="745" sheetId="65" r:id="rId78"/>
    <sheet name="755" sheetId="101" r:id="rId79"/>
    <sheet name="756" sheetId="58" r:id="rId80"/>
    <sheet name="760" sheetId="100" r:id="rId81"/>
    <sheet name="765" sheetId="99" r:id="rId82"/>
    <sheet name="905" sheetId="66" r:id="rId83"/>
    <sheet name="For 905-NCAS Acct Roll-up" sheetId="67" r:id="rId84"/>
    <sheet name="905Hosp" sheetId="68" r:id="rId85"/>
    <sheet name="906-6B" sheetId="69" r:id="rId86"/>
    <sheet name="906-6C" sheetId="87" r:id="rId87"/>
    <sheet name="906-6BC" sheetId="88" r:id="rId88"/>
    <sheet name="907" sheetId="70" r:id="rId89"/>
    <sheet name="910" sheetId="72" r:id="rId90"/>
    <sheet name="910Hosp" sheetId="90" r:id="rId91"/>
    <sheet name="911-6B" sheetId="74" r:id="rId92"/>
    <sheet name="911-6C" sheetId="92" r:id="rId93"/>
    <sheet name="Explanations" sheetId="75" r:id="rId94"/>
    <sheet name="Comments" sheetId="76" r:id="rId95"/>
    <sheet name="Agencies" sheetId="96" r:id="rId96"/>
    <sheet name="Functional" sheetId="78" r:id="rId97"/>
    <sheet name="NetPosition" sheetId="79" r:id="rId98"/>
    <sheet name="PriorYr905" sheetId="80" r:id="rId99"/>
    <sheet name="PriorYr906" sheetId="85" r:id="rId100"/>
    <sheet name="All Agencies" sheetId="77" r:id="rId101"/>
    <sheet name="OSC Analysts" sheetId="111" r:id="rId102"/>
    <sheet name="Data" sheetId="81" state="hidden" r:id="rId103"/>
    <sheet name="Errors" sheetId="82" state="hidden" r:id="rId104"/>
    <sheet name="Notes" sheetId="83" state="hidden" r:id="rId105"/>
  </sheets>
  <externalReferences>
    <externalReference r:id="rId106"/>
  </externalReferences>
  <definedNames>
    <definedName name="__Agy301">'301'!$G$5</definedName>
    <definedName name="__AGY305">'305'!$K$6</definedName>
    <definedName name="__AGY310">'310'!$K$6</definedName>
    <definedName name="__Agy501">'501'!$E$6</definedName>
    <definedName name="__Agy510">'510'!$D$6</definedName>
    <definedName name="__Agy515">'515'!$D$6</definedName>
    <definedName name="__Agy520">'520'!$D$6</definedName>
    <definedName name="__Agy525">'525'!$D$6</definedName>
    <definedName name="__Agy530">'530'!$D$6</definedName>
    <definedName name="__FMD320">'320'!$M$46</definedName>
    <definedName name="__OID320">'320'!$M$36</definedName>
    <definedName name="__TO320">'320'!$P$42</definedName>
    <definedName name="_AGY201">'201'!$N$6</definedName>
    <definedName name="_AGY210">'210'!$I$5</definedName>
    <definedName name="_Agy301">'301'!$G$5</definedName>
    <definedName name="_AGY305">'305'!$K$6</definedName>
    <definedName name="_AGY310">'310'!$K$6</definedName>
    <definedName name="_AGY315" localSheetId="17">'315'!$I$7</definedName>
    <definedName name="_AGY320">'320'!$I$7</definedName>
    <definedName name="_AGY325">'325'!$K$5</definedName>
    <definedName name="_Agy501">'501'!$E$6</definedName>
    <definedName name="_Agy510">'510'!$D$6</definedName>
    <definedName name="_Agy515">'515'!$D$6</definedName>
    <definedName name="_Agy520">'520'!$D$6</definedName>
    <definedName name="_Agy525">'525'!$D$6</definedName>
    <definedName name="_Agy530">'530'!$D$6</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17">'315'!$A$31:$I$31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1" hidden="1">'325'!$G$11:$G$12</definedName>
    <definedName name="_xlnm._FilterDatabase" localSheetId="100" hidden="1">'All Agencies'!$A$1:$L$135</definedName>
    <definedName name="_FMD315" localSheetId="17">'315'!$K$46</definedName>
    <definedName name="_FMD320">'320'!$M$46</definedName>
    <definedName name="_OID315" localSheetId="17">'315'!$K$36</definedName>
    <definedName name="_OID320">'320'!$M$36</definedName>
    <definedName name="_ROW201">'201'!$A$1:$A$58</definedName>
    <definedName name="_ROW210">'210'!$A$1:$A$38</definedName>
    <definedName name="_ROW305">'305'!$A$1:$A$43</definedName>
    <definedName name="_ROW310">'310'!$A$1:$A$55</definedName>
    <definedName name="_ROW315" localSheetId="17">'315'!$A$31:$B$46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'740'!$B$16:$B$41</definedName>
    <definedName name="_Row745">'745'!$B$17:$B$23</definedName>
    <definedName name="_Row755">'755'!$I$18:$I$64</definedName>
    <definedName name="_TO315" localSheetId="17">'315'!$N$42</definedName>
    <definedName name="_TO320">'320'!$P$42</definedName>
    <definedName name="a905a">'905'!$A$13:$A$254</definedName>
    <definedName name="a905b">'905'!$F$13:$F$254</definedName>
    <definedName name="a905c">'905'!$F$232</definedName>
    <definedName name="a905Data">'905'!$A:$F</definedName>
    <definedName name="a905Ha" localSheetId="84">'905Hosp'!$A$14:$A$252</definedName>
    <definedName name="a905Hb" localSheetId="84">'905Hosp'!$F$14:$F$252</definedName>
    <definedName name="a905Hc" localSheetId="84">'905Hosp'!$F$230</definedName>
    <definedName name="a905HData">'905Hosp'!$A:$F</definedName>
    <definedName name="AgyIdx">Index!$E$10</definedName>
    <definedName name="AgyName">Index!$E$11</definedName>
    <definedName name="AgyNum">'All Agencies'!$C$3:$C$76</definedName>
    <definedName name="BeginningNetAssets" comment="Equals Ending net assets per prior year CAFR" localSheetId="97">NetPosition!$C$5:$C$33</definedName>
    <definedName name="compgasb">'All Agencies'!$E$3:$E$135</definedName>
    <definedName name="compname">'All Agencies'!$D$3:$D$135</definedName>
    <definedName name="compnum">'All Agencies'!$B$3:$B$135</definedName>
    <definedName name="compnumtxt">Agencies!$B$3:$B$65</definedName>
    <definedName name="comptable">Agencies!$A$3:$D$65</definedName>
    <definedName name="ConcNum">Agencies!$A$3:$A$65</definedName>
    <definedName name="CurrentAssets">Notes!$R$4:$R$20</definedName>
    <definedName name="CurrentLiabilities">Notes!$R$34:$R$50</definedName>
    <definedName name="DATA201" localSheetId="8">'201'!$A$1:$U$53</definedName>
    <definedName name="DATA210" localSheetId="11">'210'!$A$1:$S$35</definedName>
    <definedName name="DATA305">'305'!$A$1:$P$44</definedName>
    <definedName name="DATA310">'310'!$A$1:$P$57</definedName>
    <definedName name="DATA315" localSheetId="17">'315'!$A$31:$I$47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'740'!$B$16:$O$41</definedName>
    <definedName name="Data745">'745'!$B$17:$N$23</definedName>
    <definedName name="Data755">'755'!$I$18:$U$64</definedName>
    <definedName name="Deferredinflows">Notes!$R$77:$R$81</definedName>
    <definedName name="DeferredOutflows">Notes!$R$68:$R$73</definedName>
    <definedName name="Derivative">Notes!$J$1:$J$8</definedName>
    <definedName name="ErrorCode">Errors!$A$1:$A$216</definedName>
    <definedName name="ErrorKey">Errors!$B$1:$B$216</definedName>
    <definedName name="ErrorTable">Errors!$A$1:$AD$216</definedName>
    <definedName name="FaCol301">'301'!#REF!</definedName>
    <definedName name="FaDat301">'301'!#REF!</definedName>
    <definedName name="FaRow301">'301'!#REF!</definedName>
    <definedName name="FCCSent">'All Agencies'!$R$2:$S$21</definedName>
    <definedName name="FCCSnum">'All Agencies'!$M$2:$O$76</definedName>
    <definedName name="FROM315" localSheetId="17">'315'!$K$42</definedName>
    <definedName name="FROM320">'320'!$M$42</definedName>
    <definedName name="function">Notes!$H$1:$H$15</definedName>
    <definedName name="functionA">Notes!$H$35:$H$47</definedName>
    <definedName name="functionC">Notes!$H$18:$H$32</definedName>
    <definedName name="Gasb510">'510'!$D$8</definedName>
    <definedName name="Gasb515">'515'!$D$8</definedName>
    <definedName name="Gasb520">'520'!$D$8</definedName>
    <definedName name="Gasb525">'525'!$D$8</definedName>
    <definedName name="Gasb530">'530'!$D$8</definedName>
    <definedName name="Gasb535">'535'!$D$7</definedName>
    <definedName name="hk">'All Agencies'!$C$3:$C$133</definedName>
    <definedName name="IdxNa">Index!$B$16:$B$113</definedName>
    <definedName name="IdxSheetNum">Index!$A$16:$A$113</definedName>
    <definedName name="IdxTable">Index!$A$16:$AA$113</definedName>
    <definedName name="Leaseannualrental301">'301'!#REF!</definedName>
    <definedName name="Leaseasset301">'301'!#REF!</definedName>
    <definedName name="LeaseCol301">'301'!$A$27:$K$27</definedName>
    <definedName name="LeaseDat301">'301'!$A$20:$K$53</definedName>
    <definedName name="LeaseRow301">'301'!$B$20:$B$53</definedName>
    <definedName name="List505thru520">Agencies!$B$70:$B$103</definedName>
    <definedName name="Listfor525and530">Agencies!$B$104:$B$200</definedName>
    <definedName name="Listfor535">Agencies!$B$70:$B$200</definedName>
    <definedName name="NetAssetsData">NetPosition!$A$4:$E$37</definedName>
    <definedName name="NetAssetsDataRow">NetPosition!$A$4:$A$37</definedName>
    <definedName name="NoncurrentAssets">Notes!$R$24:$R$31</definedName>
    <definedName name="NoncurrentLiabilities">Notes!$R$53:$R$65</definedName>
    <definedName name="OfflineNetAssetsRow" comment="AgencyNumber for Offline Beginning Net Assets Balance" localSheetId="97">NetPosition!$A$5:$A$33</definedName>
    <definedName name="Pledged_Revenue">Notes!$K$1:$K$9</definedName>
    <definedName name="_xlnm.Print_Area" localSheetId="4">'101'!$A$1:$M$68</definedName>
    <definedName name="_xlnm.Print_Area" localSheetId="5">'105'!$A$1:$K$68</definedName>
    <definedName name="_xlnm.Print_Area" localSheetId="6">'110'!$A$1:$K$48</definedName>
    <definedName name="_xlnm.Print_Area" localSheetId="7">'120'!$A$1:$K$49</definedName>
    <definedName name="_xlnm.Print_Area" localSheetId="8">'201'!$B$1:$V$50</definedName>
    <definedName name="_xlnm.Print_Area" localSheetId="9">'202'!$B$1:$T$77</definedName>
    <definedName name="_xlnm.Print_Area" localSheetId="10">'203'!$B$1:$T$124</definedName>
    <definedName name="_xlnm.Print_Area" localSheetId="11">'210'!$B$1:$R$41</definedName>
    <definedName name="_xlnm.Print_Area" localSheetId="12">'215'!$A$1:$N$71</definedName>
    <definedName name="_xlnm.Print_Area" localSheetId="14">'301'!$C$1:$AD$93</definedName>
    <definedName name="_xlnm.Print_Area" localSheetId="15">'305'!$B$1:$P$44</definedName>
    <definedName name="_xlnm.Print_Area" localSheetId="16">'310'!$B$1:$P$45</definedName>
    <definedName name="_xlnm.Print_Area" localSheetId="17">'315'!$B$1:$Q$72</definedName>
    <definedName name="_xlnm.Print_Area" localSheetId="18">'320'!$B$1:$S$70</definedName>
    <definedName name="_xlnm.Print_Area" localSheetId="19">'322'!$A$1:$N$62</definedName>
    <definedName name="_xlnm.Print_Area" localSheetId="20">'323'!$B$1:$L$103</definedName>
    <definedName name="_xlnm.Print_Area" localSheetId="21">'325'!$C$1:$P$73</definedName>
    <definedName name="_xlnm.Print_Area" localSheetId="22">'330'!$B$1:$P$65</definedName>
    <definedName name="_xlnm.Print_Area" localSheetId="24">'340'!$A$1:$R$44</definedName>
    <definedName name="_xlnm.Print_Area" localSheetId="25">'341'!$A$1:$R$42</definedName>
    <definedName name="_xlnm.Print_Area" localSheetId="26">'342'!$A$1:$R$41</definedName>
    <definedName name="_xlnm.Print_Area" localSheetId="27">'345'!$B$1:$K$56</definedName>
    <definedName name="_xlnm.Print_Area" localSheetId="28">'350'!$A$1:$H$53</definedName>
    <definedName name="_xlnm.Print_Area" localSheetId="29">'355'!$A$1:$M$48</definedName>
    <definedName name="_xlnm.Print_Area" localSheetId="30">'365'!$A$1:$L$39</definedName>
    <definedName name="_xlnm.Print_Area" localSheetId="33">'375-B'!$A$1:$L$53</definedName>
    <definedName name="_xlnm.Print_Area" localSheetId="34">'401'!$A$1:$I$50</definedName>
    <definedName name="_xlnm.Print_Area" localSheetId="35">'405'!$A$1:$I$48</definedName>
    <definedName name="_xlnm.Print_Area" localSheetId="36">'410'!$A$1:$I$54</definedName>
    <definedName name="_xlnm.Print_Area" localSheetId="37">'415'!$A$1:$I$50</definedName>
    <definedName name="_xlnm.Print_Area" localSheetId="38">'420'!$B$1:$I$37</definedName>
    <definedName name="_xlnm.Print_Area" localSheetId="39">'425'!$A$1:$K$40</definedName>
    <definedName name="_xlnm.Print_Area" localSheetId="41">'430BTA'!$A$1:$R$51</definedName>
    <definedName name="_xlnm.Print_Area" localSheetId="42">'430F'!$A$1:$U$36</definedName>
    <definedName name="_xlnm.Print_Area" localSheetId="40">'430G'!$A$1:$R$45</definedName>
    <definedName name="_xlnm.Print_Area" localSheetId="45">'501'!$A$1:$U$35</definedName>
    <definedName name="_xlnm.Print_Area" localSheetId="46">'505'!$A$1:$R$32</definedName>
    <definedName name="_xlnm.Print_Area" localSheetId="47">'510'!$A$1:$Q$34</definedName>
    <definedName name="_xlnm.Print_Area" localSheetId="48">'515'!$A$1:$Q$34</definedName>
    <definedName name="_xlnm.Print_Area" localSheetId="49">'520'!$A$1:$Q$34</definedName>
    <definedName name="_xlnm.Print_Area" localSheetId="50">'525'!$A$1:$Q$36</definedName>
    <definedName name="_xlnm.Print_Area" localSheetId="51">'530'!$A$1:$Q$34</definedName>
    <definedName name="_xlnm.Print_Area" localSheetId="52">'535'!$A$1:$Q$35</definedName>
    <definedName name="_xlnm.Print_Area" localSheetId="53">'540'!$B$1:$AI$33</definedName>
    <definedName name="_xlnm.Print_Area" localSheetId="54">'545'!$A$1:$AF$35</definedName>
    <definedName name="_xlnm.Print_Area" localSheetId="55">'550'!$A$1:$R$40</definedName>
    <definedName name="_xlnm.Print_Area" localSheetId="56">'555'!$A$1:$R$39</definedName>
    <definedName name="_xlnm.Print_Area" localSheetId="57">'560'!$B$1:$AK$30</definedName>
    <definedName name="_xlnm.Print_Area" localSheetId="58">'565'!$A$1:$O$31</definedName>
    <definedName name="_xlnm.Print_Area" localSheetId="59">'570'!$B$1:$M$30</definedName>
    <definedName name="_xlnm.Print_Area" localSheetId="60">'602'!$B$1:$P$57</definedName>
    <definedName name="_xlnm.Print_Area" localSheetId="61">'605'!$B$1:$P$46</definedName>
    <definedName name="_xlnm.Print_Area" localSheetId="63">'615'!$A$1:$K$28</definedName>
    <definedName name="_xlnm.Print_Area" localSheetId="64">'616'!$A$1:$K$49</definedName>
    <definedName name="_xlnm.Print_Area" localSheetId="66">'625'!$A$1:$W$30</definedName>
    <definedName name="_xlnm.Print_Area" localSheetId="67">'635'!$B$1:$P$88</definedName>
    <definedName name="_xlnm.Print_Area" localSheetId="69">'705'!$C$1:$R$48</definedName>
    <definedName name="_xlnm.Print_Area" localSheetId="70">'710'!$B$1:$S$74</definedName>
    <definedName name="_xlnm.Print_Area" localSheetId="71">'715'!$C$1:$R$40</definedName>
    <definedName name="_xlnm.Print_Area" localSheetId="72">'720'!$A$1:$R$58</definedName>
    <definedName name="_xlnm.Print_Area" localSheetId="73">'725'!$C$1:$R$45</definedName>
    <definedName name="_xlnm.Print_Area" localSheetId="78">'755'!$B$1:$V$86</definedName>
    <definedName name="_xlnm.Print_Area" localSheetId="79">'756'!$B$1:$S$46</definedName>
    <definedName name="_xlnm.Print_Area" localSheetId="80">'760'!$A$1:$S$51</definedName>
    <definedName name="_xlnm.Print_Area" localSheetId="81">'765'!$A$1:$J$53</definedName>
    <definedName name="_xlnm.Print_Area" localSheetId="82">'905'!$A$1:$I$272</definedName>
    <definedName name="_xlnm.Print_Area" localSheetId="84">'905Hosp'!$A$1:$S$269</definedName>
    <definedName name="_xlnm.Print_Area" localSheetId="85">'906-6B'!$A$1:$L$90</definedName>
    <definedName name="_xlnm.Print_Area" localSheetId="87">'906-6BC'!$A$1:$K$91</definedName>
    <definedName name="_xlnm.Print_Area" localSheetId="86">'906-6C'!$A$1:$L$90</definedName>
    <definedName name="_xlnm.Print_Area" localSheetId="88">'907'!$A$1:$L$60</definedName>
    <definedName name="_xlnm.Print_Area" localSheetId="89">'910'!$A$1:$N$255</definedName>
    <definedName name="_xlnm.Print_Area" localSheetId="90">'910Hosp'!$A$1:$N$254</definedName>
    <definedName name="_xlnm.Print_Area" localSheetId="91">'911-6B'!$A$1:$K$94</definedName>
    <definedName name="_xlnm.Print_Area" localSheetId="92">'911-6C'!$A$1:$L$93</definedName>
    <definedName name="_xlnm.Print_Area" localSheetId="3">Dashboard!$A$1:$M$101</definedName>
    <definedName name="_xlnm.Print_Area" localSheetId="83">'For 905-NCAS Acct Roll-up'!$A$1:$C$1618</definedName>
    <definedName name="_xlnm.Print_Area" localSheetId="2">Index!$A$1:$P$122</definedName>
    <definedName name="_xlnm.Print_Titles" localSheetId="78">'755'!$1:$18</definedName>
    <definedName name="_xlnm.Print_Titles" localSheetId="82">'905'!$1:$9</definedName>
    <definedName name="_xlnm.Print_Titles" localSheetId="84">'905Hosp'!$A:$E,'905Hosp'!$1:$10</definedName>
    <definedName name="_xlnm.Print_Titles" localSheetId="89">'910'!$1:$10</definedName>
    <definedName name="_xlnm.Print_Titles" localSheetId="90">'910Hosp'!$1:$10</definedName>
    <definedName name="_xlnm.Print_Titles" localSheetId="100">'All Agencies'!$1:$2</definedName>
    <definedName name="_xlnm.Print_Titles" localSheetId="1">'Pkg Updates'!$1:$5</definedName>
    <definedName name="_xlnm.Print_Titles" localSheetId="98">PriorYr905!$A:$D,PriorYr905!$1:$11</definedName>
    <definedName name="PY905Col">PriorYr905!$8:$8</definedName>
    <definedName name="PY905Data">PriorYr905!$A$1:$AG$1052</definedName>
    <definedName name="PY905Row">PriorYr905!$A:$A</definedName>
    <definedName name="Rent301">'301'!#REF!</definedName>
    <definedName name="TYPE315" localSheetId="17">'315'!$A$13</definedName>
    <definedName name="TYPE320">'320'!$A$13</definedName>
    <definedName name="ValuationTech">Notes!$M$1:$M$9</definedName>
    <definedName name="w220Data">'220'!$J$105:$J$115</definedName>
    <definedName name="w301DataA">'301'!$M$28:$AC$29</definedName>
    <definedName name="w301DataB">'301'!#REF!</definedName>
    <definedName name="w301DataC">'301'!#REF!</definedName>
    <definedName name="w305Data">'305'!$Q$17:$Y$33</definedName>
    <definedName name="w310Data">'310'!$Q$17:$Y$36</definedName>
    <definedName name="w325col">'325'!$A$16:$Q$16</definedName>
    <definedName name="w325Data">'325'!$A$14:$Q$43</definedName>
    <definedName name="w325Row">'325'!$B$14:$B$42</definedName>
    <definedName name="w325Type">'325'!$C$11:$O$11</definedName>
    <definedName name="w501Data">'501'!$AD$12:$AO$31</definedName>
    <definedName name="Z_1250FD07_FF56_4A9D_AF9E_C27124A7EBE9_.wvu.Cols" localSheetId="45" hidden="1">'501'!#REF!,'501'!#REF!</definedName>
    <definedName name="Z_1250FD07_FF56_4A9D_AF9E_C27124A7EBE9_.wvu.PrintArea" localSheetId="4" hidden="1">'101'!$B$1:$L$63</definedName>
    <definedName name="Z_1250FD07_FF56_4A9D_AF9E_C27124A7EBE9_.wvu.PrintArea" localSheetId="6" hidden="1">'110'!$B$1:$J$70</definedName>
    <definedName name="Z_1250FD07_FF56_4A9D_AF9E_C27124A7EBE9_.wvu.PrintArea" localSheetId="7" hidden="1">'120'!$B$1:$J$71</definedName>
    <definedName name="Z_1250FD07_FF56_4A9D_AF9E_C27124A7EBE9_.wvu.PrintArea" localSheetId="11" hidden="1">'210'!$B$1:$R$31</definedName>
    <definedName name="Z_1250FD07_FF56_4A9D_AF9E_C27124A7EBE9_.wvu.PrintArea" localSheetId="12" hidden="1">'215'!$A$1:$N$72</definedName>
    <definedName name="Z_1250FD07_FF56_4A9D_AF9E_C27124A7EBE9_.wvu.PrintArea" localSheetId="14" hidden="1">'301'!$C$1:$L$53</definedName>
    <definedName name="Z_1250FD07_FF56_4A9D_AF9E_C27124A7EBE9_.wvu.PrintArea" localSheetId="15" hidden="1">'305'!$B$1:$P$42</definedName>
    <definedName name="Z_1250FD07_FF56_4A9D_AF9E_C27124A7EBE9_.wvu.PrintArea" localSheetId="17" hidden="1">'315'!$B$1:$Q$71</definedName>
    <definedName name="Z_1250FD07_FF56_4A9D_AF9E_C27124A7EBE9_.wvu.PrintArea" localSheetId="18" hidden="1">'320'!$B$1:$S$62</definedName>
    <definedName name="Z_1250FD07_FF56_4A9D_AF9E_C27124A7EBE9_.wvu.PrintArea" localSheetId="19" hidden="1">'322'!$A$1:$N$10</definedName>
    <definedName name="Z_1250FD07_FF56_4A9D_AF9E_C27124A7EBE9_.wvu.PrintArea" localSheetId="20" hidden="1">'323'!$B$1:$K$125</definedName>
    <definedName name="Z_1250FD07_FF56_4A9D_AF9E_C27124A7EBE9_.wvu.PrintArea" localSheetId="21" hidden="1">'325'!$C$1:$P$60</definedName>
    <definedName name="Z_1250FD07_FF56_4A9D_AF9E_C27124A7EBE9_.wvu.PrintArea" localSheetId="22" hidden="1">'330'!$B$1:$N$59</definedName>
    <definedName name="Z_1250FD07_FF56_4A9D_AF9E_C27124A7EBE9_.wvu.PrintArea" localSheetId="24" hidden="1">'340'!$A$1:$R$9</definedName>
    <definedName name="Z_1250FD07_FF56_4A9D_AF9E_C27124A7EBE9_.wvu.PrintArea" localSheetId="25" hidden="1">'341'!$A$1:$R$9</definedName>
    <definedName name="Z_1250FD07_FF56_4A9D_AF9E_C27124A7EBE9_.wvu.PrintArea" localSheetId="26" hidden="1">'342'!$A$1:$R$9</definedName>
    <definedName name="Z_1250FD07_FF56_4A9D_AF9E_C27124A7EBE9_.wvu.PrintArea" localSheetId="27" hidden="1">'345'!$B$1:$L$53</definedName>
    <definedName name="Z_1250FD07_FF56_4A9D_AF9E_C27124A7EBE9_.wvu.PrintArea" localSheetId="28" hidden="1">'350'!$A$1:$H$41</definedName>
    <definedName name="Z_1250FD07_FF56_4A9D_AF9E_C27124A7EBE9_.wvu.PrintArea" localSheetId="29" hidden="1">'355'!$B$1:$M$52</definedName>
    <definedName name="Z_1250FD07_FF56_4A9D_AF9E_C27124A7EBE9_.wvu.PrintArea" localSheetId="38" hidden="1">'420'!$B$1:$M$23</definedName>
    <definedName name="Z_1250FD07_FF56_4A9D_AF9E_C27124A7EBE9_.wvu.PrintArea" localSheetId="39" hidden="1">'425'!$B$1:$L$35</definedName>
    <definedName name="Z_1250FD07_FF56_4A9D_AF9E_C27124A7EBE9_.wvu.PrintArea" localSheetId="45" hidden="1">'501'!$B$1:$U$34</definedName>
    <definedName name="Z_1250FD07_FF56_4A9D_AF9E_C27124A7EBE9_.wvu.PrintArea" localSheetId="47" hidden="1">'510'!$B$1:$P$33</definedName>
    <definedName name="Z_1250FD07_FF56_4A9D_AF9E_C27124A7EBE9_.wvu.PrintArea" localSheetId="48" hidden="1">'515'!$B$1:$P$33</definedName>
    <definedName name="Z_1250FD07_FF56_4A9D_AF9E_C27124A7EBE9_.wvu.PrintArea" localSheetId="49" hidden="1">'520'!$B$1:$P$33</definedName>
    <definedName name="Z_1250FD07_FF56_4A9D_AF9E_C27124A7EBE9_.wvu.PrintArea" localSheetId="50" hidden="1">'525'!$B$1:$P$27</definedName>
    <definedName name="Z_1250FD07_FF56_4A9D_AF9E_C27124A7EBE9_.wvu.PrintArea" localSheetId="51" hidden="1">'530'!$B$1:$P$33</definedName>
    <definedName name="Z_1250FD07_FF56_4A9D_AF9E_C27124A7EBE9_.wvu.PrintArea" localSheetId="52" hidden="1">'535'!$B$1:$Q$36</definedName>
    <definedName name="Z_1250FD07_FF56_4A9D_AF9E_C27124A7EBE9_.wvu.PrintArea" localSheetId="53" hidden="1">'540'!$B$1:$Q$33</definedName>
    <definedName name="Z_1250FD07_FF56_4A9D_AF9E_C27124A7EBE9_.wvu.PrintArea" localSheetId="55" hidden="1">'550'!$C$1:$L$37</definedName>
    <definedName name="Z_1250FD07_FF56_4A9D_AF9E_C27124A7EBE9_.wvu.PrintArea" localSheetId="56" hidden="1">'555'!$C$1:$L$36</definedName>
    <definedName name="Z_1250FD07_FF56_4A9D_AF9E_C27124A7EBE9_.wvu.PrintArea" localSheetId="57" hidden="1">'560'!$B$1:$R$30</definedName>
    <definedName name="Z_1250FD07_FF56_4A9D_AF9E_C27124A7EBE9_.wvu.PrintArea" localSheetId="59" hidden="1">'570'!$B$1:$M$27</definedName>
    <definedName name="Z_1250FD07_FF56_4A9D_AF9E_C27124A7EBE9_.wvu.PrintArea" localSheetId="60" hidden="1">'602'!$B$1:$P$33</definedName>
    <definedName name="Z_1250FD07_FF56_4A9D_AF9E_C27124A7EBE9_.wvu.PrintArea" localSheetId="61" hidden="1">'605'!$B$1:$P$33</definedName>
    <definedName name="Z_1250FD07_FF56_4A9D_AF9E_C27124A7EBE9_.wvu.PrintArea" localSheetId="62" hidden="1">'610'!$A$1:$I$52</definedName>
    <definedName name="Z_1250FD07_FF56_4A9D_AF9E_C27124A7EBE9_.wvu.PrintArea" localSheetId="63" hidden="1">'615'!$A$1:$K$28</definedName>
    <definedName name="Z_1250FD07_FF56_4A9D_AF9E_C27124A7EBE9_.wvu.PrintArea" localSheetId="64" hidden="1">'616'!$A$1:$K$49</definedName>
    <definedName name="Z_1250FD07_FF56_4A9D_AF9E_C27124A7EBE9_.wvu.PrintArea" localSheetId="66" hidden="1">'625'!$B$1:$W$29</definedName>
    <definedName name="Z_1250FD07_FF56_4A9D_AF9E_C27124A7EBE9_.wvu.PrintArea" localSheetId="67" hidden="1">'635'!$B$1:$P$86</definedName>
    <definedName name="Z_1250FD07_FF56_4A9D_AF9E_C27124A7EBE9_.wvu.PrintArea" localSheetId="69" hidden="1">'705'!$C$1:$R$45</definedName>
    <definedName name="Z_1250FD07_FF56_4A9D_AF9E_C27124A7EBE9_.wvu.PrintArea" localSheetId="70" hidden="1">'710'!$B$1:$S$71</definedName>
    <definedName name="Z_1250FD07_FF56_4A9D_AF9E_C27124A7EBE9_.wvu.PrintArea" localSheetId="71" hidden="1">'715'!$C$1:$R$37</definedName>
    <definedName name="Z_1250FD07_FF56_4A9D_AF9E_C27124A7EBE9_.wvu.PrintArea" localSheetId="76" hidden="1">'740'!$C$1:$P$52</definedName>
    <definedName name="Z_1250FD07_FF56_4A9D_AF9E_C27124A7EBE9_.wvu.PrintArea" localSheetId="77" hidden="1">'745'!$C$1:$S$46</definedName>
    <definedName name="Z_1250FD07_FF56_4A9D_AF9E_C27124A7EBE9_.wvu.PrintArea" localSheetId="79" hidden="1">'756'!$B$1:$S$12</definedName>
    <definedName name="Z_1250FD07_FF56_4A9D_AF9E_C27124A7EBE9_.wvu.PrintArea" localSheetId="94" hidden="1">Comments!$A$1:$N$39</definedName>
    <definedName name="Z_1250FD07_FF56_4A9D_AF9E_C27124A7EBE9_.wvu.PrintArea" localSheetId="93" hidden="1">Explanations!$A$1:$N$9</definedName>
    <definedName name="Z_1250FD07_FF56_4A9D_AF9E_C27124A7EBE9_.wvu.PrintArea" localSheetId="2" hidden="1">Index!$A$1:$L$120</definedName>
    <definedName name="Z_1250FD07_FF56_4A9D_AF9E_C27124A7EBE9_.wvu.PrintTitles" localSheetId="2" hidden="1">Index!$1:$4</definedName>
    <definedName name="Z_1250FD07_FF56_4A9D_AF9E_C27124A7EBE9_.wvu.Rows" localSheetId="2" hidden="1">Index!$1288:$1354</definedName>
    <definedName name="Z_22EE6FEF_0954_4B41_9976_46012513457D_.wvu.Cols" localSheetId="45" hidden="1">'501'!#REF!,'501'!#REF!</definedName>
    <definedName name="Z_22EE6FEF_0954_4B41_9976_46012513457D_.wvu.Cols" localSheetId="53" hidden="1">'540'!#REF!,'540'!#REF!</definedName>
    <definedName name="Z_22EE6FEF_0954_4B41_9976_46012513457D_.wvu.Cols" localSheetId="57" hidden="1">'560'!#REF!,'560'!#REF!</definedName>
    <definedName name="Z_22EE6FEF_0954_4B41_9976_46012513457D_.wvu.PrintArea" localSheetId="8" hidden="1">'201'!$B$1:$P$46</definedName>
    <definedName name="Z_22EE6FEF_0954_4B41_9976_46012513457D_.wvu.PrintArea" localSheetId="11" hidden="1">'210'!$B$1:$R$31</definedName>
    <definedName name="Z_22EE6FEF_0954_4B41_9976_46012513457D_.wvu.PrintArea" localSheetId="14" hidden="1">'301'!$C$1:$K$53</definedName>
    <definedName name="Z_22EE6FEF_0954_4B41_9976_46012513457D_.wvu.PrintArea" localSheetId="27" hidden="1">'345'!$B$1:$K$53</definedName>
    <definedName name="Z_22EE6FEF_0954_4B41_9976_46012513457D_.wvu.PrintArea" localSheetId="38" hidden="1">'420'!$B$1:$K$16</definedName>
    <definedName name="Z_22EE6FEF_0954_4B41_9976_46012513457D_.wvu.PrintArea" localSheetId="45" hidden="1">'501'!$B$1:$T$33</definedName>
    <definedName name="Z_22EE6FEF_0954_4B41_9976_46012513457D_.wvu.PrintArea" localSheetId="47" hidden="1">'510'!$B$1:$P$32</definedName>
    <definedName name="Z_22EE6FEF_0954_4B41_9976_46012513457D_.wvu.PrintArea" localSheetId="48" hidden="1">'515'!$B$1:$P$26</definedName>
    <definedName name="Z_22EE6FEF_0954_4B41_9976_46012513457D_.wvu.PrintArea" localSheetId="49" hidden="1">'520'!$B$1:$P$32</definedName>
    <definedName name="Z_22EE6FEF_0954_4B41_9976_46012513457D_.wvu.PrintArea" localSheetId="50" hidden="1">'525'!$B$1:$P$27</definedName>
    <definedName name="Z_22EE6FEF_0954_4B41_9976_46012513457D_.wvu.PrintArea" localSheetId="51" hidden="1">'530'!$B$1:$P$32</definedName>
    <definedName name="Z_22EE6FEF_0954_4B41_9976_46012513457D_.wvu.PrintArea" localSheetId="52" hidden="1">'535'!$B$1:$P$35</definedName>
    <definedName name="Z_22EE6FEF_0954_4B41_9976_46012513457D_.wvu.PrintArea" localSheetId="53" hidden="1">'540'!$B$1:$P$29</definedName>
    <definedName name="Z_22EE6FEF_0954_4B41_9976_46012513457D_.wvu.PrintArea" localSheetId="54" hidden="1">'545'!#REF!</definedName>
    <definedName name="Z_22EE6FEF_0954_4B41_9976_46012513457D_.wvu.PrintArea" localSheetId="55" hidden="1">'550'!$C$1:$K$31</definedName>
    <definedName name="Z_22EE6FEF_0954_4B41_9976_46012513457D_.wvu.PrintArea" localSheetId="56" hidden="1">'555'!$C$1:$K$30</definedName>
    <definedName name="Z_22EE6FEF_0954_4B41_9976_46012513457D_.wvu.PrintArea" localSheetId="57" hidden="1">'560'!$B$1:$P$30</definedName>
    <definedName name="Z_22EE6FEF_0954_4B41_9976_46012513457D_.wvu.PrintArea" localSheetId="66" hidden="1">'625'!$B$1:$V$29</definedName>
    <definedName name="Z_22EE6FEF_0954_4B41_9976_46012513457D_.wvu.PrintArea" localSheetId="69" hidden="1">'705'!$C$1:$Q$45</definedName>
    <definedName name="Z_22EE6FEF_0954_4B41_9976_46012513457D_.wvu.PrintArea" localSheetId="71" hidden="1">'715'!$C$1:$Q$35</definedName>
    <definedName name="Z_22EE6FEF_0954_4B41_9976_46012513457D_.wvu.Rows" localSheetId="8" hidden="1">'201'!#REF!,'201'!#REF!,'201'!#REF!</definedName>
    <definedName name="Z_22EE6FEF_0954_4B41_9976_46012513457D_.wvu.Rows" localSheetId="11" hidden="1">'210'!#REF!,'210'!#REF!,'210'!#REF!</definedName>
    <definedName name="Z_279D8F29_3A82_4EC4_B637_4060DE7A5F06_.wvu.Cols" localSheetId="46" hidden="1">'505'!$K:$K</definedName>
    <definedName name="Z_279D8F29_3A82_4EC4_B637_4060DE7A5F06_.wvu.PrintArea" localSheetId="46" hidden="1">'505'!$D$1:$Q$30</definedName>
    <definedName name="Z_3B9B908F_7E13_4791_A6FD_413206C417A3_.wvu.Cols" localSheetId="45" hidden="1">'501'!#REF!,'501'!#REF!</definedName>
    <definedName name="Z_3B9B908F_7E13_4791_A6FD_413206C417A3_.wvu.Cols" localSheetId="53" hidden="1">'540'!#REF!,'540'!#REF!</definedName>
    <definedName name="Z_3B9B908F_7E13_4791_A6FD_413206C417A3_.wvu.Cols" localSheetId="57" hidden="1">'560'!#REF!,'560'!#REF!</definedName>
    <definedName name="Z_3B9B908F_7E13_4791_A6FD_413206C417A3_.wvu.PrintArea" localSheetId="8" hidden="1">'201'!$B$1:$P$46</definedName>
    <definedName name="Z_3B9B908F_7E13_4791_A6FD_413206C417A3_.wvu.PrintArea" localSheetId="11" hidden="1">'210'!$B$1:$R$31</definedName>
    <definedName name="Z_3B9B908F_7E13_4791_A6FD_413206C417A3_.wvu.PrintArea" localSheetId="14" hidden="1">'301'!$C$1:$K$53</definedName>
    <definedName name="Z_3B9B908F_7E13_4791_A6FD_413206C417A3_.wvu.PrintArea" localSheetId="27" hidden="1">'345'!$B$1:$K$53</definedName>
    <definedName name="Z_3B9B908F_7E13_4791_A6FD_413206C417A3_.wvu.PrintArea" localSheetId="28" hidden="1">'350'!$A$1:$K$41</definedName>
    <definedName name="Z_3B9B908F_7E13_4791_A6FD_413206C417A3_.wvu.PrintArea" localSheetId="29" hidden="1">'355'!$B$1:$L$41</definedName>
    <definedName name="Z_3B9B908F_7E13_4791_A6FD_413206C417A3_.wvu.PrintArea" localSheetId="45" hidden="1">'501'!$B$1:$T$33</definedName>
    <definedName name="Z_3B9B908F_7E13_4791_A6FD_413206C417A3_.wvu.PrintArea" localSheetId="47" hidden="1">'510'!$B$1:$P$32</definedName>
    <definedName name="Z_3B9B908F_7E13_4791_A6FD_413206C417A3_.wvu.PrintArea" localSheetId="48" hidden="1">'515'!$B$1:$P$26</definedName>
    <definedName name="Z_3B9B908F_7E13_4791_A6FD_413206C417A3_.wvu.PrintArea" localSheetId="49" hidden="1">'520'!$B$1:$P$32</definedName>
    <definedName name="Z_3B9B908F_7E13_4791_A6FD_413206C417A3_.wvu.PrintArea" localSheetId="50" hidden="1">'525'!$B$1:$P$27</definedName>
    <definedName name="Z_3B9B908F_7E13_4791_A6FD_413206C417A3_.wvu.PrintArea" localSheetId="51" hidden="1">'530'!$B$1:$P$32</definedName>
    <definedName name="Z_3B9B908F_7E13_4791_A6FD_413206C417A3_.wvu.PrintArea" localSheetId="52" hidden="1">'535'!$B$1:$P$35</definedName>
    <definedName name="Z_3B9B908F_7E13_4791_A6FD_413206C417A3_.wvu.PrintArea" localSheetId="53" hidden="1">'540'!$B$1:$P$29</definedName>
    <definedName name="Z_3B9B908F_7E13_4791_A6FD_413206C417A3_.wvu.PrintArea" localSheetId="54" hidden="1">'545'!#REF!</definedName>
    <definedName name="Z_3B9B908F_7E13_4791_A6FD_413206C417A3_.wvu.PrintArea" localSheetId="55" hidden="1">'550'!$C$1:$K$31</definedName>
    <definedName name="Z_3B9B908F_7E13_4791_A6FD_413206C417A3_.wvu.PrintArea" localSheetId="56" hidden="1">'555'!$C$1:$K$30</definedName>
    <definedName name="Z_3B9B908F_7E13_4791_A6FD_413206C417A3_.wvu.PrintArea" localSheetId="57" hidden="1">'560'!$B$1:$P$30</definedName>
    <definedName name="Z_3B9B908F_7E13_4791_A6FD_413206C417A3_.wvu.PrintArea" localSheetId="66" hidden="1">'625'!$B$1:$V$29</definedName>
    <definedName name="Z_3B9B908F_7E13_4791_A6FD_413206C417A3_.wvu.PrintArea" localSheetId="69" hidden="1">'705'!$C$1:$Q$45</definedName>
    <definedName name="Z_3B9B908F_7E13_4791_A6FD_413206C417A3_.wvu.PrintArea" localSheetId="71" hidden="1">'715'!$C$1:$Q$35</definedName>
    <definedName name="Z_3B9B908F_7E13_4791_A6FD_413206C417A3_.wvu.Rows" localSheetId="8" hidden="1">'201'!#REF!,'201'!#REF!,'201'!#REF!</definedName>
    <definedName name="Z_3B9B908F_7E13_4791_A6FD_413206C417A3_.wvu.Rows" localSheetId="11"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'201'!$A:$A</definedName>
    <definedName name="Z_9FCFC836_1CA5_48BF_958D_24D2EA94B219_.wvu.Cols" localSheetId="11" hidden="1">'210'!$A:$A</definedName>
    <definedName name="Z_9FCFC836_1CA5_48BF_958D_24D2EA94B219_.wvu.Cols" localSheetId="14" hidden="1">'301'!$A:$B,'301'!$M:$AC</definedName>
    <definedName name="Z_9FCFC836_1CA5_48BF_958D_24D2EA94B219_.wvu.Cols" localSheetId="15" hidden="1">'305'!$A:$A,'305'!$Q:$Y</definedName>
    <definedName name="Z_9FCFC836_1CA5_48BF_958D_24D2EA94B219_.wvu.Cols" localSheetId="16" hidden="1">'310'!$A:$A,'310'!$Q:$Y</definedName>
    <definedName name="Z_9FCFC836_1CA5_48BF_958D_24D2EA94B219_.wvu.Cols" localSheetId="17" hidden="1">'315'!$A:$A,'315'!$R:$T</definedName>
    <definedName name="Z_9FCFC836_1CA5_48BF_958D_24D2EA94B219_.wvu.Cols" localSheetId="18" hidden="1">'320'!$A:$A,'320'!$T:$V</definedName>
    <definedName name="Z_9FCFC836_1CA5_48BF_958D_24D2EA94B219_.wvu.Cols" localSheetId="20" hidden="1">'323'!$A:$A</definedName>
    <definedName name="Z_9FCFC836_1CA5_48BF_958D_24D2EA94B219_.wvu.Cols" localSheetId="21" hidden="1">'325'!$B:$B</definedName>
    <definedName name="Z_9FCFC836_1CA5_48BF_958D_24D2EA94B219_.wvu.Cols" localSheetId="22" hidden="1">'330'!$A:$A</definedName>
    <definedName name="Z_9FCFC836_1CA5_48BF_958D_24D2EA94B219_.wvu.Cols" localSheetId="27" hidden="1">'345'!$A:$A</definedName>
    <definedName name="Z_9FCFC836_1CA5_48BF_958D_24D2EA94B219_.wvu.Cols" localSheetId="29" hidden="1">'355'!$A:$A</definedName>
    <definedName name="Z_9FCFC836_1CA5_48BF_958D_24D2EA94B219_.wvu.Cols" localSheetId="38" hidden="1">'420'!$A:$A</definedName>
    <definedName name="Z_9FCFC836_1CA5_48BF_958D_24D2EA94B219_.wvu.Cols" localSheetId="45" hidden="1">'501'!$A:$A,'501'!$V:$AO</definedName>
    <definedName name="Z_9FCFC836_1CA5_48BF_958D_24D2EA94B219_.wvu.Cols" localSheetId="47" hidden="1">'510'!$A:$A,'510'!#REF!</definedName>
    <definedName name="Z_9FCFC836_1CA5_48BF_958D_24D2EA94B219_.wvu.Cols" localSheetId="48" hidden="1">'515'!$A:$A,'515'!#REF!,'515'!#REF!</definedName>
    <definedName name="Z_9FCFC836_1CA5_48BF_958D_24D2EA94B219_.wvu.Cols" localSheetId="49" hidden="1">'520'!$A:$A,'520'!#REF!,'520'!#REF!</definedName>
    <definedName name="Z_9FCFC836_1CA5_48BF_958D_24D2EA94B219_.wvu.Cols" localSheetId="50" hidden="1">'525'!$A:$A,'525'!#REF!,'525'!#REF!</definedName>
    <definedName name="Z_9FCFC836_1CA5_48BF_958D_24D2EA94B219_.wvu.Cols" localSheetId="51" hidden="1">'530'!$A:$A,'530'!#REF!,'530'!#REF!</definedName>
    <definedName name="Z_9FCFC836_1CA5_48BF_958D_24D2EA94B219_.wvu.Cols" localSheetId="52" hidden="1">'535'!$A:$A,'535'!$R:$W</definedName>
    <definedName name="Z_9FCFC836_1CA5_48BF_958D_24D2EA94B219_.wvu.Cols" localSheetId="58" hidden="1">'565'!$A:$A,'565'!$P:$X</definedName>
    <definedName name="Z_9FCFC836_1CA5_48BF_958D_24D2EA94B219_.wvu.Cols" localSheetId="59" hidden="1">'570'!$A:$A</definedName>
    <definedName name="Z_9FCFC836_1CA5_48BF_958D_24D2EA94B219_.wvu.Cols" localSheetId="60" hidden="1">'602'!$A:$A,'602'!$Q:$Q</definedName>
    <definedName name="Z_9FCFC836_1CA5_48BF_958D_24D2EA94B219_.wvu.Cols" localSheetId="61" hidden="1">'605'!$A:$A,'605'!$Q:$Q</definedName>
    <definedName name="Z_9FCFC836_1CA5_48BF_958D_24D2EA94B219_.wvu.Cols" localSheetId="66" hidden="1">'625'!$A:$A</definedName>
    <definedName name="Z_9FCFC836_1CA5_48BF_958D_24D2EA94B219_.wvu.Cols" localSheetId="67" hidden="1">'635'!$A:$A</definedName>
    <definedName name="Z_9FCFC836_1CA5_48BF_958D_24D2EA94B219_.wvu.Cols" localSheetId="69" hidden="1">'705'!$A:$B,'705'!$S:$S</definedName>
    <definedName name="Z_9FCFC836_1CA5_48BF_958D_24D2EA94B219_.wvu.Cols" localSheetId="71" hidden="1">'715'!$A:$B,'715'!$S:$S</definedName>
    <definedName name="Z_9FCFC836_1CA5_48BF_958D_24D2EA94B219_.wvu.Cols" localSheetId="73" hidden="1">'725'!$A:$B</definedName>
    <definedName name="Z_9FCFC836_1CA5_48BF_958D_24D2EA94B219_.wvu.Cols" localSheetId="74" hidden="1">'730'!$A:$A</definedName>
    <definedName name="Z_9FCFC836_1CA5_48BF_958D_24D2EA94B219_.wvu.Cols" localSheetId="75" hidden="1">'735'!$A:$B</definedName>
    <definedName name="Z_9FCFC836_1CA5_48BF_958D_24D2EA94B219_.wvu.Cols" localSheetId="76" hidden="1">'740'!$A:$B</definedName>
    <definedName name="Z_9FCFC836_1CA5_48BF_958D_24D2EA94B219_.wvu.Cols" localSheetId="77" hidden="1">'745'!$A:$B</definedName>
    <definedName name="Z_9FCFC836_1CA5_48BF_958D_24D2EA94B219_.wvu.Cols" localSheetId="100"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'101'!$B$1:$L$70</definedName>
    <definedName name="Z_9FCFC836_1CA5_48BF_958D_24D2EA94B219_.wvu.PrintArea" localSheetId="5" hidden="1">'105'!$A$1:$K$58</definedName>
    <definedName name="Z_9FCFC836_1CA5_48BF_958D_24D2EA94B219_.wvu.PrintArea" localSheetId="6" hidden="1">'110'!$B$1:$J$77</definedName>
    <definedName name="Z_9FCFC836_1CA5_48BF_958D_24D2EA94B219_.wvu.PrintArea" localSheetId="7" hidden="1">'120'!$B$1:$J$78</definedName>
    <definedName name="Z_9FCFC836_1CA5_48BF_958D_24D2EA94B219_.wvu.PrintArea" localSheetId="8" hidden="1">'201'!$B$1:$T$58</definedName>
    <definedName name="Z_9FCFC836_1CA5_48BF_958D_24D2EA94B219_.wvu.PrintArea" localSheetId="11" hidden="1">'210'!$B$1:$Q$38</definedName>
    <definedName name="Z_9FCFC836_1CA5_48BF_958D_24D2EA94B219_.wvu.PrintArea" localSheetId="12" hidden="1">'215'!$A$1:$N$72</definedName>
    <definedName name="Z_9FCFC836_1CA5_48BF_958D_24D2EA94B219_.wvu.PrintArea" localSheetId="13" hidden="1">'220'!$A$1:$H$119</definedName>
    <definedName name="Z_9FCFC836_1CA5_48BF_958D_24D2EA94B219_.wvu.PrintArea" localSheetId="14" hidden="1">'301'!$C$1:$L$53</definedName>
    <definedName name="Z_9FCFC836_1CA5_48BF_958D_24D2EA94B219_.wvu.PrintArea" localSheetId="15" hidden="1">'305'!$B$1:$P$43</definedName>
    <definedName name="Z_9FCFC836_1CA5_48BF_958D_24D2EA94B219_.wvu.PrintArea" localSheetId="16" hidden="1">'310'!$A$1:$P$45</definedName>
    <definedName name="Z_9FCFC836_1CA5_48BF_958D_24D2EA94B219_.wvu.PrintArea" localSheetId="17" hidden="1">'315'!$B$1:$Q$71</definedName>
    <definedName name="Z_9FCFC836_1CA5_48BF_958D_24D2EA94B219_.wvu.PrintArea" localSheetId="18" hidden="1">'320'!$B$1:$S$69</definedName>
    <definedName name="Z_9FCFC836_1CA5_48BF_958D_24D2EA94B219_.wvu.PrintArea" localSheetId="19" hidden="1">'322'!$A$1:$N$62</definedName>
    <definedName name="Z_9FCFC836_1CA5_48BF_958D_24D2EA94B219_.wvu.PrintArea" localSheetId="20" hidden="1">'323'!$B$1:$K$132</definedName>
    <definedName name="Z_9FCFC836_1CA5_48BF_958D_24D2EA94B219_.wvu.PrintArea" localSheetId="21" hidden="1">'325'!$C$1:$P$47</definedName>
    <definedName name="Z_9FCFC836_1CA5_48BF_958D_24D2EA94B219_.wvu.PrintArea" localSheetId="22" hidden="1">'330'!$B$1:$N$59</definedName>
    <definedName name="Z_9FCFC836_1CA5_48BF_958D_24D2EA94B219_.wvu.PrintArea" localSheetId="24" hidden="1">'340'!$A$1:$R$44</definedName>
    <definedName name="Z_9FCFC836_1CA5_48BF_958D_24D2EA94B219_.wvu.PrintArea" localSheetId="25" hidden="1">'341'!$A$1:$R$41</definedName>
    <definedName name="Z_9FCFC836_1CA5_48BF_958D_24D2EA94B219_.wvu.PrintArea" localSheetId="26" hidden="1">'342'!$A$1:$R$40</definedName>
    <definedName name="Z_9FCFC836_1CA5_48BF_958D_24D2EA94B219_.wvu.PrintArea" localSheetId="27" hidden="1">'345'!$B$1:$L$53</definedName>
    <definedName name="Z_9FCFC836_1CA5_48BF_958D_24D2EA94B219_.wvu.PrintArea" localSheetId="28" hidden="1">'350'!$A$1:$G$55</definedName>
    <definedName name="Z_9FCFC836_1CA5_48BF_958D_24D2EA94B219_.wvu.PrintArea" localSheetId="29" hidden="1">'355'!$B$1:$M$52</definedName>
    <definedName name="Z_9FCFC836_1CA5_48BF_958D_24D2EA94B219_.wvu.PrintArea" localSheetId="34" hidden="1">'401'!$A$1:$H$50</definedName>
    <definedName name="Z_9FCFC836_1CA5_48BF_958D_24D2EA94B219_.wvu.PrintArea" localSheetId="35" hidden="1">'405'!$A$1:$H$47</definedName>
    <definedName name="Z_9FCFC836_1CA5_48BF_958D_24D2EA94B219_.wvu.PrintArea" localSheetId="36" hidden="1">'410'!$A$1:$H$46</definedName>
    <definedName name="Z_9FCFC836_1CA5_48BF_958D_24D2EA94B219_.wvu.PrintArea" localSheetId="37" hidden="1">'415'!$A$1:$H$47</definedName>
    <definedName name="Z_9FCFC836_1CA5_48BF_958D_24D2EA94B219_.wvu.PrintArea" localSheetId="38" hidden="1">'420'!$B$1:$M$23</definedName>
    <definedName name="Z_9FCFC836_1CA5_48BF_958D_24D2EA94B219_.wvu.PrintArea" localSheetId="39" hidden="1">'425'!$A$1:$L$35</definedName>
    <definedName name="Z_9FCFC836_1CA5_48BF_958D_24D2EA94B219_.wvu.PrintArea" localSheetId="45" hidden="1">'501'!$B$1:$U$35</definedName>
    <definedName name="Z_9FCFC836_1CA5_48BF_958D_24D2EA94B219_.wvu.PrintArea" localSheetId="46" hidden="1">'505'!$B$1:$R$31</definedName>
    <definedName name="Z_9FCFC836_1CA5_48BF_958D_24D2EA94B219_.wvu.PrintArea" localSheetId="47" hidden="1">'510'!$B$1:$P$33</definedName>
    <definedName name="Z_9FCFC836_1CA5_48BF_958D_24D2EA94B219_.wvu.PrintArea" localSheetId="48" hidden="1">'515'!$B$1:$P$33</definedName>
    <definedName name="Z_9FCFC836_1CA5_48BF_958D_24D2EA94B219_.wvu.PrintArea" localSheetId="49" hidden="1">'520'!$B$1:$P$33</definedName>
    <definedName name="Z_9FCFC836_1CA5_48BF_958D_24D2EA94B219_.wvu.PrintArea" localSheetId="50" hidden="1">'525'!$B$1:$P$39</definedName>
    <definedName name="Z_9FCFC836_1CA5_48BF_958D_24D2EA94B219_.wvu.PrintArea" localSheetId="51" hidden="1">'530'!$B$1:$P$33</definedName>
    <definedName name="Z_9FCFC836_1CA5_48BF_958D_24D2EA94B219_.wvu.PrintArea" localSheetId="52" hidden="1">'535'!$B$1:$Q$36</definedName>
    <definedName name="Z_9FCFC836_1CA5_48BF_958D_24D2EA94B219_.wvu.PrintArea" localSheetId="58" hidden="1">'565'!$A$1:$O$31</definedName>
    <definedName name="Z_9FCFC836_1CA5_48BF_958D_24D2EA94B219_.wvu.PrintArea" localSheetId="59" hidden="1">'570'!$B$1:$M$27</definedName>
    <definedName name="Z_9FCFC836_1CA5_48BF_958D_24D2EA94B219_.wvu.PrintArea" localSheetId="60" hidden="1">'602'!$B$1:$P$33</definedName>
    <definedName name="Z_9FCFC836_1CA5_48BF_958D_24D2EA94B219_.wvu.PrintArea" localSheetId="61" hidden="1">'605'!$B$1:$P$33</definedName>
    <definedName name="Z_9FCFC836_1CA5_48BF_958D_24D2EA94B219_.wvu.PrintArea" localSheetId="62" hidden="1">'610'!$A$1:$I$52</definedName>
    <definedName name="Z_9FCFC836_1CA5_48BF_958D_24D2EA94B219_.wvu.PrintArea" localSheetId="63" hidden="1">'615'!$A$1:$K$28</definedName>
    <definedName name="Z_9FCFC836_1CA5_48BF_958D_24D2EA94B219_.wvu.PrintArea" localSheetId="64" hidden="1">'616'!$A$1:$K$49</definedName>
    <definedName name="Z_9FCFC836_1CA5_48BF_958D_24D2EA94B219_.wvu.PrintArea" localSheetId="66" hidden="1">'625'!$B$1:$W$29</definedName>
    <definedName name="Z_9FCFC836_1CA5_48BF_958D_24D2EA94B219_.wvu.PrintArea" localSheetId="67" hidden="1">'635'!$B$1:$P$86</definedName>
    <definedName name="Z_9FCFC836_1CA5_48BF_958D_24D2EA94B219_.wvu.PrintArea" localSheetId="69" hidden="1">'705'!$C$1:$R$45</definedName>
    <definedName name="Z_9FCFC836_1CA5_48BF_958D_24D2EA94B219_.wvu.PrintArea" localSheetId="70" hidden="1">'710'!$B$1:$S$71</definedName>
    <definedName name="Z_9FCFC836_1CA5_48BF_958D_24D2EA94B219_.wvu.PrintArea" localSheetId="71" hidden="1">'715'!$C$1:$R$37</definedName>
    <definedName name="Z_9FCFC836_1CA5_48BF_958D_24D2EA94B219_.wvu.PrintArea" localSheetId="73" hidden="1">'725'!$C$1:$R$45</definedName>
    <definedName name="Z_9FCFC836_1CA5_48BF_958D_24D2EA94B219_.wvu.PrintArea" localSheetId="76" hidden="1">'740'!$C$1:$P$52</definedName>
    <definedName name="Z_9FCFC836_1CA5_48BF_958D_24D2EA94B219_.wvu.PrintArea" localSheetId="77" hidden="1">'745'!$C$1:$S$46</definedName>
    <definedName name="Z_9FCFC836_1CA5_48BF_958D_24D2EA94B219_.wvu.PrintArea" localSheetId="79" hidden="1">'756'!$B$1:$S$45</definedName>
    <definedName name="Z_9FCFC836_1CA5_48BF_958D_24D2EA94B219_.wvu.PrintArea" localSheetId="85" hidden="1">'906-6B'!$B$1:$K$92</definedName>
    <definedName name="Z_9FCFC836_1CA5_48BF_958D_24D2EA94B219_.wvu.PrintArea" localSheetId="87" hidden="1">'906-6BC'!$B$1:$K$93</definedName>
    <definedName name="Z_9FCFC836_1CA5_48BF_958D_24D2EA94B219_.wvu.PrintArea" localSheetId="86" hidden="1">'906-6C'!$B$1:$K$92</definedName>
    <definedName name="Z_9FCFC836_1CA5_48BF_958D_24D2EA94B219_.wvu.PrintArea" localSheetId="88" hidden="1">'907'!$A$1:$L$38</definedName>
    <definedName name="Z_9FCFC836_1CA5_48BF_958D_24D2EA94B219_.wvu.PrintArea" localSheetId="89" hidden="1">'910'!$B$1:$N$255</definedName>
    <definedName name="Z_9FCFC836_1CA5_48BF_958D_24D2EA94B219_.wvu.PrintArea" localSheetId="90" hidden="1">'910Hosp'!$B$1:$N$254</definedName>
    <definedName name="Z_9FCFC836_1CA5_48BF_958D_24D2EA94B219_.wvu.PrintArea" localSheetId="91" hidden="1">'911-6B'!$B$1:$L$91</definedName>
    <definedName name="Z_9FCFC836_1CA5_48BF_958D_24D2EA94B219_.wvu.PrintArea" localSheetId="92" hidden="1">'911-6C'!$B$1:$L$91</definedName>
    <definedName name="Z_9FCFC836_1CA5_48BF_958D_24D2EA94B219_.wvu.PrintArea" localSheetId="100" hidden="1">'All Agencies'!$C$1:$I$145</definedName>
    <definedName name="Z_9FCFC836_1CA5_48BF_958D_24D2EA94B219_.wvu.PrintArea" localSheetId="94" hidden="1">Comments!$A$1:$N$39</definedName>
    <definedName name="Z_9FCFC836_1CA5_48BF_958D_24D2EA94B219_.wvu.PrintArea" localSheetId="93" hidden="1">Explanations!$A$1:$N$49</definedName>
    <definedName name="Z_9FCFC836_1CA5_48BF_958D_24D2EA94B219_.wvu.PrintArea" localSheetId="83" hidden="1">'For 905-NCAS Acct Roll-up'!#REF!</definedName>
    <definedName name="Z_9FCFC836_1CA5_48BF_958D_24D2EA94B219_.wvu.PrintArea" localSheetId="2" hidden="1">Index!$A$1:$P$122</definedName>
    <definedName name="Z_9FCFC836_1CA5_48BF_958D_24D2EA94B219_.wvu.PrintArea" localSheetId="99" hidden="1">PriorYr906!$B$1:$K$92</definedName>
    <definedName name="Z_9FCFC836_1CA5_48BF_958D_24D2EA94B219_.wvu.PrintTitles" localSheetId="13" hidden="1">'220'!$1:$10</definedName>
    <definedName name="Z_9FCFC836_1CA5_48BF_958D_24D2EA94B219_.wvu.PrintTitles" localSheetId="82" hidden="1">'905'!$1:$9</definedName>
    <definedName name="Z_9FCFC836_1CA5_48BF_958D_24D2EA94B219_.wvu.PrintTitles" localSheetId="84" hidden="1">'905Hosp'!$1:$10</definedName>
    <definedName name="Z_9FCFC836_1CA5_48BF_958D_24D2EA94B219_.wvu.PrintTitles" localSheetId="85" hidden="1">'906-6B'!$1:$9</definedName>
    <definedName name="Z_9FCFC836_1CA5_48BF_958D_24D2EA94B219_.wvu.PrintTitles" localSheetId="87" hidden="1">'906-6BC'!$1:$9</definedName>
    <definedName name="Z_9FCFC836_1CA5_48BF_958D_24D2EA94B219_.wvu.PrintTitles" localSheetId="86" hidden="1">'906-6C'!$1:$9</definedName>
    <definedName name="Z_9FCFC836_1CA5_48BF_958D_24D2EA94B219_.wvu.PrintTitles" localSheetId="89" hidden="1">'910'!$1:$10</definedName>
    <definedName name="Z_9FCFC836_1CA5_48BF_958D_24D2EA94B219_.wvu.PrintTitles" localSheetId="90" hidden="1">'910Hosp'!$1:$10</definedName>
    <definedName name="Z_9FCFC836_1CA5_48BF_958D_24D2EA94B219_.wvu.PrintTitles" localSheetId="91" hidden="1">'911-6B'!$1:$11</definedName>
    <definedName name="Z_9FCFC836_1CA5_48BF_958D_24D2EA94B219_.wvu.PrintTitles" localSheetId="92" hidden="1">'911-6C'!$1:$11</definedName>
    <definedName name="Z_9FCFC836_1CA5_48BF_958D_24D2EA94B219_.wvu.PrintTitles" localSheetId="100" hidden="1">'All Agencies'!$1:$2</definedName>
    <definedName name="Z_9FCFC836_1CA5_48BF_958D_24D2EA94B219_.wvu.PrintTitles" localSheetId="2" hidden="1">Index!$1:$16</definedName>
    <definedName name="Z_9FCFC836_1CA5_48BF_958D_24D2EA94B219_.wvu.PrintTitles" localSheetId="99" hidden="1">PriorYr906!$1:$9</definedName>
    <definedName name="Z_9FCFC836_1CA5_48BF_958D_24D2EA94B219_.wvu.Rows" localSheetId="11" hidden="1">'210'!$15:$15</definedName>
    <definedName name="Z_9FCFC836_1CA5_48BF_958D_24D2EA94B219_.wvu.Rows" localSheetId="14" hidden="1">'301'!#REF!,'301'!$27:$27,'301'!#REF!</definedName>
    <definedName name="Z_9FCFC836_1CA5_48BF_958D_24D2EA94B219_.wvu.Rows" localSheetId="17" hidden="1">'315'!$31:$31</definedName>
    <definedName name="Z_9FCFC836_1CA5_48BF_958D_24D2EA94B219_.wvu.Rows" localSheetId="41" hidden="1">'430BTA'!#REF!,'430BTA'!$19:$21</definedName>
    <definedName name="Z_9FCFC836_1CA5_48BF_958D_24D2EA94B219_.wvu.Rows" localSheetId="42" hidden="1">'430F'!#REF!,'430F'!$17:$19</definedName>
    <definedName name="Z_9FCFC836_1CA5_48BF_958D_24D2EA94B219_.wvu.Rows" localSheetId="40" hidden="1">'430G'!$19:$21,'430G'!$42:$42</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'201'!$A:$A</definedName>
    <definedName name="Z_B08879A4_635B_4C39_9937_AC7883D562FC_.wvu.Cols" localSheetId="11" hidden="1">'210'!$A:$A</definedName>
    <definedName name="Z_B08879A4_635B_4C39_9937_AC7883D562FC_.wvu.Cols" localSheetId="14" hidden="1">'301'!$A:$B,'301'!$M:$AC</definedName>
    <definedName name="Z_B08879A4_635B_4C39_9937_AC7883D562FC_.wvu.Cols" localSheetId="15" hidden="1">'305'!$A:$A,'305'!$Q:$Y</definedName>
    <definedName name="Z_B08879A4_635B_4C39_9937_AC7883D562FC_.wvu.Cols" localSheetId="16" hidden="1">'310'!$A:$A,'310'!$Q:$Y</definedName>
    <definedName name="Z_B08879A4_635B_4C39_9937_AC7883D562FC_.wvu.Cols" localSheetId="17" hidden="1">'315'!$A:$A,'315'!$R:$T</definedName>
    <definedName name="Z_B08879A4_635B_4C39_9937_AC7883D562FC_.wvu.Cols" localSheetId="18" hidden="1">'320'!$A:$A,'320'!$T:$V</definedName>
    <definedName name="Z_B08879A4_635B_4C39_9937_AC7883D562FC_.wvu.Cols" localSheetId="20" hidden="1">'323'!$A:$A</definedName>
    <definedName name="Z_B08879A4_635B_4C39_9937_AC7883D562FC_.wvu.Cols" localSheetId="21" hidden="1">'325'!$B:$B</definedName>
    <definedName name="Z_B08879A4_635B_4C39_9937_AC7883D562FC_.wvu.Cols" localSheetId="22" hidden="1">'330'!$A:$A</definedName>
    <definedName name="Z_B08879A4_635B_4C39_9937_AC7883D562FC_.wvu.Cols" localSheetId="27" hidden="1">'345'!$A:$A</definedName>
    <definedName name="Z_B08879A4_635B_4C39_9937_AC7883D562FC_.wvu.Cols" localSheetId="29" hidden="1">'355'!$A:$A</definedName>
    <definedName name="Z_B08879A4_635B_4C39_9937_AC7883D562FC_.wvu.Cols" localSheetId="38" hidden="1">'420'!$A:$A</definedName>
    <definedName name="Z_B08879A4_635B_4C39_9937_AC7883D562FC_.wvu.Cols" localSheetId="45" hidden="1">'501'!$A:$A,'501'!$V:$AO</definedName>
    <definedName name="Z_B08879A4_635B_4C39_9937_AC7883D562FC_.wvu.Cols" localSheetId="47" hidden="1">'510'!$A:$A,'510'!#REF!</definedName>
    <definedName name="Z_B08879A4_635B_4C39_9937_AC7883D562FC_.wvu.Cols" localSheetId="48" hidden="1">'515'!$A:$A,'515'!#REF!,'515'!#REF!</definedName>
    <definedName name="Z_B08879A4_635B_4C39_9937_AC7883D562FC_.wvu.Cols" localSheetId="49" hidden="1">'520'!$A:$A,'520'!#REF!,'520'!#REF!</definedName>
    <definedName name="Z_B08879A4_635B_4C39_9937_AC7883D562FC_.wvu.Cols" localSheetId="50" hidden="1">'525'!$A:$A,'525'!#REF!,'525'!#REF!</definedName>
    <definedName name="Z_B08879A4_635B_4C39_9937_AC7883D562FC_.wvu.Cols" localSheetId="51" hidden="1">'530'!$A:$A,'530'!#REF!,'530'!#REF!</definedName>
    <definedName name="Z_B08879A4_635B_4C39_9937_AC7883D562FC_.wvu.Cols" localSheetId="52" hidden="1">'535'!$A:$A,'535'!$R:$W</definedName>
    <definedName name="Z_B08879A4_635B_4C39_9937_AC7883D562FC_.wvu.Cols" localSheetId="58" hidden="1">'565'!$A:$A,'565'!$P:$X</definedName>
    <definedName name="Z_B08879A4_635B_4C39_9937_AC7883D562FC_.wvu.Cols" localSheetId="59" hidden="1">'570'!$A:$A</definedName>
    <definedName name="Z_B08879A4_635B_4C39_9937_AC7883D562FC_.wvu.Cols" localSheetId="60" hidden="1">'602'!$A:$A,'602'!$Q:$Q</definedName>
    <definedName name="Z_B08879A4_635B_4C39_9937_AC7883D562FC_.wvu.Cols" localSheetId="61" hidden="1">'605'!$A:$A,'605'!$Q:$Q</definedName>
    <definedName name="Z_B08879A4_635B_4C39_9937_AC7883D562FC_.wvu.Cols" localSheetId="66" hidden="1">'625'!$A:$A</definedName>
    <definedName name="Z_B08879A4_635B_4C39_9937_AC7883D562FC_.wvu.Cols" localSheetId="67" hidden="1">'635'!$A:$A</definedName>
    <definedName name="Z_B08879A4_635B_4C39_9937_AC7883D562FC_.wvu.Cols" localSheetId="69" hidden="1">'705'!$A:$B,'705'!$S:$S</definedName>
    <definedName name="Z_B08879A4_635B_4C39_9937_AC7883D562FC_.wvu.Cols" localSheetId="71" hidden="1">'715'!$A:$B,'715'!$S:$S</definedName>
    <definedName name="Z_B08879A4_635B_4C39_9937_AC7883D562FC_.wvu.Cols" localSheetId="73" hidden="1">'725'!$A:$B</definedName>
    <definedName name="Z_B08879A4_635B_4C39_9937_AC7883D562FC_.wvu.Cols" localSheetId="74" hidden="1">'730'!$A:$A</definedName>
    <definedName name="Z_B08879A4_635B_4C39_9937_AC7883D562FC_.wvu.Cols" localSheetId="75" hidden="1">'735'!$A:$B</definedName>
    <definedName name="Z_B08879A4_635B_4C39_9937_AC7883D562FC_.wvu.Cols" localSheetId="76" hidden="1">'740'!$A:$B</definedName>
    <definedName name="Z_B08879A4_635B_4C39_9937_AC7883D562FC_.wvu.Cols" localSheetId="77" hidden="1">'745'!$A:$B</definedName>
    <definedName name="Z_B08879A4_635B_4C39_9937_AC7883D562FC_.wvu.Cols" localSheetId="100"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'101'!$B$1:$L$70</definedName>
    <definedName name="Z_B08879A4_635B_4C39_9937_AC7883D562FC_.wvu.PrintArea" localSheetId="5" hidden="1">'105'!$A$1:$K$58</definedName>
    <definedName name="Z_B08879A4_635B_4C39_9937_AC7883D562FC_.wvu.PrintArea" localSheetId="6" hidden="1">'110'!$B$1:$J$77</definedName>
    <definedName name="Z_B08879A4_635B_4C39_9937_AC7883D562FC_.wvu.PrintArea" localSheetId="7" hidden="1">'120'!$B$1:$J$78</definedName>
    <definedName name="Z_B08879A4_635B_4C39_9937_AC7883D562FC_.wvu.PrintArea" localSheetId="8" hidden="1">'201'!$B$1:$T$58</definedName>
    <definedName name="Z_B08879A4_635B_4C39_9937_AC7883D562FC_.wvu.PrintArea" localSheetId="11" hidden="1">'210'!$B$1:$Q$38</definedName>
    <definedName name="Z_B08879A4_635B_4C39_9937_AC7883D562FC_.wvu.PrintArea" localSheetId="12" hidden="1">'215'!$A$1:$N$72</definedName>
    <definedName name="Z_B08879A4_635B_4C39_9937_AC7883D562FC_.wvu.PrintArea" localSheetId="13" hidden="1">'220'!$A$1:$H$119</definedName>
    <definedName name="Z_B08879A4_635B_4C39_9937_AC7883D562FC_.wvu.PrintArea" localSheetId="14" hidden="1">'301'!$C$1:$L$53</definedName>
    <definedName name="Z_B08879A4_635B_4C39_9937_AC7883D562FC_.wvu.PrintArea" localSheetId="15" hidden="1">'305'!$B$1:$P$43</definedName>
    <definedName name="Z_B08879A4_635B_4C39_9937_AC7883D562FC_.wvu.PrintArea" localSheetId="16" hidden="1">'310'!$A$1:$P$45</definedName>
    <definedName name="Z_B08879A4_635B_4C39_9937_AC7883D562FC_.wvu.PrintArea" localSheetId="17" hidden="1">'315'!$B$1:$Q$71</definedName>
    <definedName name="Z_B08879A4_635B_4C39_9937_AC7883D562FC_.wvu.PrintArea" localSheetId="18" hidden="1">'320'!$B$1:$S$69</definedName>
    <definedName name="Z_B08879A4_635B_4C39_9937_AC7883D562FC_.wvu.PrintArea" localSheetId="19" hidden="1">'322'!$A$1:$N$62</definedName>
    <definedName name="Z_B08879A4_635B_4C39_9937_AC7883D562FC_.wvu.PrintArea" localSheetId="20" hidden="1">'323'!$B$1:$K$132</definedName>
    <definedName name="Z_B08879A4_635B_4C39_9937_AC7883D562FC_.wvu.PrintArea" localSheetId="21" hidden="1">'325'!$C$1:$P$47</definedName>
    <definedName name="Z_B08879A4_635B_4C39_9937_AC7883D562FC_.wvu.PrintArea" localSheetId="22" hidden="1">'330'!$B$1:$N$59</definedName>
    <definedName name="Z_B08879A4_635B_4C39_9937_AC7883D562FC_.wvu.PrintArea" localSheetId="24" hidden="1">'340'!$A$1:$R$44</definedName>
    <definedName name="Z_B08879A4_635B_4C39_9937_AC7883D562FC_.wvu.PrintArea" localSheetId="25" hidden="1">'341'!$A$1:$R$41</definedName>
    <definedName name="Z_B08879A4_635B_4C39_9937_AC7883D562FC_.wvu.PrintArea" localSheetId="26" hidden="1">'342'!$A$1:$R$40</definedName>
    <definedName name="Z_B08879A4_635B_4C39_9937_AC7883D562FC_.wvu.PrintArea" localSheetId="27" hidden="1">'345'!$B$1:$L$53</definedName>
    <definedName name="Z_B08879A4_635B_4C39_9937_AC7883D562FC_.wvu.PrintArea" localSheetId="28" hidden="1">'350'!$A$1:$G$55</definedName>
    <definedName name="Z_B08879A4_635B_4C39_9937_AC7883D562FC_.wvu.PrintArea" localSheetId="29" hidden="1">'355'!$B$1:$M$52</definedName>
    <definedName name="Z_B08879A4_635B_4C39_9937_AC7883D562FC_.wvu.PrintArea" localSheetId="34" hidden="1">'401'!$A$1:$H$50</definedName>
    <definedName name="Z_B08879A4_635B_4C39_9937_AC7883D562FC_.wvu.PrintArea" localSheetId="35" hidden="1">'405'!$A$1:$H$47</definedName>
    <definedName name="Z_B08879A4_635B_4C39_9937_AC7883D562FC_.wvu.PrintArea" localSheetId="36" hidden="1">'410'!$A$1:$H$46</definedName>
    <definedName name="Z_B08879A4_635B_4C39_9937_AC7883D562FC_.wvu.PrintArea" localSheetId="37" hidden="1">'415'!$A$1:$H$47</definedName>
    <definedName name="Z_B08879A4_635B_4C39_9937_AC7883D562FC_.wvu.PrintArea" localSheetId="38" hidden="1">'420'!$B$1:$M$23</definedName>
    <definedName name="Z_B08879A4_635B_4C39_9937_AC7883D562FC_.wvu.PrintArea" localSheetId="39" hidden="1">'425'!$A$1:$L$35</definedName>
    <definedName name="Z_B08879A4_635B_4C39_9937_AC7883D562FC_.wvu.PrintArea" localSheetId="45" hidden="1">'501'!$B$1:$U$35</definedName>
    <definedName name="Z_B08879A4_635B_4C39_9937_AC7883D562FC_.wvu.PrintArea" localSheetId="46" hidden="1">'505'!$B$1:$R$31</definedName>
    <definedName name="Z_B08879A4_635B_4C39_9937_AC7883D562FC_.wvu.PrintArea" localSheetId="47" hidden="1">'510'!$B$1:$P$33</definedName>
    <definedName name="Z_B08879A4_635B_4C39_9937_AC7883D562FC_.wvu.PrintArea" localSheetId="48" hidden="1">'515'!$B$1:$P$33</definedName>
    <definedName name="Z_B08879A4_635B_4C39_9937_AC7883D562FC_.wvu.PrintArea" localSheetId="49" hidden="1">'520'!$B$1:$P$33</definedName>
    <definedName name="Z_B08879A4_635B_4C39_9937_AC7883D562FC_.wvu.PrintArea" localSheetId="50" hidden="1">'525'!$B$1:$P$39</definedName>
    <definedName name="Z_B08879A4_635B_4C39_9937_AC7883D562FC_.wvu.PrintArea" localSheetId="51" hidden="1">'530'!$B$1:$P$33</definedName>
    <definedName name="Z_B08879A4_635B_4C39_9937_AC7883D562FC_.wvu.PrintArea" localSheetId="52" hidden="1">'535'!$B$1:$Q$36</definedName>
    <definedName name="Z_B08879A4_635B_4C39_9937_AC7883D562FC_.wvu.PrintArea" localSheetId="58" hidden="1">'565'!$A$1:$O$31</definedName>
    <definedName name="Z_B08879A4_635B_4C39_9937_AC7883D562FC_.wvu.PrintArea" localSheetId="59" hidden="1">'570'!$B$1:$M$27</definedName>
    <definedName name="Z_B08879A4_635B_4C39_9937_AC7883D562FC_.wvu.PrintArea" localSheetId="60" hidden="1">'602'!$B$1:$P$33</definedName>
    <definedName name="Z_B08879A4_635B_4C39_9937_AC7883D562FC_.wvu.PrintArea" localSheetId="61" hidden="1">'605'!$B$1:$P$33</definedName>
    <definedName name="Z_B08879A4_635B_4C39_9937_AC7883D562FC_.wvu.PrintArea" localSheetId="62" hidden="1">'610'!$A$1:$I$52</definedName>
    <definedName name="Z_B08879A4_635B_4C39_9937_AC7883D562FC_.wvu.PrintArea" localSheetId="63" hidden="1">'615'!$A$1:$K$28</definedName>
    <definedName name="Z_B08879A4_635B_4C39_9937_AC7883D562FC_.wvu.PrintArea" localSheetId="64" hidden="1">'616'!$A$1:$K$49</definedName>
    <definedName name="Z_B08879A4_635B_4C39_9937_AC7883D562FC_.wvu.PrintArea" localSheetId="66" hidden="1">'625'!$B$1:$W$29</definedName>
    <definedName name="Z_B08879A4_635B_4C39_9937_AC7883D562FC_.wvu.PrintArea" localSheetId="67" hidden="1">'635'!$B$1:$P$86</definedName>
    <definedName name="Z_B08879A4_635B_4C39_9937_AC7883D562FC_.wvu.PrintArea" localSheetId="69" hidden="1">'705'!$C$1:$R$45</definedName>
    <definedName name="Z_B08879A4_635B_4C39_9937_AC7883D562FC_.wvu.PrintArea" localSheetId="70" hidden="1">'710'!$B$1:$S$71</definedName>
    <definedName name="Z_B08879A4_635B_4C39_9937_AC7883D562FC_.wvu.PrintArea" localSheetId="71" hidden="1">'715'!$C$1:$R$37</definedName>
    <definedName name="Z_B08879A4_635B_4C39_9937_AC7883D562FC_.wvu.PrintArea" localSheetId="73" hidden="1">'725'!$C$1:$R$45</definedName>
    <definedName name="Z_B08879A4_635B_4C39_9937_AC7883D562FC_.wvu.PrintArea" localSheetId="76" hidden="1">'740'!$C$1:$P$52</definedName>
    <definedName name="Z_B08879A4_635B_4C39_9937_AC7883D562FC_.wvu.PrintArea" localSheetId="77" hidden="1">'745'!$C$1:$S$46</definedName>
    <definedName name="Z_B08879A4_635B_4C39_9937_AC7883D562FC_.wvu.PrintArea" localSheetId="79" hidden="1">'756'!$B$1:$S$45</definedName>
    <definedName name="Z_B08879A4_635B_4C39_9937_AC7883D562FC_.wvu.PrintArea" localSheetId="85" hidden="1">'906-6B'!$B$1:$K$92</definedName>
    <definedName name="Z_B08879A4_635B_4C39_9937_AC7883D562FC_.wvu.PrintArea" localSheetId="87" hidden="1">'906-6BC'!$B$1:$K$93</definedName>
    <definedName name="Z_B08879A4_635B_4C39_9937_AC7883D562FC_.wvu.PrintArea" localSheetId="86" hidden="1">'906-6C'!$B$1:$K$92</definedName>
    <definedName name="Z_B08879A4_635B_4C39_9937_AC7883D562FC_.wvu.PrintArea" localSheetId="88" hidden="1">'907'!$A$1:$L$38</definedName>
    <definedName name="Z_B08879A4_635B_4C39_9937_AC7883D562FC_.wvu.PrintArea" localSheetId="89" hidden="1">'910'!$B$1:$N$255</definedName>
    <definedName name="Z_B08879A4_635B_4C39_9937_AC7883D562FC_.wvu.PrintArea" localSheetId="90" hidden="1">'910Hosp'!$B$1:$N$254</definedName>
    <definedName name="Z_B08879A4_635B_4C39_9937_AC7883D562FC_.wvu.PrintArea" localSheetId="91" hidden="1">'911-6B'!$B$1:$L$91</definedName>
    <definedName name="Z_B08879A4_635B_4C39_9937_AC7883D562FC_.wvu.PrintArea" localSheetId="92" hidden="1">'911-6C'!$B$1:$L$91</definedName>
    <definedName name="Z_B08879A4_635B_4C39_9937_AC7883D562FC_.wvu.PrintArea" localSheetId="100" hidden="1">'All Agencies'!$C$1:$I$145</definedName>
    <definedName name="Z_B08879A4_635B_4C39_9937_AC7883D562FC_.wvu.PrintArea" localSheetId="94" hidden="1">Comments!$A$1:$N$39</definedName>
    <definedName name="Z_B08879A4_635B_4C39_9937_AC7883D562FC_.wvu.PrintArea" localSheetId="93" hidden="1">Explanations!$A$1:$N$49</definedName>
    <definedName name="Z_B08879A4_635B_4C39_9937_AC7883D562FC_.wvu.PrintArea" localSheetId="83" hidden="1">'For 905-NCAS Acct Roll-up'!#REF!</definedName>
    <definedName name="Z_B08879A4_635B_4C39_9937_AC7883D562FC_.wvu.PrintArea" localSheetId="2" hidden="1">Index!$A$1:$P$122</definedName>
    <definedName name="Z_B08879A4_635B_4C39_9937_AC7883D562FC_.wvu.PrintArea" localSheetId="99" hidden="1">PriorYr906!$B$1:$K$92</definedName>
    <definedName name="Z_B08879A4_635B_4C39_9937_AC7883D562FC_.wvu.PrintTitles" localSheetId="13" hidden="1">'220'!$1:$10</definedName>
    <definedName name="Z_B08879A4_635B_4C39_9937_AC7883D562FC_.wvu.PrintTitles" localSheetId="82" hidden="1">'905'!$1:$9</definedName>
    <definedName name="Z_B08879A4_635B_4C39_9937_AC7883D562FC_.wvu.PrintTitles" localSheetId="84" hidden="1">'905Hosp'!$1:$10</definedName>
    <definedName name="Z_B08879A4_635B_4C39_9937_AC7883D562FC_.wvu.PrintTitles" localSheetId="85" hidden="1">'906-6B'!$1:$9</definedName>
    <definedName name="Z_B08879A4_635B_4C39_9937_AC7883D562FC_.wvu.PrintTitles" localSheetId="87" hidden="1">'906-6BC'!$1:$9</definedName>
    <definedName name="Z_B08879A4_635B_4C39_9937_AC7883D562FC_.wvu.PrintTitles" localSheetId="86" hidden="1">'906-6C'!$1:$9</definedName>
    <definedName name="Z_B08879A4_635B_4C39_9937_AC7883D562FC_.wvu.PrintTitles" localSheetId="89" hidden="1">'910'!$1:$10</definedName>
    <definedName name="Z_B08879A4_635B_4C39_9937_AC7883D562FC_.wvu.PrintTitles" localSheetId="90" hidden="1">'910Hosp'!$1:$10</definedName>
    <definedName name="Z_B08879A4_635B_4C39_9937_AC7883D562FC_.wvu.PrintTitles" localSheetId="91" hidden="1">'911-6B'!$1:$11</definedName>
    <definedName name="Z_B08879A4_635B_4C39_9937_AC7883D562FC_.wvu.PrintTitles" localSheetId="92" hidden="1">'911-6C'!$1:$11</definedName>
    <definedName name="Z_B08879A4_635B_4C39_9937_AC7883D562FC_.wvu.PrintTitles" localSheetId="100" hidden="1">'All Agencies'!$1:$2</definedName>
    <definedName name="Z_B08879A4_635B_4C39_9937_AC7883D562FC_.wvu.PrintTitles" localSheetId="2" hidden="1">Index!$1:$16</definedName>
    <definedName name="Z_B08879A4_635B_4C39_9937_AC7883D562FC_.wvu.PrintTitles" localSheetId="99" hidden="1">PriorYr906!$1:$9</definedName>
    <definedName name="Z_B08879A4_635B_4C39_9937_AC7883D562FC_.wvu.Rows" localSheetId="11" hidden="1">'210'!$15:$15</definedName>
    <definedName name="Z_B08879A4_635B_4C39_9937_AC7883D562FC_.wvu.Rows" localSheetId="14" hidden="1">'301'!#REF!,'301'!$27:$27,'301'!#REF!</definedName>
    <definedName name="Z_B08879A4_635B_4C39_9937_AC7883D562FC_.wvu.Rows" localSheetId="17" hidden="1">'315'!$31:$31</definedName>
    <definedName name="Z_B08879A4_635B_4C39_9937_AC7883D562FC_.wvu.Rows" localSheetId="41" hidden="1">'430BTA'!#REF!,'430BTA'!$19:$21</definedName>
    <definedName name="Z_B08879A4_635B_4C39_9937_AC7883D562FC_.wvu.Rows" localSheetId="42" hidden="1">'430F'!#REF!,'430F'!$17:$19</definedName>
    <definedName name="Z_B08879A4_635B_4C39_9937_AC7883D562FC_.wvu.Rows" localSheetId="40" hidden="1">'430G'!$19:$21,'430G'!$42:$42</definedName>
    <definedName name="Z_BEA4BE86_04D1_4C96_9358_7A260B9D2B2D_.wvu.Cols" localSheetId="45" hidden="1">'501'!#REF!,'501'!#REF!</definedName>
    <definedName name="Z_BEA4BE86_04D1_4C96_9358_7A260B9D2B2D_.wvu.PrintArea" localSheetId="4" hidden="1">'101'!$B$1:$L$63</definedName>
    <definedName name="Z_BEA4BE86_04D1_4C96_9358_7A260B9D2B2D_.wvu.PrintArea" localSheetId="6" hidden="1">'110'!$B$1:$J$70</definedName>
    <definedName name="Z_BEA4BE86_04D1_4C96_9358_7A260B9D2B2D_.wvu.PrintArea" localSheetId="7" hidden="1">'120'!$B$1:$J$71</definedName>
    <definedName name="Z_BEA4BE86_04D1_4C96_9358_7A260B9D2B2D_.wvu.PrintArea" localSheetId="11" hidden="1">'210'!$B$1:$R$31</definedName>
    <definedName name="Z_BEA4BE86_04D1_4C96_9358_7A260B9D2B2D_.wvu.PrintArea" localSheetId="12" hidden="1">'215'!$A$1:$N$72</definedName>
    <definedName name="Z_BEA4BE86_04D1_4C96_9358_7A260B9D2B2D_.wvu.PrintArea" localSheetId="14" hidden="1">'301'!$C$1:$L$53</definedName>
    <definedName name="Z_BEA4BE86_04D1_4C96_9358_7A260B9D2B2D_.wvu.PrintArea" localSheetId="15" hidden="1">'305'!$B$1:$P$42</definedName>
    <definedName name="Z_BEA4BE86_04D1_4C96_9358_7A260B9D2B2D_.wvu.PrintArea" localSheetId="17" hidden="1">'315'!$B$1:$Q$71</definedName>
    <definedName name="Z_BEA4BE86_04D1_4C96_9358_7A260B9D2B2D_.wvu.PrintArea" localSheetId="18" hidden="1">'320'!$B$1:$S$62</definedName>
    <definedName name="Z_BEA4BE86_04D1_4C96_9358_7A260B9D2B2D_.wvu.PrintArea" localSheetId="19" hidden="1">'322'!$A$1:$N$10</definedName>
    <definedName name="Z_BEA4BE86_04D1_4C96_9358_7A260B9D2B2D_.wvu.PrintArea" localSheetId="20" hidden="1">'323'!$B$1:$K$125</definedName>
    <definedName name="Z_BEA4BE86_04D1_4C96_9358_7A260B9D2B2D_.wvu.PrintArea" localSheetId="21" hidden="1">'325'!$C$1:$P$60</definedName>
    <definedName name="Z_BEA4BE86_04D1_4C96_9358_7A260B9D2B2D_.wvu.PrintArea" localSheetId="22" hidden="1">'330'!$B$1:$N$59</definedName>
    <definedName name="Z_BEA4BE86_04D1_4C96_9358_7A260B9D2B2D_.wvu.PrintArea" localSheetId="24" hidden="1">'340'!$A$1:$R$9</definedName>
    <definedName name="Z_BEA4BE86_04D1_4C96_9358_7A260B9D2B2D_.wvu.PrintArea" localSheetId="25" hidden="1">'341'!$A$1:$R$9</definedName>
    <definedName name="Z_BEA4BE86_04D1_4C96_9358_7A260B9D2B2D_.wvu.PrintArea" localSheetId="26" hidden="1">'342'!$A$1:$R$9</definedName>
    <definedName name="Z_BEA4BE86_04D1_4C96_9358_7A260B9D2B2D_.wvu.PrintArea" localSheetId="27" hidden="1">'345'!$B$1:$L$53</definedName>
    <definedName name="Z_BEA4BE86_04D1_4C96_9358_7A260B9D2B2D_.wvu.PrintArea" localSheetId="28" hidden="1">'350'!$A$1:$H$41</definedName>
    <definedName name="Z_BEA4BE86_04D1_4C96_9358_7A260B9D2B2D_.wvu.PrintArea" localSheetId="29" hidden="1">'355'!$B$1:$M$52</definedName>
    <definedName name="Z_BEA4BE86_04D1_4C96_9358_7A260B9D2B2D_.wvu.PrintArea" localSheetId="38" hidden="1">'420'!$B$1:$M$23</definedName>
    <definedName name="Z_BEA4BE86_04D1_4C96_9358_7A260B9D2B2D_.wvu.PrintArea" localSheetId="39" hidden="1">'425'!$B$1:$L$35</definedName>
    <definedName name="Z_BEA4BE86_04D1_4C96_9358_7A260B9D2B2D_.wvu.PrintArea" localSheetId="45" hidden="1">'501'!$B$1:$U$34</definedName>
    <definedName name="Z_BEA4BE86_04D1_4C96_9358_7A260B9D2B2D_.wvu.PrintArea" localSheetId="47" hidden="1">'510'!$B$1:$P$33</definedName>
    <definedName name="Z_BEA4BE86_04D1_4C96_9358_7A260B9D2B2D_.wvu.PrintArea" localSheetId="48" hidden="1">'515'!$B$1:$P$33</definedName>
    <definedName name="Z_BEA4BE86_04D1_4C96_9358_7A260B9D2B2D_.wvu.PrintArea" localSheetId="49" hidden="1">'520'!$B$1:$P$33</definedName>
    <definedName name="Z_BEA4BE86_04D1_4C96_9358_7A260B9D2B2D_.wvu.PrintArea" localSheetId="50" hidden="1">'525'!$B$1:$P$27</definedName>
    <definedName name="Z_BEA4BE86_04D1_4C96_9358_7A260B9D2B2D_.wvu.PrintArea" localSheetId="51" hidden="1">'530'!$B$1:$P$33</definedName>
    <definedName name="Z_BEA4BE86_04D1_4C96_9358_7A260B9D2B2D_.wvu.PrintArea" localSheetId="52" hidden="1">'535'!$B$1:$Q$36</definedName>
    <definedName name="Z_BEA4BE86_04D1_4C96_9358_7A260B9D2B2D_.wvu.PrintArea" localSheetId="53" hidden="1">'540'!$B$1:$Q$33</definedName>
    <definedName name="Z_BEA4BE86_04D1_4C96_9358_7A260B9D2B2D_.wvu.PrintArea" localSheetId="55" hidden="1">'550'!$C$1:$L$37</definedName>
    <definedName name="Z_BEA4BE86_04D1_4C96_9358_7A260B9D2B2D_.wvu.PrintArea" localSheetId="56" hidden="1">'555'!$C$1:$L$36</definedName>
    <definedName name="Z_BEA4BE86_04D1_4C96_9358_7A260B9D2B2D_.wvu.PrintArea" localSheetId="57" hidden="1">'560'!$B$1:$R$30</definedName>
    <definedName name="Z_BEA4BE86_04D1_4C96_9358_7A260B9D2B2D_.wvu.PrintArea" localSheetId="59" hidden="1">'570'!$B$1:$M$27</definedName>
    <definedName name="Z_BEA4BE86_04D1_4C96_9358_7A260B9D2B2D_.wvu.PrintArea" localSheetId="60" hidden="1">'602'!$B$1:$P$33</definedName>
    <definedName name="Z_BEA4BE86_04D1_4C96_9358_7A260B9D2B2D_.wvu.PrintArea" localSheetId="61" hidden="1">'605'!$B$1:$P$33</definedName>
    <definedName name="Z_BEA4BE86_04D1_4C96_9358_7A260B9D2B2D_.wvu.PrintArea" localSheetId="62" hidden="1">'610'!$A$1:$I$52</definedName>
    <definedName name="Z_BEA4BE86_04D1_4C96_9358_7A260B9D2B2D_.wvu.PrintArea" localSheetId="63" hidden="1">'615'!$A$1:$K$28</definedName>
    <definedName name="Z_BEA4BE86_04D1_4C96_9358_7A260B9D2B2D_.wvu.PrintArea" localSheetId="64" hidden="1">'616'!$A$1:$K$49</definedName>
    <definedName name="Z_BEA4BE86_04D1_4C96_9358_7A260B9D2B2D_.wvu.PrintArea" localSheetId="66" hidden="1">'625'!$B$1:$W$29</definedName>
    <definedName name="Z_BEA4BE86_04D1_4C96_9358_7A260B9D2B2D_.wvu.PrintArea" localSheetId="67" hidden="1">'635'!$B$1:$P$86</definedName>
    <definedName name="Z_BEA4BE86_04D1_4C96_9358_7A260B9D2B2D_.wvu.PrintArea" localSheetId="69" hidden="1">'705'!$C$1:$R$45</definedName>
    <definedName name="Z_BEA4BE86_04D1_4C96_9358_7A260B9D2B2D_.wvu.PrintArea" localSheetId="70" hidden="1">'710'!$B$1:$S$71</definedName>
    <definedName name="Z_BEA4BE86_04D1_4C96_9358_7A260B9D2B2D_.wvu.PrintArea" localSheetId="71" hidden="1">'715'!$C$1:$R$37</definedName>
    <definedName name="Z_BEA4BE86_04D1_4C96_9358_7A260B9D2B2D_.wvu.PrintArea" localSheetId="76" hidden="1">'740'!$C$1:$P$52</definedName>
    <definedName name="Z_BEA4BE86_04D1_4C96_9358_7A260B9D2B2D_.wvu.PrintArea" localSheetId="77" hidden="1">'745'!$C$1:$S$46</definedName>
    <definedName name="Z_BEA4BE86_04D1_4C96_9358_7A260B9D2B2D_.wvu.PrintArea" localSheetId="79" hidden="1">'756'!$B$1:$S$12</definedName>
    <definedName name="Z_BEA4BE86_04D1_4C96_9358_7A260B9D2B2D_.wvu.PrintArea" localSheetId="94" hidden="1">Comments!$A$1:$N$39</definedName>
    <definedName name="Z_BEA4BE86_04D1_4C96_9358_7A260B9D2B2D_.wvu.PrintArea" localSheetId="93" hidden="1">Explanations!$A$1:$N$9</definedName>
    <definedName name="Z_BEA4BE86_04D1_4C96_9358_7A260B9D2B2D_.wvu.PrintArea" localSheetId="2" hidden="1">Index!$A$1:$L$120</definedName>
    <definedName name="Z_BEA4BE86_04D1_4C96_9358_7A260B9D2B2D_.wvu.PrintTitles" localSheetId="2" hidden="1">Index!$1:$4</definedName>
    <definedName name="Z_BEA4BE86_04D1_4C96_9358_7A260B9D2B2D_.wvu.Rows" localSheetId="2" hidden="1">Index!$1288:$1354</definedName>
  </definedNames>
  <calcPr calcId="191029" fullPrecision="0"/>
  <customWorkbookViews>
    <customWorkbookView name="cpvincent - Personal View" guid="{B08879A4-635B-4C39-9937-AC7883D562FC}" mergeInterval="0" personalView="1" maximized="1" xWindow="1" yWindow="1" windowWidth="1280" windowHeight="832" tabRatio="1000" activeSheetId="27"/>
    <customWorkbookView name="Robert Alford - Personal View" guid="{1250FD07-FF56-4A9D-AF9E-C27124A7EBE9}" mergeInterval="0" personalView="1" maximized="1" windowWidth="1020" windowHeight="579" tabRatio="923" activeSheetId="1"/>
    <customWorkbookView name="Darlene Langston - Personal View" guid="{BEA4BE86-04D1-4C96-9358-7A260B9D2B2D}" mergeInterval="0" personalView="1" maximized="1" windowWidth="1020" windowHeight="556" tabRatio="923" activeSheetId="9"/>
    <customWorkbookView name="amsquirewell - Personal View" guid="{9FCFC836-1CA5-48BF-958D-24D2EA94B219}" mergeInterval="0" personalView="1" maximized="1" xWindow="1" yWindow="1" windowWidth="1280" windowHeight="803" tabRatio="1000"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3" i="113" l="1"/>
  <c r="M60" i="121"/>
  <c r="M59" i="121"/>
  <c r="M55" i="121"/>
  <c r="M54" i="121"/>
  <c r="AE84" i="11"/>
  <c r="AE63" i="11"/>
  <c r="M93" i="121"/>
  <c r="M32" i="121"/>
  <c r="M77" i="113"/>
  <c r="AE77" i="11" l="1"/>
  <c r="AE72" i="11"/>
  <c r="M77" i="121"/>
  <c r="M24" i="121" l="1"/>
  <c r="M17" i="121"/>
  <c r="M16" i="121"/>
  <c r="M15" i="121"/>
  <c r="AD1" i="11" l="1"/>
  <c r="M56" i="121" l="1"/>
  <c r="M58" i="121"/>
  <c r="M53" i="121"/>
  <c r="M57" i="121"/>
  <c r="M52" i="121"/>
  <c r="C39" i="79"/>
  <c r="F329" i="80" l="1"/>
  <c r="G329" i="80"/>
  <c r="H329" i="80"/>
  <c r="I329" i="80"/>
  <c r="J329" i="80"/>
  <c r="K329" i="80"/>
  <c r="L329" i="80"/>
  <c r="M329" i="80"/>
  <c r="N329" i="80"/>
  <c r="O329" i="80"/>
  <c r="P329" i="80"/>
  <c r="Q329" i="80"/>
  <c r="R329" i="80"/>
  <c r="S329" i="80"/>
  <c r="T329" i="80"/>
  <c r="U329" i="80"/>
  <c r="V329" i="80"/>
  <c r="W329" i="80"/>
  <c r="X329" i="80"/>
  <c r="Y329" i="80"/>
  <c r="Z329" i="80"/>
  <c r="AA329" i="80"/>
  <c r="AB329" i="80"/>
  <c r="AC329" i="80"/>
  <c r="AD329" i="80"/>
  <c r="AE329" i="80"/>
  <c r="AF329" i="80"/>
  <c r="AG329" i="80"/>
  <c r="E329" i="80"/>
  <c r="Z325" i="80"/>
  <c r="Y325" i="80"/>
  <c r="V325" i="80"/>
  <c r="U325" i="80"/>
  <c r="R325" i="80"/>
  <c r="Q325" i="80"/>
  <c r="P325" i="80"/>
  <c r="F276" i="80"/>
  <c r="D229" i="80"/>
  <c r="E241" i="80"/>
  <c r="D184" i="80"/>
  <c r="F184" i="72"/>
  <c r="G184" i="66"/>
  <c r="F186" i="66"/>
  <c r="D267" i="80"/>
  <c r="D268" i="80"/>
  <c r="D269" i="80"/>
  <c r="D270" i="80"/>
  <c r="D238" i="80"/>
  <c r="D170" i="80"/>
  <c r="D73" i="80"/>
  <c r="D74" i="80"/>
  <c r="D75" i="80"/>
  <c r="D76" i="80"/>
  <c r="D48" i="80"/>
  <c r="D30" i="80"/>
  <c r="M32" i="28"/>
  <c r="M33" i="28"/>
  <c r="M34" i="28"/>
  <c r="M31" i="28"/>
  <c r="M30" i="28"/>
  <c r="H33" i="118" l="1"/>
  <c r="A2" i="121"/>
  <c r="A2" i="2"/>
  <c r="A2" i="1"/>
  <c r="N31" i="3" l="1"/>
  <c r="M102" i="113"/>
  <c r="M103" i="113" s="1"/>
  <c r="M86" i="113"/>
  <c r="M87" i="113" l="1"/>
  <c r="M109" i="113" s="1"/>
  <c r="AE56" i="11" l="1"/>
  <c r="F237" i="90"/>
  <c r="F170" i="90"/>
  <c r="F48" i="90"/>
  <c r="F30" i="90"/>
  <c r="F238" i="72"/>
  <c r="F170" i="72"/>
  <c r="F48" i="72"/>
  <c r="F30" i="72"/>
  <c r="F238" i="68"/>
  <c r="F171" i="68"/>
  <c r="F49" i="68"/>
  <c r="F31" i="68"/>
  <c r="T64" i="113" l="1"/>
  <c r="X77" i="101"/>
  <c r="X74" i="101"/>
  <c r="Y63" i="101"/>
  <c r="T31" i="8" l="1"/>
  <c r="O31" i="8"/>
  <c r="M31" i="8"/>
  <c r="K31" i="8"/>
  <c r="I31" i="8"/>
  <c r="R41" i="5"/>
  <c r="P41" i="5"/>
  <c r="N41" i="5"/>
  <c r="L41" i="5"/>
  <c r="J41" i="5"/>
  <c r="H41" i="5"/>
  <c r="F41" i="5"/>
  <c r="M78" i="121"/>
  <c r="M67" i="121"/>
  <c r="M27" i="121"/>
  <c r="M22" i="121"/>
  <c r="M21" i="121"/>
  <c r="M18" i="121"/>
  <c r="M19" i="121"/>
  <c r="M14" i="121"/>
  <c r="R12" i="36" l="1"/>
  <c r="M12" i="121" l="1"/>
  <c r="M70" i="121" l="1"/>
  <c r="M69" i="121"/>
  <c r="M68" i="121"/>
  <c r="M66" i="121"/>
  <c r="M65" i="121"/>
  <c r="M23" i="121"/>
  <c r="M20" i="121"/>
  <c r="M13" i="121"/>
  <c r="M26" i="121" l="1"/>
  <c r="M25" i="121"/>
  <c r="H44" i="31" l="1"/>
  <c r="G44" i="31"/>
  <c r="F44" i="31"/>
  <c r="E44" i="31"/>
  <c r="D44" i="31"/>
  <c r="H36" i="31"/>
  <c r="G36" i="31"/>
  <c r="F36" i="31"/>
  <c r="E36" i="31"/>
  <c r="D36" i="31"/>
  <c r="M21" i="31"/>
  <c r="F229" i="72"/>
  <c r="F229" i="68"/>
  <c r="F228" i="90" s="1"/>
  <c r="T63" i="112"/>
  <c r="T55" i="112"/>
  <c r="L58" i="55"/>
  <c r="L39" i="55"/>
  <c r="M22" i="32"/>
  <c r="M21" i="32"/>
  <c r="M20" i="32"/>
  <c r="M19" i="32"/>
  <c r="M1" i="32"/>
  <c r="AK60" i="101" l="1"/>
  <c r="AK59" i="101"/>
  <c r="AK58" i="101"/>
  <c r="AK57" i="101"/>
  <c r="AK56" i="101"/>
  <c r="AK55" i="101"/>
  <c r="Y30" i="61"/>
  <c r="Y29" i="61"/>
  <c r="AK47" i="101"/>
  <c r="AK46" i="101"/>
  <c r="AK45" i="101"/>
  <c r="R40" i="64" l="1"/>
  <c r="R39" i="64"/>
  <c r="R38" i="64"/>
  <c r="R37" i="64"/>
  <c r="R36" i="64"/>
  <c r="R35" i="64"/>
  <c r="R34" i="64"/>
  <c r="R33" i="64"/>
  <c r="R32" i="64"/>
  <c r="R31" i="64"/>
  <c r="R30" i="64"/>
  <c r="R29" i="64"/>
  <c r="R28" i="64"/>
  <c r="R27" i="64"/>
  <c r="R26" i="64"/>
  <c r="R25" i="64"/>
  <c r="R24" i="64"/>
  <c r="R23" i="64"/>
  <c r="R22" i="64"/>
  <c r="R21" i="64"/>
  <c r="R20" i="64"/>
  <c r="R19" i="64"/>
  <c r="R18" i="64"/>
  <c r="R17" i="64"/>
  <c r="M34" i="3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2" i="12"/>
  <c r="V31" i="12"/>
  <c r="V29"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R42" i="82"/>
  <c r="L42" i="82"/>
  <c r="K42" i="82"/>
  <c r="J42" i="82"/>
  <c r="I42" i="82"/>
  <c r="H42" i="82"/>
  <c r="G42" i="82"/>
  <c r="D42" i="82" s="1"/>
  <c r="H41" i="82"/>
  <c r="R41" i="82" s="1"/>
  <c r="G41" i="82"/>
  <c r="D41" i="82" s="1"/>
  <c r="R40" i="82"/>
  <c r="H40" i="82"/>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R28" i="82"/>
  <c r="H28" i="82"/>
  <c r="G28" i="82"/>
  <c r="G27" i="82"/>
  <c r="L26" i="82"/>
  <c r="K26" i="82"/>
  <c r="J26" i="82"/>
  <c r="I26" i="82"/>
  <c r="H26" i="82"/>
  <c r="T26" i="82" s="1"/>
  <c r="R26" i="82" s="1"/>
  <c r="G26" i="82"/>
  <c r="K25" i="82"/>
  <c r="J25" i="82"/>
  <c r="I25" i="82"/>
  <c r="H25" i="82"/>
  <c r="G25" i="82"/>
  <c r="M24" i="82"/>
  <c r="L24" i="82"/>
  <c r="V24" i="82" s="1"/>
  <c r="K24" i="82"/>
  <c r="J24" i="82"/>
  <c r="I24" i="82"/>
  <c r="H24" i="82"/>
  <c r="G24" i="82"/>
  <c r="H23" i="82"/>
  <c r="R23" i="82" s="1"/>
  <c r="G23" i="82"/>
  <c r="I22" i="82"/>
  <c r="R22" i="82" s="1"/>
  <c r="H22" i="82"/>
  <c r="G22" i="82"/>
  <c r="I21" i="82"/>
  <c r="H21" i="82"/>
  <c r="G21" i="82"/>
  <c r="I20" i="82"/>
  <c r="R20" i="82" s="1"/>
  <c r="H20" i="82"/>
  <c r="G20" i="82"/>
  <c r="I19" i="82"/>
  <c r="R19" i="82" s="1"/>
  <c r="H19" i="82"/>
  <c r="G19" i="82"/>
  <c r="Q18" i="82"/>
  <c r="O18" i="82"/>
  <c r="N18" i="82"/>
  <c r="M18" i="82"/>
  <c r="L18" i="82"/>
  <c r="K18" i="82"/>
  <c r="J18" i="82"/>
  <c r="I18" i="82"/>
  <c r="H18" i="82"/>
  <c r="G18" i="82"/>
  <c r="I17" i="82"/>
  <c r="H17" i="82"/>
  <c r="G17" i="82"/>
  <c r="R16" i="82"/>
  <c r="I16" i="82"/>
  <c r="H16" i="82"/>
  <c r="G16" i="82"/>
  <c r="I15" i="82"/>
  <c r="H15" i="82"/>
  <c r="G15" i="82"/>
  <c r="I14" i="82"/>
  <c r="R14" i="82" s="1"/>
  <c r="H14" i="82"/>
  <c r="G14" i="82"/>
  <c r="I13" i="82"/>
  <c r="H13" i="82"/>
  <c r="G13" i="82"/>
  <c r="O12" i="82"/>
  <c r="N12" i="82"/>
  <c r="M12" i="82"/>
  <c r="L12" i="82"/>
  <c r="K12" i="82"/>
  <c r="J12" i="82"/>
  <c r="I12" i="82"/>
  <c r="H12" i="82"/>
  <c r="G12" i="82"/>
  <c r="I11" i="82"/>
  <c r="H11" i="82"/>
  <c r="R11" i="82" s="1"/>
  <c r="G11" i="82"/>
  <c r="H10" i="82"/>
  <c r="R10" i="82" s="1"/>
  <c r="G10" i="82"/>
  <c r="K9" i="82"/>
  <c r="J9" i="82"/>
  <c r="G9" i="82"/>
  <c r="H8" i="82"/>
  <c r="R8" i="82" s="1"/>
  <c r="G8" i="82"/>
  <c r="K7" i="82"/>
  <c r="J7" i="82"/>
  <c r="H7" i="82"/>
  <c r="G7" i="82"/>
  <c r="G6" i="82"/>
  <c r="H5" i="82"/>
  <c r="R5" i="82" s="1"/>
  <c r="G5" i="82"/>
  <c r="G4" i="82"/>
  <c r="H3" i="82"/>
  <c r="R3" i="82" s="1"/>
  <c r="G3" i="82"/>
  <c r="H2" i="82"/>
  <c r="K149" i="77"/>
  <c r="A149"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C76" i="77"/>
  <c r="M76" i="77" s="1"/>
  <c r="C75" i="77"/>
  <c r="M75" i="77" s="1"/>
  <c r="C74" i="77"/>
  <c r="M74" i="77" s="1"/>
  <c r="C73" i="77"/>
  <c r="M73" i="77" s="1"/>
  <c r="C72" i="77"/>
  <c r="M72" i="77" s="1"/>
  <c r="C71" i="77"/>
  <c r="M71" i="77" s="1"/>
  <c r="C70" i="77"/>
  <c r="M70" i="77" s="1"/>
  <c r="C69" i="77"/>
  <c r="M69" i="77" s="1"/>
  <c r="C68" i="77"/>
  <c r="M68" i="77" s="1"/>
  <c r="C67" i="77"/>
  <c r="M67" i="77" s="1"/>
  <c r="C66" i="77"/>
  <c r="M66" i="77" s="1"/>
  <c r="C65" i="77"/>
  <c r="M65" i="77" s="1"/>
  <c r="C64" i="77"/>
  <c r="M64" i="77" s="1"/>
  <c r="C63" i="77"/>
  <c r="M63" i="77" s="1"/>
  <c r="C62" i="77"/>
  <c r="M62" i="77" s="1"/>
  <c r="C61" i="77"/>
  <c r="M61" i="77" s="1"/>
  <c r="C60" i="77"/>
  <c r="M60" i="77" s="1"/>
  <c r="C59" i="77"/>
  <c r="M59" i="77" s="1"/>
  <c r="C58" i="77"/>
  <c r="M58" i="77" s="1"/>
  <c r="C57" i="77"/>
  <c r="M57" i="77" s="1"/>
  <c r="C56" i="77"/>
  <c r="M56" i="77" s="1"/>
  <c r="C55" i="77"/>
  <c r="M55" i="77" s="1"/>
  <c r="C54" i="77"/>
  <c r="M54" i="77" s="1"/>
  <c r="C53" i="77"/>
  <c r="M53" i="77" s="1"/>
  <c r="C52" i="77"/>
  <c r="M52" i="77" s="1"/>
  <c r="C51" i="77"/>
  <c r="M51" i="77" s="1"/>
  <c r="C50" i="77"/>
  <c r="M50" i="77" s="1"/>
  <c r="C49" i="77"/>
  <c r="M49" i="77" s="1"/>
  <c r="C48" i="77"/>
  <c r="M48" i="77" s="1"/>
  <c r="C47" i="77"/>
  <c r="M47" i="77" s="1"/>
  <c r="C46" i="77"/>
  <c r="M46" i="77" s="1"/>
  <c r="C45" i="77"/>
  <c r="M45" i="77" s="1"/>
  <c r="C44" i="77"/>
  <c r="M44" i="77" s="1"/>
  <c r="C43" i="77"/>
  <c r="M43" i="77" s="1"/>
  <c r="C42" i="77"/>
  <c r="M42" i="77" s="1"/>
  <c r="C41" i="77"/>
  <c r="M41" i="77" s="1"/>
  <c r="C40" i="77"/>
  <c r="M40" i="77" s="1"/>
  <c r="C39" i="77"/>
  <c r="M39" i="77" s="1"/>
  <c r="C38" i="77"/>
  <c r="M38" i="77" s="1"/>
  <c r="C37" i="77"/>
  <c r="M37" i="77" s="1"/>
  <c r="C36" i="77"/>
  <c r="M36" i="77" s="1"/>
  <c r="C35" i="77"/>
  <c r="M35" i="77" s="1"/>
  <c r="C34" i="77"/>
  <c r="M34" i="77" s="1"/>
  <c r="K33" i="77"/>
  <c r="C33" i="77"/>
  <c r="M33" i="77" s="1"/>
  <c r="K32" i="77"/>
  <c r="C32" i="77"/>
  <c r="M32" i="77" s="1"/>
  <c r="K31" i="77"/>
  <c r="C31" i="77"/>
  <c r="M31" i="77" s="1"/>
  <c r="K30" i="77"/>
  <c r="C30" i="77"/>
  <c r="M30" i="77" s="1"/>
  <c r="K29" i="77"/>
  <c r="C29" i="77"/>
  <c r="M29" i="77" s="1"/>
  <c r="K28" i="77"/>
  <c r="C28" i="77"/>
  <c r="M28" i="77" s="1"/>
  <c r="K27" i="77"/>
  <c r="C27" i="77"/>
  <c r="M27" i="77" s="1"/>
  <c r="K26" i="77"/>
  <c r="C26" i="77"/>
  <c r="M26" i="77" s="1"/>
  <c r="A26" i="77"/>
  <c r="K25" i="77"/>
  <c r="C25" i="77"/>
  <c r="M25" i="77" s="1"/>
  <c r="K24" i="77"/>
  <c r="C24" i="77"/>
  <c r="M24" i="77" s="1"/>
  <c r="K23" i="77"/>
  <c r="C23" i="77"/>
  <c r="M23" i="77" s="1"/>
  <c r="K22" i="77"/>
  <c r="C22" i="77"/>
  <c r="M22" i="77" s="1"/>
  <c r="K21" i="77"/>
  <c r="C21" i="77"/>
  <c r="M21" i="77" s="1"/>
  <c r="K20" i="77"/>
  <c r="C20" i="77"/>
  <c r="M20" i="77" s="1"/>
  <c r="K19" i="77"/>
  <c r="C19" i="77"/>
  <c r="M19" i="77" s="1"/>
  <c r="K18" i="77"/>
  <c r="C18" i="77"/>
  <c r="M18" i="77" s="1"/>
  <c r="K17" i="77"/>
  <c r="C17" i="77"/>
  <c r="M17" i="77" s="1"/>
  <c r="K16" i="77"/>
  <c r="C16" i="77"/>
  <c r="M16" i="77" s="1"/>
  <c r="K15" i="77"/>
  <c r="C15" i="77"/>
  <c r="M15" i="77" s="1"/>
  <c r="K14" i="77"/>
  <c r="C14" i="77"/>
  <c r="M14" i="77" s="1"/>
  <c r="K13" i="77"/>
  <c r="C13" i="77"/>
  <c r="M13" i="77" s="1"/>
  <c r="K12" i="77"/>
  <c r="C12" i="77"/>
  <c r="M12" i="77" s="1"/>
  <c r="K11" i="77"/>
  <c r="C11" i="77"/>
  <c r="M11" i="77" s="1"/>
  <c r="K10" i="77"/>
  <c r="C10" i="77"/>
  <c r="M10" i="77" s="1"/>
  <c r="K9" i="77"/>
  <c r="C9" i="77"/>
  <c r="M9" i="77" s="1"/>
  <c r="K8" i="77"/>
  <c r="C8" i="77"/>
  <c r="M8" i="77" s="1"/>
  <c r="C7" i="77"/>
  <c r="M7" i="77" s="1"/>
  <c r="C6" i="77"/>
  <c r="M6" i="77" s="1"/>
  <c r="C5" i="77"/>
  <c r="M5" i="77" s="1"/>
  <c r="C4" i="77"/>
  <c r="M4" i="77" s="1"/>
  <c r="C3" i="77"/>
  <c r="M3" i="77" s="1"/>
  <c r="K83" i="85"/>
  <c r="J83" i="85"/>
  <c r="K75" i="85"/>
  <c r="J75" i="85"/>
  <c r="K70" i="85"/>
  <c r="J70" i="85"/>
  <c r="K66" i="85"/>
  <c r="K76" i="85" s="1"/>
  <c r="K84" i="85" s="1"/>
  <c r="K87" i="85" s="1"/>
  <c r="J66" i="85"/>
  <c r="K60" i="85"/>
  <c r="J60" i="85"/>
  <c r="K56" i="85"/>
  <c r="J56" i="85"/>
  <c r="K51" i="85"/>
  <c r="J51" i="85"/>
  <c r="K39" i="85"/>
  <c r="K58" i="85" s="1"/>
  <c r="J39" i="85"/>
  <c r="K8" i="85"/>
  <c r="J8" i="85"/>
  <c r="G7" i="85"/>
  <c r="H5" i="85"/>
  <c r="K1" i="85"/>
  <c r="B1" i="85"/>
  <c r="AG337" i="80"/>
  <c r="AF337" i="80"/>
  <c r="AE337" i="80"/>
  <c r="AD337" i="80"/>
  <c r="AC337" i="80"/>
  <c r="AB337" i="80"/>
  <c r="AA337" i="80"/>
  <c r="Z337" i="80"/>
  <c r="Y337" i="80"/>
  <c r="X337" i="80"/>
  <c r="W337" i="80"/>
  <c r="V337" i="80"/>
  <c r="U337" i="80"/>
  <c r="T337" i="80"/>
  <c r="S337" i="80"/>
  <c r="R337" i="80"/>
  <c r="Q337" i="80"/>
  <c r="P337" i="80"/>
  <c r="O337" i="80"/>
  <c r="N337" i="80"/>
  <c r="M337" i="80"/>
  <c r="L337" i="80"/>
  <c r="K337" i="80"/>
  <c r="J337" i="80"/>
  <c r="I337" i="80"/>
  <c r="H337" i="80"/>
  <c r="G337" i="80"/>
  <c r="F337" i="80"/>
  <c r="E337" i="80"/>
  <c r="AG336" i="80"/>
  <c r="AF336" i="80"/>
  <c r="AE336" i="80"/>
  <c r="AD336" i="80"/>
  <c r="AC336" i="80"/>
  <c r="AB336" i="80"/>
  <c r="AA336" i="80"/>
  <c r="Z336" i="80"/>
  <c r="Y336" i="80"/>
  <c r="X336" i="80"/>
  <c r="W336" i="80"/>
  <c r="V336" i="80"/>
  <c r="U336" i="80"/>
  <c r="T336" i="80"/>
  <c r="S336" i="80"/>
  <c r="R336" i="80"/>
  <c r="Q336" i="80"/>
  <c r="P336" i="80"/>
  <c r="O336" i="80"/>
  <c r="N336" i="80"/>
  <c r="M336" i="80"/>
  <c r="L336" i="80"/>
  <c r="K336" i="80"/>
  <c r="J336" i="80"/>
  <c r="I336" i="80"/>
  <c r="H336" i="80"/>
  <c r="G336" i="80"/>
  <c r="F336" i="80"/>
  <c r="E336" i="80"/>
  <c r="AG335" i="80"/>
  <c r="AF335" i="80"/>
  <c r="AE335" i="80"/>
  <c r="AD335" i="80"/>
  <c r="AC335" i="80"/>
  <c r="AB335" i="80"/>
  <c r="AA335" i="80"/>
  <c r="Z335" i="80"/>
  <c r="Y335" i="80"/>
  <c r="X335" i="80"/>
  <c r="W335" i="80"/>
  <c r="V335" i="80"/>
  <c r="U335" i="80"/>
  <c r="T335" i="80"/>
  <c r="S335" i="80"/>
  <c r="R335" i="80"/>
  <c r="Q335" i="80"/>
  <c r="P335" i="80"/>
  <c r="O335" i="80"/>
  <c r="N335" i="80"/>
  <c r="M335" i="80"/>
  <c r="L335" i="80"/>
  <c r="K335" i="80"/>
  <c r="J335" i="80"/>
  <c r="I335" i="80"/>
  <c r="H335" i="80"/>
  <c r="G335" i="80"/>
  <c r="F335" i="80"/>
  <c r="E335" i="80"/>
  <c r="AG334" i="80"/>
  <c r="AF334" i="80"/>
  <c r="AE334" i="80"/>
  <c r="AD334" i="80"/>
  <c r="AC334" i="80"/>
  <c r="AB334" i="80"/>
  <c r="AA334" i="80"/>
  <c r="Z334" i="80"/>
  <c r="Y334" i="80"/>
  <c r="X334" i="80"/>
  <c r="W334" i="80"/>
  <c r="V334" i="80"/>
  <c r="U334" i="80"/>
  <c r="T334" i="80"/>
  <c r="S334" i="80"/>
  <c r="R334" i="80"/>
  <c r="Q334" i="80"/>
  <c r="P334" i="80"/>
  <c r="O334" i="80"/>
  <c r="N334" i="80"/>
  <c r="M334" i="80"/>
  <c r="L334" i="80"/>
  <c r="K334" i="80"/>
  <c r="J334" i="80"/>
  <c r="I334" i="80"/>
  <c r="H334" i="80"/>
  <c r="G334" i="80"/>
  <c r="F334" i="80"/>
  <c r="E334" i="80"/>
  <c r="AG333" i="80"/>
  <c r="AF333" i="80"/>
  <c r="AE333" i="80"/>
  <c r="AD333" i="80"/>
  <c r="AC333" i="80"/>
  <c r="AB333" i="80"/>
  <c r="AA333" i="80"/>
  <c r="Z333" i="80"/>
  <c r="Y333" i="80"/>
  <c r="X333" i="80"/>
  <c r="W333" i="80"/>
  <c r="V333" i="80"/>
  <c r="U333" i="80"/>
  <c r="T333" i="80"/>
  <c r="S333" i="80"/>
  <c r="R333" i="80"/>
  <c r="Q333" i="80"/>
  <c r="P333" i="80"/>
  <c r="O333" i="80"/>
  <c r="N333" i="80"/>
  <c r="M333" i="80"/>
  <c r="L333" i="80"/>
  <c r="K333" i="80"/>
  <c r="J333" i="80"/>
  <c r="I333" i="80"/>
  <c r="H333" i="80"/>
  <c r="G333" i="80"/>
  <c r="F333" i="80"/>
  <c r="E333" i="80"/>
  <c r="AG332" i="80"/>
  <c r="AF332" i="80"/>
  <c r="AE332" i="80"/>
  <c r="AD332" i="80"/>
  <c r="AC332" i="80"/>
  <c r="AB332" i="80"/>
  <c r="AA332" i="80"/>
  <c r="Z332" i="80"/>
  <c r="Y332" i="80"/>
  <c r="X332" i="80"/>
  <c r="W332" i="80"/>
  <c r="V332" i="80"/>
  <c r="U332" i="80"/>
  <c r="T332" i="80"/>
  <c r="S332" i="80"/>
  <c r="R332" i="80"/>
  <c r="Q332" i="80"/>
  <c r="P332" i="80"/>
  <c r="O332" i="80"/>
  <c r="N332" i="80"/>
  <c r="M332" i="80"/>
  <c r="L332" i="80"/>
  <c r="K332" i="80"/>
  <c r="J332" i="80"/>
  <c r="I332" i="80"/>
  <c r="H332" i="80"/>
  <c r="G332" i="80"/>
  <c r="F332" i="80"/>
  <c r="E332" i="80"/>
  <c r="AG331" i="80"/>
  <c r="AF331" i="80"/>
  <c r="AE331" i="80"/>
  <c r="AD331" i="80"/>
  <c r="AC331" i="80"/>
  <c r="AB331" i="80"/>
  <c r="AA331" i="80"/>
  <c r="Z331" i="80"/>
  <c r="Y331" i="80"/>
  <c r="X331" i="80"/>
  <c r="W331" i="80"/>
  <c r="V331" i="80"/>
  <c r="U331" i="80"/>
  <c r="T331" i="80"/>
  <c r="S331" i="80"/>
  <c r="R331" i="80"/>
  <c r="Q331" i="80"/>
  <c r="P331" i="80"/>
  <c r="O331" i="80"/>
  <c r="N331" i="80"/>
  <c r="M331" i="80"/>
  <c r="L331" i="80"/>
  <c r="K331" i="80"/>
  <c r="J331" i="80"/>
  <c r="I331" i="80"/>
  <c r="H331" i="80"/>
  <c r="G331" i="80"/>
  <c r="F331" i="80"/>
  <c r="E331" i="80"/>
  <c r="AG330" i="80"/>
  <c r="AF330" i="80"/>
  <c r="AE330" i="80"/>
  <c r="AD330" i="80"/>
  <c r="AC330" i="80"/>
  <c r="AB330" i="80"/>
  <c r="AA330" i="80"/>
  <c r="Z330" i="80"/>
  <c r="Y330" i="80"/>
  <c r="X330" i="80"/>
  <c r="W330" i="80"/>
  <c r="V330" i="80"/>
  <c r="U330" i="80"/>
  <c r="T330" i="80"/>
  <c r="S330" i="80"/>
  <c r="R330" i="80"/>
  <c r="Q330" i="80"/>
  <c r="P330" i="80"/>
  <c r="O330" i="80"/>
  <c r="N330" i="80"/>
  <c r="M330" i="80"/>
  <c r="L330" i="80"/>
  <c r="K330" i="80"/>
  <c r="J330" i="80"/>
  <c r="I330" i="80"/>
  <c r="H330" i="80"/>
  <c r="G330" i="80"/>
  <c r="F330" i="80"/>
  <c r="E330" i="80"/>
  <c r="AG328" i="80"/>
  <c r="AF328" i="80"/>
  <c r="AE328" i="80"/>
  <c r="AD328" i="80"/>
  <c r="AC328" i="80"/>
  <c r="AB328" i="80"/>
  <c r="AA328" i="80"/>
  <c r="Z328" i="80"/>
  <c r="Y328" i="80"/>
  <c r="X328" i="80"/>
  <c r="W328" i="80"/>
  <c r="V328" i="80"/>
  <c r="U328" i="80"/>
  <c r="T328" i="80"/>
  <c r="S328" i="80"/>
  <c r="R328" i="80"/>
  <c r="Q328" i="80"/>
  <c r="P328" i="80"/>
  <c r="O328" i="80"/>
  <c r="N328" i="80"/>
  <c r="M328" i="80"/>
  <c r="L328" i="80"/>
  <c r="K328" i="80"/>
  <c r="J328" i="80"/>
  <c r="I328" i="80"/>
  <c r="H328" i="80"/>
  <c r="G328" i="80"/>
  <c r="F328" i="80"/>
  <c r="E328" i="80"/>
  <c r="AG327" i="80"/>
  <c r="AF327" i="80"/>
  <c r="AE327" i="80"/>
  <c r="AD327" i="80"/>
  <c r="AC327" i="80"/>
  <c r="AB327" i="80"/>
  <c r="AA327" i="80"/>
  <c r="Z327" i="80"/>
  <c r="Y327" i="80"/>
  <c r="X327" i="80"/>
  <c r="W327" i="80"/>
  <c r="V327" i="80"/>
  <c r="U327" i="80"/>
  <c r="T327" i="80"/>
  <c r="S327" i="80"/>
  <c r="R327" i="80"/>
  <c r="Q327" i="80"/>
  <c r="P327" i="80"/>
  <c r="O327" i="80"/>
  <c r="N327" i="80"/>
  <c r="M327" i="80"/>
  <c r="L327" i="80"/>
  <c r="K327" i="80"/>
  <c r="J327" i="80"/>
  <c r="I327" i="80"/>
  <c r="H327" i="80"/>
  <c r="G327" i="80"/>
  <c r="F327" i="80"/>
  <c r="E327" i="80"/>
  <c r="AG326" i="80"/>
  <c r="AF326" i="80"/>
  <c r="AE326" i="80"/>
  <c r="AD326" i="80"/>
  <c r="AC326" i="80"/>
  <c r="AB326" i="80"/>
  <c r="AA326" i="80"/>
  <c r="Z326" i="80"/>
  <c r="Y326" i="80"/>
  <c r="X326" i="80"/>
  <c r="W326" i="80"/>
  <c r="V326" i="80"/>
  <c r="U326" i="80"/>
  <c r="T326" i="80"/>
  <c r="S326" i="80"/>
  <c r="R326" i="80"/>
  <c r="Q326" i="80"/>
  <c r="P326" i="80"/>
  <c r="O326" i="80"/>
  <c r="N326" i="80"/>
  <c r="M326" i="80"/>
  <c r="L326" i="80"/>
  <c r="K326" i="80"/>
  <c r="J326" i="80"/>
  <c r="I326" i="80"/>
  <c r="H326" i="80"/>
  <c r="G326" i="80"/>
  <c r="F326" i="80"/>
  <c r="E326" i="80"/>
  <c r="AG325" i="80"/>
  <c r="AF325" i="80"/>
  <c r="AE325" i="80"/>
  <c r="AD325" i="80"/>
  <c r="AC325" i="80"/>
  <c r="AB325" i="80"/>
  <c r="AA325" i="80"/>
  <c r="X325" i="80"/>
  <c r="W325" i="80"/>
  <c r="T325" i="80"/>
  <c r="S325" i="80"/>
  <c r="O325" i="80"/>
  <c r="N325" i="80"/>
  <c r="M325" i="80"/>
  <c r="L325" i="80"/>
  <c r="K325" i="80"/>
  <c r="J325" i="80"/>
  <c r="I325" i="80"/>
  <c r="H325" i="80"/>
  <c r="G325" i="80"/>
  <c r="F325" i="80"/>
  <c r="E325" i="80"/>
  <c r="AG324" i="80"/>
  <c r="AF324" i="80"/>
  <c r="AE324" i="80"/>
  <c r="AD324" i="80"/>
  <c r="AC324" i="80"/>
  <c r="AB324" i="80"/>
  <c r="AA324" i="80"/>
  <c r="Z324" i="80"/>
  <c r="Y324" i="80"/>
  <c r="X324" i="80"/>
  <c r="W324" i="80"/>
  <c r="V324" i="80"/>
  <c r="U324" i="80"/>
  <c r="T324" i="80"/>
  <c r="S324" i="80"/>
  <c r="R324" i="80"/>
  <c r="Q324" i="80"/>
  <c r="P324" i="80"/>
  <c r="O324" i="80"/>
  <c r="N324" i="80"/>
  <c r="M324" i="80"/>
  <c r="L324" i="80"/>
  <c r="K324" i="80"/>
  <c r="J324" i="80"/>
  <c r="I324" i="80"/>
  <c r="H324" i="80"/>
  <c r="G324" i="80"/>
  <c r="F324" i="80"/>
  <c r="E324" i="80"/>
  <c r="AG318" i="80"/>
  <c r="AG319" i="80" s="1"/>
  <c r="AF318" i="80"/>
  <c r="AF319" i="80" s="1"/>
  <c r="AE318" i="80"/>
  <c r="AE319" i="80" s="1"/>
  <c r="AD318" i="80"/>
  <c r="AD319" i="80" s="1"/>
  <c r="AC318" i="80"/>
  <c r="AC319" i="80" s="1"/>
  <c r="AB318" i="80"/>
  <c r="AB319" i="80" s="1"/>
  <c r="AA318" i="80"/>
  <c r="AA319" i="80" s="1"/>
  <c r="Z318" i="80"/>
  <c r="Z319" i="80" s="1"/>
  <c r="Y318" i="80"/>
  <c r="Y319" i="80" s="1"/>
  <c r="X318" i="80"/>
  <c r="X319" i="80" s="1"/>
  <c r="W318" i="80"/>
  <c r="W319" i="80" s="1"/>
  <c r="V318" i="80"/>
  <c r="V319" i="80" s="1"/>
  <c r="U318" i="80"/>
  <c r="U319" i="80" s="1"/>
  <c r="T318" i="80"/>
  <c r="T319" i="80" s="1"/>
  <c r="S318" i="80"/>
  <c r="S319" i="80" s="1"/>
  <c r="R318" i="80"/>
  <c r="R319" i="80" s="1"/>
  <c r="Q318" i="80"/>
  <c r="Q319" i="80" s="1"/>
  <c r="P318" i="80"/>
  <c r="P319" i="80" s="1"/>
  <c r="O318" i="80"/>
  <c r="O319" i="80" s="1"/>
  <c r="N318" i="80"/>
  <c r="N319" i="80" s="1"/>
  <c r="M318" i="80"/>
  <c r="M319" i="80" s="1"/>
  <c r="L318" i="80"/>
  <c r="L319" i="80" s="1"/>
  <c r="K318" i="80"/>
  <c r="K319" i="80" s="1"/>
  <c r="J318" i="80"/>
  <c r="J319" i="80" s="1"/>
  <c r="I318" i="80"/>
  <c r="I319" i="80" s="1"/>
  <c r="H318" i="80"/>
  <c r="H319" i="80" s="1"/>
  <c r="G318" i="80"/>
  <c r="G319" i="80" s="1"/>
  <c r="F318" i="80"/>
  <c r="F319" i="80" s="1"/>
  <c r="E318" i="80"/>
  <c r="D317" i="80"/>
  <c r="D316" i="80"/>
  <c r="D315" i="80"/>
  <c r="D314" i="80"/>
  <c r="D313" i="80"/>
  <c r="AG310" i="80"/>
  <c r="AF310" i="80"/>
  <c r="AE310" i="80"/>
  <c r="AD310" i="80"/>
  <c r="AC310" i="80"/>
  <c r="AB310" i="80"/>
  <c r="AA310" i="80"/>
  <c r="Z310" i="80"/>
  <c r="Y310" i="80"/>
  <c r="X310" i="80"/>
  <c r="W310" i="80"/>
  <c r="V310" i="80"/>
  <c r="U310" i="80"/>
  <c r="T310" i="80"/>
  <c r="S310" i="80"/>
  <c r="R310" i="80"/>
  <c r="Q310" i="80"/>
  <c r="P310" i="80"/>
  <c r="O310" i="80"/>
  <c r="N310" i="80"/>
  <c r="M310" i="80"/>
  <c r="L310" i="80"/>
  <c r="K310" i="80"/>
  <c r="J310" i="80"/>
  <c r="I310" i="80"/>
  <c r="H310" i="80"/>
  <c r="G310" i="80"/>
  <c r="F310" i="80"/>
  <c r="E310" i="80"/>
  <c r="AG309" i="80"/>
  <c r="AF309" i="80"/>
  <c r="AE309" i="80"/>
  <c r="AD309" i="80"/>
  <c r="AC309" i="80"/>
  <c r="AB309" i="80"/>
  <c r="AA309" i="80"/>
  <c r="Z309" i="80"/>
  <c r="Y309" i="80"/>
  <c r="X309" i="80"/>
  <c r="W309" i="80"/>
  <c r="V309" i="80"/>
  <c r="U309" i="80"/>
  <c r="T309" i="80"/>
  <c r="S309" i="80"/>
  <c r="R309" i="80"/>
  <c r="Q309" i="80"/>
  <c r="P309" i="80"/>
  <c r="O309" i="80"/>
  <c r="N309" i="80"/>
  <c r="M309" i="80"/>
  <c r="L309" i="80"/>
  <c r="K309" i="80"/>
  <c r="J309" i="80"/>
  <c r="I309" i="80"/>
  <c r="H309" i="80"/>
  <c r="G309" i="80"/>
  <c r="F309" i="80"/>
  <c r="E309" i="80"/>
  <c r="AG306" i="80"/>
  <c r="AF306" i="80"/>
  <c r="AE306" i="80"/>
  <c r="AD306" i="80"/>
  <c r="AC306" i="80"/>
  <c r="AB306" i="80"/>
  <c r="AA306" i="80"/>
  <c r="Z306" i="80"/>
  <c r="Y306" i="80"/>
  <c r="X306" i="80"/>
  <c r="W306" i="80"/>
  <c r="V306" i="80"/>
  <c r="U306" i="80"/>
  <c r="T306" i="80"/>
  <c r="S306" i="80"/>
  <c r="R306" i="80"/>
  <c r="Q306" i="80"/>
  <c r="P306" i="80"/>
  <c r="O306" i="80"/>
  <c r="N306" i="80"/>
  <c r="M306" i="80"/>
  <c r="L306" i="80"/>
  <c r="K306" i="80"/>
  <c r="J306" i="80"/>
  <c r="I306" i="80"/>
  <c r="H306" i="80"/>
  <c r="G306" i="80"/>
  <c r="F306" i="80"/>
  <c r="E306" i="80"/>
  <c r="D305" i="80"/>
  <c r="D304" i="80"/>
  <c r="D303" i="80"/>
  <c r="D302" i="80"/>
  <c r="D301" i="80"/>
  <c r="D300" i="80"/>
  <c r="D299" i="80"/>
  <c r="D298" i="80"/>
  <c r="D297" i="80"/>
  <c r="D296" i="80"/>
  <c r="D295" i="80"/>
  <c r="D294" i="80"/>
  <c r="D293" i="80"/>
  <c r="D292" i="80"/>
  <c r="D291" i="80"/>
  <c r="D290" i="80"/>
  <c r="D289" i="80"/>
  <c r="D288" i="80"/>
  <c r="D287" i="80"/>
  <c r="AG286" i="80"/>
  <c r="AF286" i="80"/>
  <c r="AE286" i="80"/>
  <c r="AD286" i="80"/>
  <c r="AC286" i="80"/>
  <c r="AB286" i="80"/>
  <c r="AA286" i="80"/>
  <c r="Z286" i="80"/>
  <c r="Y286" i="80"/>
  <c r="X286" i="80"/>
  <c r="W286" i="80"/>
  <c r="V286" i="80"/>
  <c r="U286" i="80"/>
  <c r="T286" i="80"/>
  <c r="S286" i="80"/>
  <c r="R286" i="80"/>
  <c r="Q286" i="80"/>
  <c r="P286" i="80"/>
  <c r="O286" i="80"/>
  <c r="N286" i="80"/>
  <c r="M286" i="80"/>
  <c r="L286" i="80"/>
  <c r="K286" i="80"/>
  <c r="J286" i="80"/>
  <c r="I286" i="80"/>
  <c r="H286" i="80"/>
  <c r="G286" i="80"/>
  <c r="F286" i="80"/>
  <c r="E286" i="80"/>
  <c r="AG276" i="80"/>
  <c r="AG278" i="80" s="1"/>
  <c r="AF276" i="80"/>
  <c r="AF278" i="80" s="1"/>
  <c r="AE276" i="80"/>
  <c r="AE278" i="80" s="1"/>
  <c r="AD276" i="80"/>
  <c r="AD278" i="80" s="1"/>
  <c r="AC276" i="80"/>
  <c r="AC278" i="80" s="1"/>
  <c r="AB276" i="80"/>
  <c r="AB278" i="80" s="1"/>
  <c r="AA276" i="80"/>
  <c r="AA278" i="80" s="1"/>
  <c r="Z276" i="80"/>
  <c r="Z278" i="80" s="1"/>
  <c r="Y276" i="80"/>
  <c r="Y278" i="80" s="1"/>
  <c r="X276" i="80"/>
  <c r="X278" i="80" s="1"/>
  <c r="W276" i="80"/>
  <c r="W278" i="80" s="1"/>
  <c r="V276" i="80"/>
  <c r="V278" i="80" s="1"/>
  <c r="U276" i="80"/>
  <c r="U278" i="80" s="1"/>
  <c r="T276" i="80"/>
  <c r="T278" i="80" s="1"/>
  <c r="S276" i="80"/>
  <c r="S278" i="80" s="1"/>
  <c r="R276" i="80"/>
  <c r="R278" i="80" s="1"/>
  <c r="Q276" i="80"/>
  <c r="Q278" i="80" s="1"/>
  <c r="P276" i="80"/>
  <c r="P278" i="80" s="1"/>
  <c r="O276" i="80"/>
  <c r="O278" i="80" s="1"/>
  <c r="N276" i="80"/>
  <c r="N278" i="80" s="1"/>
  <c r="M276" i="80"/>
  <c r="M278" i="80" s="1"/>
  <c r="L276" i="80"/>
  <c r="L278" i="80" s="1"/>
  <c r="K276" i="80"/>
  <c r="K278" i="80" s="1"/>
  <c r="J276" i="80"/>
  <c r="J278" i="80" s="1"/>
  <c r="I276" i="80"/>
  <c r="I278" i="80" s="1"/>
  <c r="H276" i="80"/>
  <c r="H278" i="80" s="1"/>
  <c r="G276" i="80"/>
  <c r="G278" i="80" s="1"/>
  <c r="F278" i="80"/>
  <c r="E276" i="80"/>
  <c r="D275" i="80"/>
  <c r="D274" i="80"/>
  <c r="D273" i="80"/>
  <c r="D272" i="80"/>
  <c r="D271" i="80"/>
  <c r="D266" i="80"/>
  <c r="D265" i="80"/>
  <c r="D264" i="80"/>
  <c r="D263" i="80"/>
  <c r="AG262" i="80"/>
  <c r="AF262" i="80"/>
  <c r="AE262" i="80"/>
  <c r="AD262" i="80"/>
  <c r="AC262" i="80"/>
  <c r="AB262" i="80"/>
  <c r="AA262" i="80"/>
  <c r="Z262" i="80"/>
  <c r="Y262" i="80"/>
  <c r="X262" i="80"/>
  <c r="W262" i="80"/>
  <c r="V262" i="80"/>
  <c r="U262" i="80"/>
  <c r="T262" i="80"/>
  <c r="S262" i="80"/>
  <c r="R262" i="80"/>
  <c r="Q262" i="80"/>
  <c r="P262" i="80"/>
  <c r="O262" i="80"/>
  <c r="N262" i="80"/>
  <c r="M262" i="80"/>
  <c r="L262" i="80"/>
  <c r="K262" i="80"/>
  <c r="J262" i="80"/>
  <c r="I262" i="80"/>
  <c r="H262" i="80"/>
  <c r="G262" i="80"/>
  <c r="F262" i="80"/>
  <c r="E262" i="80"/>
  <c r="AI252" i="80"/>
  <c r="D252" i="80"/>
  <c r="AI251" i="80"/>
  <c r="D251" i="80"/>
  <c r="AI249" i="80"/>
  <c r="D249" i="80"/>
  <c r="AI248" i="80"/>
  <c r="D248" i="80"/>
  <c r="AI247" i="80"/>
  <c r="D247" i="80"/>
  <c r="AI246" i="80"/>
  <c r="D246" i="80"/>
  <c r="AI245" i="80"/>
  <c r="D245" i="80"/>
  <c r="AI244" i="80"/>
  <c r="D244" i="80"/>
  <c r="AI243" i="80"/>
  <c r="D243" i="80"/>
  <c r="AG241" i="80"/>
  <c r="AF241" i="80"/>
  <c r="AE241" i="80"/>
  <c r="AD241" i="80"/>
  <c r="AC241" i="80"/>
  <c r="AB241" i="80"/>
  <c r="AA241" i="80"/>
  <c r="Z241" i="80"/>
  <c r="Y241" i="80"/>
  <c r="X241" i="80"/>
  <c r="W241" i="80"/>
  <c r="V241" i="80"/>
  <c r="U241" i="80"/>
  <c r="T241" i="80"/>
  <c r="S241" i="80"/>
  <c r="R241" i="80"/>
  <c r="Q241" i="80"/>
  <c r="P241" i="80"/>
  <c r="O241" i="80"/>
  <c r="N241" i="80"/>
  <c r="M241" i="80"/>
  <c r="L241" i="80"/>
  <c r="K241" i="80"/>
  <c r="J241" i="80"/>
  <c r="I241" i="80"/>
  <c r="H241" i="80"/>
  <c r="G241" i="80"/>
  <c r="F241" i="80"/>
  <c r="AI240" i="80"/>
  <c r="D240" i="80"/>
  <c r="AI239" i="80"/>
  <c r="D239" i="80"/>
  <c r="AI237" i="80"/>
  <c r="D237" i="80"/>
  <c r="AI236" i="80"/>
  <c r="D236" i="80"/>
  <c r="AI235" i="80"/>
  <c r="D235" i="80"/>
  <c r="AI234" i="80"/>
  <c r="D234" i="80"/>
  <c r="AI233" i="80"/>
  <c r="D233" i="80"/>
  <c r="AI232" i="80"/>
  <c r="D232" i="80"/>
  <c r="AI231" i="80"/>
  <c r="D231" i="80"/>
  <c r="AI230" i="80"/>
  <c r="D230" i="80"/>
  <c r="AI228" i="80"/>
  <c r="D228" i="80"/>
  <c r="AI227" i="80"/>
  <c r="D227" i="80"/>
  <c r="AI226" i="80"/>
  <c r="D226" i="80"/>
  <c r="AI225" i="80"/>
  <c r="D225" i="80"/>
  <c r="AI224" i="80"/>
  <c r="D224" i="80"/>
  <c r="AI223" i="80"/>
  <c r="D223" i="80"/>
  <c r="AI222" i="80"/>
  <c r="D222" i="80"/>
  <c r="AI221" i="80"/>
  <c r="AI220" i="80"/>
  <c r="AG218" i="80"/>
  <c r="AF218" i="80"/>
  <c r="AE218" i="80"/>
  <c r="AD218" i="80"/>
  <c r="AC218" i="80"/>
  <c r="AB218" i="80"/>
  <c r="AA218" i="80"/>
  <c r="Z218" i="80"/>
  <c r="Y218" i="80"/>
  <c r="X218" i="80"/>
  <c r="W218" i="80"/>
  <c r="V218" i="80"/>
  <c r="U218" i="80"/>
  <c r="T218" i="80"/>
  <c r="S218" i="80"/>
  <c r="R218" i="80"/>
  <c r="Q218" i="80"/>
  <c r="P218" i="80"/>
  <c r="O218" i="80"/>
  <c r="N218" i="80"/>
  <c r="M218" i="80"/>
  <c r="L218" i="80"/>
  <c r="K218" i="80"/>
  <c r="J218" i="80"/>
  <c r="I218" i="80"/>
  <c r="H218" i="80"/>
  <c r="G218" i="80"/>
  <c r="F218" i="80"/>
  <c r="E218" i="80"/>
  <c r="AI217" i="80"/>
  <c r="D217" i="80"/>
  <c r="AI216" i="80"/>
  <c r="D216" i="80"/>
  <c r="AI215" i="80"/>
  <c r="D215" i="80"/>
  <c r="AI214" i="80"/>
  <c r="AI213" i="80"/>
  <c r="D213" i="80"/>
  <c r="AI212" i="80"/>
  <c r="D212" i="80"/>
  <c r="AI211" i="80"/>
  <c r="D211" i="80"/>
  <c r="AI210" i="80"/>
  <c r="D210" i="80"/>
  <c r="AI209" i="80"/>
  <c r="D209" i="80"/>
  <c r="AI208" i="80"/>
  <c r="D208" i="80"/>
  <c r="AI207" i="80"/>
  <c r="D207" i="80"/>
  <c r="AI206" i="80"/>
  <c r="D206" i="80"/>
  <c r="AI205" i="80"/>
  <c r="AI204" i="80"/>
  <c r="AG203" i="80"/>
  <c r="AF203" i="80"/>
  <c r="AE203" i="80"/>
  <c r="AD203" i="80"/>
  <c r="AC203" i="80"/>
  <c r="AB203" i="80"/>
  <c r="AA203" i="80"/>
  <c r="Z203" i="80"/>
  <c r="Y203" i="80"/>
  <c r="X203" i="80"/>
  <c r="W203" i="80"/>
  <c r="V203" i="80"/>
  <c r="U203" i="80"/>
  <c r="T203" i="80"/>
  <c r="S203" i="80"/>
  <c r="R203" i="80"/>
  <c r="Q203" i="80"/>
  <c r="P203" i="80"/>
  <c r="O203" i="80"/>
  <c r="N203" i="80"/>
  <c r="M203" i="80"/>
  <c r="L203" i="80"/>
  <c r="K203" i="80"/>
  <c r="J203" i="80"/>
  <c r="I203" i="80"/>
  <c r="H203" i="80"/>
  <c r="G203" i="80"/>
  <c r="F203" i="80"/>
  <c r="E203" i="80"/>
  <c r="AI202" i="80"/>
  <c r="D202" i="80"/>
  <c r="AI201" i="80"/>
  <c r="D201" i="80"/>
  <c r="AI200" i="80"/>
  <c r="D200" i="80"/>
  <c r="AI199" i="80"/>
  <c r="D199" i="80"/>
  <c r="AI198" i="80"/>
  <c r="D198" i="80"/>
  <c r="AI197" i="80"/>
  <c r="D197" i="80"/>
  <c r="AI196" i="80"/>
  <c r="D196" i="80"/>
  <c r="AI195" i="80"/>
  <c r="D195" i="80"/>
  <c r="AI194" i="80"/>
  <c r="D194" i="80"/>
  <c r="AI193" i="80"/>
  <c r="D193" i="80"/>
  <c r="AI192" i="80"/>
  <c r="D192" i="80"/>
  <c r="AI191" i="80"/>
  <c r="AG190" i="80"/>
  <c r="AF190" i="80"/>
  <c r="AE190" i="80"/>
  <c r="AD190" i="80"/>
  <c r="AC190" i="80"/>
  <c r="AB190" i="80"/>
  <c r="AA190" i="80"/>
  <c r="Z190" i="80"/>
  <c r="Y190" i="80"/>
  <c r="X190" i="80"/>
  <c r="W190" i="80"/>
  <c r="V190" i="80"/>
  <c r="U190" i="80"/>
  <c r="T190" i="80"/>
  <c r="S190" i="80"/>
  <c r="R190" i="80"/>
  <c r="Q190" i="80"/>
  <c r="P190" i="80"/>
  <c r="O190" i="80"/>
  <c r="N190" i="80"/>
  <c r="M190" i="80"/>
  <c r="L190" i="80"/>
  <c r="K190" i="80"/>
  <c r="J190" i="80"/>
  <c r="I190" i="80"/>
  <c r="H190" i="80"/>
  <c r="G190" i="80"/>
  <c r="F190" i="80"/>
  <c r="E190" i="80"/>
  <c r="AG186" i="80"/>
  <c r="AF186" i="80"/>
  <c r="AE186" i="80"/>
  <c r="AD186" i="80"/>
  <c r="AC186" i="80"/>
  <c r="AB186" i="80"/>
  <c r="AA186" i="80"/>
  <c r="Z186" i="80"/>
  <c r="Y186" i="80"/>
  <c r="X186" i="80"/>
  <c r="W186" i="80"/>
  <c r="V186" i="80"/>
  <c r="U186" i="80"/>
  <c r="T186" i="80"/>
  <c r="S186" i="80"/>
  <c r="R186" i="80"/>
  <c r="Q186" i="80"/>
  <c r="P186" i="80"/>
  <c r="O186" i="80"/>
  <c r="N186" i="80"/>
  <c r="M186" i="80"/>
  <c r="L186" i="80"/>
  <c r="K186" i="80"/>
  <c r="J186" i="80"/>
  <c r="I186" i="80"/>
  <c r="H186" i="80"/>
  <c r="G186" i="80"/>
  <c r="F186" i="80"/>
  <c r="E186" i="80"/>
  <c r="AI185" i="80"/>
  <c r="D185" i="80"/>
  <c r="AI183" i="80"/>
  <c r="D183" i="80"/>
  <c r="AI182" i="80"/>
  <c r="D182" i="80"/>
  <c r="AI181" i="80"/>
  <c r="D181" i="80"/>
  <c r="AI180" i="80"/>
  <c r="AI179" i="80"/>
  <c r="D179" i="80"/>
  <c r="AI178" i="80"/>
  <c r="D178" i="80"/>
  <c r="AI177" i="80"/>
  <c r="D177" i="80"/>
  <c r="AI176" i="80"/>
  <c r="AI175" i="80"/>
  <c r="D175" i="80"/>
  <c r="AI174" i="80"/>
  <c r="AI173" i="80"/>
  <c r="AG172" i="80"/>
  <c r="AF172" i="80"/>
  <c r="AE172" i="80"/>
  <c r="AD172" i="80"/>
  <c r="AC172" i="80"/>
  <c r="AB172" i="80"/>
  <c r="AA172" i="80"/>
  <c r="Z172" i="80"/>
  <c r="Y172" i="80"/>
  <c r="X172" i="80"/>
  <c r="W172" i="80"/>
  <c r="V172" i="80"/>
  <c r="U172" i="80"/>
  <c r="T172" i="80"/>
  <c r="S172" i="80"/>
  <c r="R172" i="80"/>
  <c r="Q172" i="80"/>
  <c r="P172" i="80"/>
  <c r="O172" i="80"/>
  <c r="N172" i="80"/>
  <c r="M172" i="80"/>
  <c r="L172" i="80"/>
  <c r="K172" i="80"/>
  <c r="J172" i="80"/>
  <c r="I172" i="80"/>
  <c r="H172" i="80"/>
  <c r="G172" i="80"/>
  <c r="F172" i="80"/>
  <c r="E172" i="80"/>
  <c r="AI171" i="80"/>
  <c r="D171" i="80"/>
  <c r="AI169" i="80"/>
  <c r="D169" i="80"/>
  <c r="AI168" i="80"/>
  <c r="D168" i="80"/>
  <c r="AI167" i="80"/>
  <c r="D167" i="80"/>
  <c r="AI166" i="80"/>
  <c r="D166" i="80"/>
  <c r="AI165" i="80"/>
  <c r="D165" i="80"/>
  <c r="AI164" i="80"/>
  <c r="D164" i="80"/>
  <c r="AI163" i="80"/>
  <c r="D163" i="80"/>
  <c r="AI162" i="80"/>
  <c r="D162" i="80"/>
  <c r="AI161" i="80"/>
  <c r="AI160" i="80"/>
  <c r="AI158" i="80"/>
  <c r="AG157" i="80"/>
  <c r="AF157" i="80"/>
  <c r="AE157" i="80"/>
  <c r="AD157" i="80"/>
  <c r="AC157" i="80"/>
  <c r="AB157" i="80"/>
  <c r="AA157" i="80"/>
  <c r="Z157" i="80"/>
  <c r="Y157" i="80"/>
  <c r="X157" i="80"/>
  <c r="W157" i="80"/>
  <c r="V157" i="80"/>
  <c r="U157" i="80"/>
  <c r="T157" i="80"/>
  <c r="S157" i="80"/>
  <c r="R157" i="80"/>
  <c r="Q157" i="80"/>
  <c r="P157" i="80"/>
  <c r="O157" i="80"/>
  <c r="N157" i="80"/>
  <c r="M157" i="80"/>
  <c r="L157" i="80"/>
  <c r="K157" i="80"/>
  <c r="J157" i="80"/>
  <c r="I157" i="80"/>
  <c r="H157" i="80"/>
  <c r="G157" i="80"/>
  <c r="F157" i="80"/>
  <c r="E157" i="80"/>
  <c r="AI156" i="80"/>
  <c r="D156" i="80"/>
  <c r="AI155" i="80"/>
  <c r="D155" i="80"/>
  <c r="AI154" i="80"/>
  <c r="D154" i="80"/>
  <c r="AI153" i="80"/>
  <c r="D153" i="80"/>
  <c r="AI152" i="80"/>
  <c r="D152" i="80"/>
  <c r="AI151" i="80"/>
  <c r="D151" i="80"/>
  <c r="AI150" i="80"/>
  <c r="D150" i="80"/>
  <c r="AI149" i="80"/>
  <c r="D149" i="80"/>
  <c r="AI148" i="80"/>
  <c r="D148" i="80"/>
  <c r="AI147" i="80"/>
  <c r="D147" i="80"/>
  <c r="AI146" i="80"/>
  <c r="D146" i="80"/>
  <c r="AI145" i="80"/>
  <c r="D145" i="80"/>
  <c r="AI144" i="80"/>
  <c r="D144" i="80"/>
  <c r="AI143" i="80"/>
  <c r="D143" i="80"/>
  <c r="AI142" i="80"/>
  <c r="D142" i="80"/>
  <c r="AI141" i="80"/>
  <c r="D141" i="80"/>
  <c r="AI140" i="80"/>
  <c r="D140" i="80"/>
  <c r="AI139" i="80"/>
  <c r="D139" i="80"/>
  <c r="AI138" i="80"/>
  <c r="D138" i="80"/>
  <c r="AI137" i="80"/>
  <c r="D137" i="80"/>
  <c r="AI136" i="80"/>
  <c r="D136" i="80"/>
  <c r="AI135" i="80"/>
  <c r="AI134" i="80"/>
  <c r="AI133" i="80"/>
  <c r="AG132" i="80"/>
  <c r="AF132" i="80"/>
  <c r="AE132" i="80"/>
  <c r="AD132" i="80"/>
  <c r="AC132" i="80"/>
  <c r="AB132" i="80"/>
  <c r="AA132" i="80"/>
  <c r="Z132" i="80"/>
  <c r="Y132" i="80"/>
  <c r="X132" i="80"/>
  <c r="W132" i="80"/>
  <c r="V132" i="80"/>
  <c r="U132" i="80"/>
  <c r="T132" i="80"/>
  <c r="S132" i="80"/>
  <c r="R132" i="80"/>
  <c r="Q132" i="80"/>
  <c r="P132" i="80"/>
  <c r="O132" i="80"/>
  <c r="N132" i="80"/>
  <c r="M132" i="80"/>
  <c r="L132" i="80"/>
  <c r="K132" i="80"/>
  <c r="J132" i="80"/>
  <c r="I132" i="80"/>
  <c r="H132" i="80"/>
  <c r="G132" i="80"/>
  <c r="F132" i="80"/>
  <c r="E132" i="80"/>
  <c r="AI131" i="80"/>
  <c r="D131" i="80"/>
  <c r="AI130" i="80"/>
  <c r="D130" i="80"/>
  <c r="AI129" i="80"/>
  <c r="D129" i="80"/>
  <c r="AI128" i="80"/>
  <c r="D128" i="80"/>
  <c r="AI127" i="80"/>
  <c r="D127" i="80"/>
  <c r="AI126" i="80"/>
  <c r="D126" i="80"/>
  <c r="AI125" i="80"/>
  <c r="D125" i="80"/>
  <c r="AI124" i="80"/>
  <c r="D124" i="80"/>
  <c r="AI123" i="80"/>
  <c r="D123" i="80"/>
  <c r="AI122" i="80"/>
  <c r="D122" i="80"/>
  <c r="AI121" i="80"/>
  <c r="D121" i="80"/>
  <c r="AI120" i="80"/>
  <c r="D120" i="80"/>
  <c r="AI119" i="80"/>
  <c r="D119" i="80"/>
  <c r="AI118" i="80"/>
  <c r="D118" i="80"/>
  <c r="AI117" i="80"/>
  <c r="D117" i="80"/>
  <c r="AI116" i="80"/>
  <c r="D116" i="80"/>
  <c r="AI115" i="80"/>
  <c r="D115" i="80"/>
  <c r="AI114" i="80"/>
  <c r="D114" i="80"/>
  <c r="AI113" i="80"/>
  <c r="D113" i="80"/>
  <c r="AI112" i="80"/>
  <c r="D112" i="80"/>
  <c r="AI111" i="80"/>
  <c r="D111" i="80"/>
  <c r="AI110" i="80"/>
  <c r="D110" i="80"/>
  <c r="AI109" i="80"/>
  <c r="D109" i="80"/>
  <c r="AI108" i="80"/>
  <c r="D108" i="80"/>
  <c r="AI107" i="80"/>
  <c r="D107" i="80"/>
  <c r="AI106" i="80"/>
  <c r="D106" i="80"/>
  <c r="AI105" i="80"/>
  <c r="D105" i="80"/>
  <c r="AI104" i="80"/>
  <c r="AI103" i="80"/>
  <c r="D103" i="80"/>
  <c r="AI102" i="80"/>
  <c r="D102" i="80"/>
  <c r="AI101" i="80"/>
  <c r="D101" i="80"/>
  <c r="AI100" i="80"/>
  <c r="D100" i="80"/>
  <c r="AI99" i="80"/>
  <c r="D99" i="80"/>
  <c r="AG94" i="80"/>
  <c r="AF94" i="80"/>
  <c r="AE94" i="80"/>
  <c r="AD94" i="80"/>
  <c r="AC94" i="80"/>
  <c r="AB94" i="80"/>
  <c r="AA94" i="80"/>
  <c r="Z94" i="80"/>
  <c r="Y94" i="80"/>
  <c r="X94" i="80"/>
  <c r="W94" i="80"/>
  <c r="V94" i="80"/>
  <c r="U94" i="80"/>
  <c r="T94" i="80"/>
  <c r="S94" i="80"/>
  <c r="R94" i="80"/>
  <c r="Q94" i="80"/>
  <c r="P94" i="80"/>
  <c r="O94" i="80"/>
  <c r="N94" i="80"/>
  <c r="M94" i="80"/>
  <c r="L94" i="80"/>
  <c r="K94" i="80"/>
  <c r="J94" i="80"/>
  <c r="I94" i="80"/>
  <c r="H94" i="80"/>
  <c r="G94" i="80"/>
  <c r="F94" i="80"/>
  <c r="E94" i="80"/>
  <c r="AI93" i="80"/>
  <c r="D93" i="80"/>
  <c r="AI92" i="80"/>
  <c r="D92" i="80"/>
  <c r="AI91" i="80"/>
  <c r="D91" i="80"/>
  <c r="AI90" i="80"/>
  <c r="D90" i="80"/>
  <c r="AI89" i="80"/>
  <c r="D89" i="80"/>
  <c r="AI88" i="80"/>
  <c r="D88" i="80"/>
  <c r="AI87" i="80"/>
  <c r="D87" i="80"/>
  <c r="AG81" i="80"/>
  <c r="AF81" i="80"/>
  <c r="AE81" i="80"/>
  <c r="AD81" i="80"/>
  <c r="AC81" i="80"/>
  <c r="AB81" i="80"/>
  <c r="AA81" i="80"/>
  <c r="Z81" i="80"/>
  <c r="Y81" i="80"/>
  <c r="X81" i="80"/>
  <c r="W81" i="80"/>
  <c r="V81" i="80"/>
  <c r="U81" i="80"/>
  <c r="T81" i="80"/>
  <c r="S81" i="80"/>
  <c r="R81" i="80"/>
  <c r="Q81" i="80"/>
  <c r="P81" i="80"/>
  <c r="O81" i="80"/>
  <c r="N81" i="80"/>
  <c r="M81" i="80"/>
  <c r="L81" i="80"/>
  <c r="K81" i="80"/>
  <c r="J81" i="80"/>
  <c r="I81" i="80"/>
  <c r="H81" i="80"/>
  <c r="G81" i="80"/>
  <c r="F81" i="80"/>
  <c r="E81" i="80"/>
  <c r="AI80" i="80"/>
  <c r="D80" i="80"/>
  <c r="AI79" i="80"/>
  <c r="D79" i="80"/>
  <c r="AI78" i="80"/>
  <c r="D78" i="80"/>
  <c r="AI77" i="80"/>
  <c r="D77" i="80"/>
  <c r="AI72" i="80"/>
  <c r="D72" i="80"/>
  <c r="AI71" i="80"/>
  <c r="D71" i="80"/>
  <c r="AI70" i="80"/>
  <c r="D70" i="80"/>
  <c r="AI69" i="80"/>
  <c r="D69" i="80"/>
  <c r="AG67" i="80"/>
  <c r="AF67" i="80"/>
  <c r="AE67" i="80"/>
  <c r="AD67" i="80"/>
  <c r="AC67" i="80"/>
  <c r="AB67" i="80"/>
  <c r="AA67" i="80"/>
  <c r="Z67" i="80"/>
  <c r="Y67" i="80"/>
  <c r="X67" i="80"/>
  <c r="W67" i="80"/>
  <c r="V67" i="80"/>
  <c r="U67" i="80"/>
  <c r="T67" i="80"/>
  <c r="S67" i="80"/>
  <c r="R67" i="80"/>
  <c r="Q67" i="80"/>
  <c r="P67" i="80"/>
  <c r="O67" i="80"/>
  <c r="N67" i="80"/>
  <c r="M67" i="80"/>
  <c r="L67" i="80"/>
  <c r="K67" i="80"/>
  <c r="J67" i="80"/>
  <c r="I67" i="80"/>
  <c r="H67" i="80"/>
  <c r="G67" i="80"/>
  <c r="F67" i="80"/>
  <c r="E67" i="80"/>
  <c r="AI66" i="80"/>
  <c r="D66" i="80"/>
  <c r="AI65" i="80"/>
  <c r="D65" i="80"/>
  <c r="AI64" i="80"/>
  <c r="D64" i="80"/>
  <c r="AI63" i="80"/>
  <c r="D63" i="80"/>
  <c r="AI62" i="80"/>
  <c r="D62" i="80"/>
  <c r="AI61" i="80"/>
  <c r="D61" i="80"/>
  <c r="AI60" i="80"/>
  <c r="AI59" i="80"/>
  <c r="D59" i="80"/>
  <c r="AI58" i="80"/>
  <c r="D58" i="80"/>
  <c r="AI57" i="80"/>
  <c r="D57" i="80"/>
  <c r="AI56" i="80"/>
  <c r="D56" i="80"/>
  <c r="AI55" i="80"/>
  <c r="D55" i="80"/>
  <c r="AI54" i="80"/>
  <c r="D54" i="80"/>
  <c r="AI53" i="80"/>
  <c r="D53" i="80"/>
  <c r="AI52" i="80"/>
  <c r="D52" i="80"/>
  <c r="AI51" i="80"/>
  <c r="D51" i="80"/>
  <c r="AI50" i="80"/>
  <c r="D50" i="80"/>
  <c r="AI49" i="80"/>
  <c r="D49" i="80"/>
  <c r="AI47" i="80"/>
  <c r="D47" i="80"/>
  <c r="AI46" i="80"/>
  <c r="D46" i="80"/>
  <c r="AI45" i="80"/>
  <c r="D45" i="80"/>
  <c r="AI44" i="80"/>
  <c r="D44" i="80"/>
  <c r="AI43" i="80"/>
  <c r="D43" i="80"/>
  <c r="AI42" i="80"/>
  <c r="AI41" i="80"/>
  <c r="D41" i="80"/>
  <c r="AI40" i="80"/>
  <c r="D40"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6" i="80"/>
  <c r="D35" i="80"/>
  <c r="AH34" i="80"/>
  <c r="D34" i="80"/>
  <c r="D33" i="80"/>
  <c r="D32" i="80"/>
  <c r="D31" i="80"/>
  <c r="D29" i="80"/>
  <c r="D28" i="80"/>
  <c r="D27" i="80"/>
  <c r="D26" i="80"/>
  <c r="D25" i="80"/>
  <c r="D24" i="80"/>
  <c r="D23" i="80"/>
  <c r="D22" i="80"/>
  <c r="D21" i="80"/>
  <c r="D20" i="80"/>
  <c r="D19" i="80"/>
  <c r="D17" i="80"/>
  <c r="D16" i="80"/>
  <c r="D15" i="80"/>
  <c r="D14" i="80"/>
  <c r="D13"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G6" i="80"/>
  <c r="F5" i="80"/>
  <c r="B1" i="80"/>
  <c r="A1" i="78"/>
  <c r="A65" i="96"/>
  <c r="A64" i="96"/>
  <c r="A63" i="96"/>
  <c r="A62" i="96"/>
  <c r="A61" i="96"/>
  <c r="A60" i="96"/>
  <c r="A59" i="96"/>
  <c r="A58" i="96"/>
  <c r="A57" i="96"/>
  <c r="A56" i="96"/>
  <c r="A55" i="96"/>
  <c r="A54" i="96"/>
  <c r="A53" i="96"/>
  <c r="A52" i="96"/>
  <c r="A51" i="96"/>
  <c r="A50" i="96"/>
  <c r="A49" i="96"/>
  <c r="A48" i="96"/>
  <c r="A47" i="96"/>
  <c r="A46" i="96"/>
  <c r="A45" i="96"/>
  <c r="A44" i="96"/>
  <c r="A43" i="96"/>
  <c r="A42" i="96"/>
  <c r="A41" i="96"/>
  <c r="A40" i="96"/>
  <c r="A39"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D85" i="92" s="1"/>
  <c r="F76" i="92"/>
  <c r="D76" i="92"/>
  <c r="F75" i="92"/>
  <c r="D75" i="92"/>
  <c r="D77" i="92" s="1"/>
  <c r="F74" i="92"/>
  <c r="J74" i="92" s="1"/>
  <c r="D74" i="92"/>
  <c r="F71" i="92"/>
  <c r="J71" i="92" s="1"/>
  <c r="D71" i="92"/>
  <c r="F70" i="92"/>
  <c r="D70" i="92"/>
  <c r="F67" i="92"/>
  <c r="J67" i="92" s="1"/>
  <c r="D67" i="92"/>
  <c r="F66" i="92"/>
  <c r="J66" i="92" s="1"/>
  <c r="D66" i="92"/>
  <c r="F65" i="92"/>
  <c r="H65" i="92" s="1"/>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D53" i="92" s="1"/>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D41" i="92" s="1"/>
  <c r="D60" i="92" s="1"/>
  <c r="F13" i="92"/>
  <c r="J13" i="92" s="1"/>
  <c r="D13" i="92"/>
  <c r="F10" i="92"/>
  <c r="D10" i="92"/>
  <c r="H7" i="92"/>
  <c r="G5" i="92"/>
  <c r="B2" i="92"/>
  <c r="L1" i="92"/>
  <c r="B1" i="92"/>
  <c r="F88" i="74"/>
  <c r="J88" i="74" s="1"/>
  <c r="D88" i="74"/>
  <c r="F87" i="74"/>
  <c r="F84" i="74"/>
  <c r="J84" i="74" s="1"/>
  <c r="D84" i="74"/>
  <c r="F83" i="74"/>
  <c r="D83" i="74"/>
  <c r="D85" i="74" s="1"/>
  <c r="F82" i="74"/>
  <c r="J82" i="74" s="1"/>
  <c r="D82" i="74"/>
  <c r="F81" i="74"/>
  <c r="D81" i="74"/>
  <c r="D77" i="74"/>
  <c r="F76" i="74"/>
  <c r="D76" i="74"/>
  <c r="F75" i="74"/>
  <c r="D75" i="74"/>
  <c r="F74" i="74"/>
  <c r="J74" i="74" s="1"/>
  <c r="D74" i="74"/>
  <c r="F71" i="74"/>
  <c r="J71" i="74" s="1"/>
  <c r="D71" i="74"/>
  <c r="D72" i="74" s="1"/>
  <c r="F70" i="74"/>
  <c r="D70" i="74"/>
  <c r="F67" i="74"/>
  <c r="J67" i="74" s="1"/>
  <c r="D67" i="74"/>
  <c r="F66" i="74"/>
  <c r="J66" i="74" s="1"/>
  <c r="D66" i="74"/>
  <c r="F65" i="74"/>
  <c r="D65" i="74"/>
  <c r="F64" i="74"/>
  <c r="D64" i="74"/>
  <c r="D68" i="74" s="1"/>
  <c r="D78" i="74" s="1"/>
  <c r="D86" i="74" s="1"/>
  <c r="F62" i="74"/>
  <c r="D62" i="74"/>
  <c r="D58" i="74"/>
  <c r="F57" i="74"/>
  <c r="F58" i="74" s="1"/>
  <c r="D57" i="74"/>
  <c r="D53" i="74"/>
  <c r="F52" i="74"/>
  <c r="J52" i="74" s="1"/>
  <c r="D52" i="74"/>
  <c r="F51" i="74"/>
  <c r="J51" i="74" s="1"/>
  <c r="D51" i="74"/>
  <c r="F50" i="74"/>
  <c r="J50" i="74" s="1"/>
  <c r="D50" i="74"/>
  <c r="F49" i="74"/>
  <c r="J49" i="74" s="1"/>
  <c r="D49" i="74"/>
  <c r="J48" i="74"/>
  <c r="F48" i="74"/>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H26" i="74" s="1"/>
  <c r="J26" i="74" s="1"/>
  <c r="D26" i="74"/>
  <c r="F25" i="74"/>
  <c r="J25" i="74" s="1"/>
  <c r="D25" i="74"/>
  <c r="F24" i="74"/>
  <c r="J24" i="74" s="1"/>
  <c r="D24" i="74"/>
  <c r="F23" i="74"/>
  <c r="J23" i="74" s="1"/>
  <c r="D23" i="74"/>
  <c r="F22" i="74"/>
  <c r="H22" i="74" s="1"/>
  <c r="D22" i="74"/>
  <c r="F21" i="74"/>
  <c r="D21" i="74"/>
  <c r="J20" i="74"/>
  <c r="F20" i="74"/>
  <c r="H20" i="74" s="1"/>
  <c r="D20" i="74"/>
  <c r="F19" i="74"/>
  <c r="J19" i="74" s="1"/>
  <c r="D19" i="74"/>
  <c r="F18" i="74"/>
  <c r="H18" i="74" s="1"/>
  <c r="D18" i="74"/>
  <c r="F17" i="74"/>
  <c r="J17" i="74" s="1"/>
  <c r="D17" i="74"/>
  <c r="F16" i="74"/>
  <c r="J16" i="74" s="1"/>
  <c r="D16" i="74"/>
  <c r="F15" i="74"/>
  <c r="J15" i="74" s="1"/>
  <c r="D15" i="74"/>
  <c r="F13" i="74"/>
  <c r="J13" i="74" s="1"/>
  <c r="D13" i="74"/>
  <c r="F10" i="74"/>
  <c r="D10" i="74"/>
  <c r="H7" i="74"/>
  <c r="G5" i="74"/>
  <c r="L1" i="74"/>
  <c r="B1" i="74"/>
  <c r="H190" i="90"/>
  <c r="F190" i="90"/>
  <c r="L54" i="90"/>
  <c r="H10" i="90"/>
  <c r="F10" i="90"/>
  <c r="J6" i="90"/>
  <c r="I5" i="90"/>
  <c r="A2" i="90"/>
  <c r="N1" i="90"/>
  <c r="A1" i="90"/>
  <c r="F252" i="72"/>
  <c r="F249" i="72"/>
  <c r="F248" i="72"/>
  <c r="F246" i="72"/>
  <c r="F245" i="72"/>
  <c r="F244" i="72"/>
  <c r="F243" i="72"/>
  <c r="F240" i="72"/>
  <c r="F239" i="72"/>
  <c r="F237" i="72"/>
  <c r="F236" i="72"/>
  <c r="F235" i="72"/>
  <c r="F234" i="72"/>
  <c r="F233" i="72"/>
  <c r="F232" i="72"/>
  <c r="F231" i="72"/>
  <c r="F230" i="72"/>
  <c r="F228" i="72"/>
  <c r="F227" i="72"/>
  <c r="F226" i="72"/>
  <c r="F225" i="72"/>
  <c r="F224" i="72"/>
  <c r="F223" i="72"/>
  <c r="F222" i="72"/>
  <c r="F217" i="72"/>
  <c r="F216" i="72"/>
  <c r="F215" i="72"/>
  <c r="F213" i="72"/>
  <c r="F212" i="72"/>
  <c r="F211" i="72"/>
  <c r="F210" i="72"/>
  <c r="F209" i="72"/>
  <c r="F208" i="72"/>
  <c r="F207" i="72"/>
  <c r="F206" i="72"/>
  <c r="F202" i="72"/>
  <c r="F201" i="72"/>
  <c r="F200" i="72"/>
  <c r="F199" i="72"/>
  <c r="F198" i="72"/>
  <c r="F197" i="72"/>
  <c r="F196" i="72"/>
  <c r="F195" i="72"/>
  <c r="F194" i="72"/>
  <c r="F193" i="72"/>
  <c r="F192" i="72"/>
  <c r="H191" i="72"/>
  <c r="F191" i="72"/>
  <c r="F185" i="72"/>
  <c r="F183" i="72"/>
  <c r="F182" i="72"/>
  <c r="F181" i="72"/>
  <c r="F179" i="72"/>
  <c r="F178" i="72"/>
  <c r="F177" i="72"/>
  <c r="F175" i="72"/>
  <c r="F171" i="72"/>
  <c r="F169" i="72"/>
  <c r="F168" i="72"/>
  <c r="F167" i="72"/>
  <c r="F166" i="72"/>
  <c r="F165" i="72"/>
  <c r="F164" i="72"/>
  <c r="F163" i="72"/>
  <c r="F162" i="72"/>
  <c r="F143" i="72"/>
  <c r="F142" i="72"/>
  <c r="F141" i="72"/>
  <c r="F140" i="72"/>
  <c r="F138" i="72"/>
  <c r="F137" i="72"/>
  <c r="F136" i="72"/>
  <c r="F118" i="72"/>
  <c r="F117" i="72"/>
  <c r="F116" i="72"/>
  <c r="F115" i="72"/>
  <c r="F114" i="72"/>
  <c r="F113" i="72"/>
  <c r="F103" i="72"/>
  <c r="F102" i="72"/>
  <c r="F101" i="72"/>
  <c r="F100" i="72"/>
  <c r="F99" i="72"/>
  <c r="F93" i="72"/>
  <c r="F92" i="72"/>
  <c r="F91" i="72"/>
  <c r="F90" i="72"/>
  <c r="F89" i="72"/>
  <c r="F88" i="72"/>
  <c r="F87" i="72"/>
  <c r="F59" i="72"/>
  <c r="F58" i="72"/>
  <c r="F57" i="72"/>
  <c r="L54" i="72"/>
  <c r="F54" i="72"/>
  <c r="J54" i="72" s="1"/>
  <c r="F53" i="72"/>
  <c r="F52" i="72"/>
  <c r="F51" i="72"/>
  <c r="F50" i="72"/>
  <c r="F49" i="72"/>
  <c r="F47" i="72"/>
  <c r="F46" i="72"/>
  <c r="F45" i="72"/>
  <c r="F44" i="72"/>
  <c r="F43" i="72"/>
  <c r="F41" i="72"/>
  <c r="F40" i="72"/>
  <c r="F36" i="72"/>
  <c r="F35" i="72"/>
  <c r="F34" i="72"/>
  <c r="F33" i="72"/>
  <c r="F32" i="72"/>
  <c r="F31" i="72"/>
  <c r="F29" i="72"/>
  <c r="F28" i="72"/>
  <c r="F27" i="72"/>
  <c r="F22" i="72"/>
  <c r="F21" i="72"/>
  <c r="F20" i="72"/>
  <c r="F19" i="72"/>
  <c r="F17" i="72"/>
  <c r="F16" i="72"/>
  <c r="F15" i="72"/>
  <c r="F14" i="72"/>
  <c r="F13" i="72"/>
  <c r="H10" i="72"/>
  <c r="F10" i="72"/>
  <c r="J6" i="72"/>
  <c r="I5" i="72"/>
  <c r="A2" i="72"/>
  <c r="N1" i="72"/>
  <c r="A1" i="72"/>
  <c r="G58" i="70"/>
  <c r="G60" i="70" s="1"/>
  <c r="G57" i="70"/>
  <c r="G50" i="70"/>
  <c r="G51" i="70" s="1"/>
  <c r="G42" i="70"/>
  <c r="G34" i="70"/>
  <c r="I8" i="70"/>
  <c r="H6" i="70"/>
  <c r="A2" i="70"/>
  <c r="L1" i="70"/>
  <c r="A1" i="70"/>
  <c r="M87" i="88"/>
  <c r="J87" i="88" s="1"/>
  <c r="L87" i="88"/>
  <c r="M83" i="88"/>
  <c r="L83" i="88"/>
  <c r="J83" i="88"/>
  <c r="M82" i="88"/>
  <c r="L82" i="88"/>
  <c r="M81" i="88"/>
  <c r="L81" i="88"/>
  <c r="J81" i="88"/>
  <c r="M80" i="88"/>
  <c r="L80" i="88"/>
  <c r="J80" i="88"/>
  <c r="M76" i="88"/>
  <c r="L76" i="88"/>
  <c r="M75" i="88"/>
  <c r="L75" i="88"/>
  <c r="J75" i="88" s="1"/>
  <c r="M74" i="88"/>
  <c r="L74" i="88"/>
  <c r="J74" i="88"/>
  <c r="M73" i="88"/>
  <c r="L73" i="88"/>
  <c r="J73" i="88"/>
  <c r="J76" i="88" s="1"/>
  <c r="M71" i="88"/>
  <c r="M70" i="88"/>
  <c r="L70" i="88"/>
  <c r="J70" i="88" s="1"/>
  <c r="M69" i="88"/>
  <c r="L69" i="88"/>
  <c r="J69" i="88"/>
  <c r="J71" i="88" s="1"/>
  <c r="M66" i="88"/>
  <c r="L66" i="88"/>
  <c r="M65" i="88"/>
  <c r="L65" i="88"/>
  <c r="J65" i="88" s="1"/>
  <c r="M64" i="88"/>
  <c r="L64" i="88"/>
  <c r="J64" i="88"/>
  <c r="M63" i="88"/>
  <c r="L63" i="88"/>
  <c r="L67" i="88" s="1"/>
  <c r="M61" i="88"/>
  <c r="L61" i="88"/>
  <c r="J61" i="88"/>
  <c r="L57" i="88"/>
  <c r="L56" i="88"/>
  <c r="J56" i="88"/>
  <c r="M55" i="88"/>
  <c r="M50" i="88"/>
  <c r="J50" i="88" s="1"/>
  <c r="L50" i="88"/>
  <c r="M49" i="88"/>
  <c r="L49" i="88"/>
  <c r="J49" i="88" s="1"/>
  <c r="M48" i="88"/>
  <c r="L48" i="88"/>
  <c r="J48" i="88"/>
  <c r="M47" i="88"/>
  <c r="L47" i="88"/>
  <c r="J47" i="88" s="1"/>
  <c r="M46" i="88"/>
  <c r="L46" i="88"/>
  <c r="J46" i="88" s="1"/>
  <c r="M45" i="88"/>
  <c r="L45" i="88"/>
  <c r="M44" i="88"/>
  <c r="L44" i="88"/>
  <c r="J44" i="88" s="1"/>
  <c r="M43" i="88"/>
  <c r="L43" i="88"/>
  <c r="J43" i="88"/>
  <c r="M38" i="88"/>
  <c r="J38" i="88" s="1"/>
  <c r="L38" i="88"/>
  <c r="M37" i="88"/>
  <c r="L37" i="88"/>
  <c r="J37" i="88" s="1"/>
  <c r="M36" i="88"/>
  <c r="L36" i="88"/>
  <c r="J36" i="88"/>
  <c r="M35" i="88"/>
  <c r="L35" i="88"/>
  <c r="J35" i="88" s="1"/>
  <c r="M34" i="88"/>
  <c r="L34" i="88"/>
  <c r="J34" i="88" s="1"/>
  <c r="M33" i="88"/>
  <c r="L33" i="88"/>
  <c r="M32" i="88"/>
  <c r="L32" i="88"/>
  <c r="J32" i="88" s="1"/>
  <c r="M31" i="88"/>
  <c r="L31" i="88"/>
  <c r="J31" i="88"/>
  <c r="M30" i="88"/>
  <c r="J30" i="88" s="1"/>
  <c r="L30" i="88"/>
  <c r="M29" i="88"/>
  <c r="L29" i="88"/>
  <c r="J29" i="88" s="1"/>
  <c r="M28" i="88"/>
  <c r="L28" i="88"/>
  <c r="J28" i="88"/>
  <c r="M27" i="88"/>
  <c r="L27" i="88"/>
  <c r="J27" i="88" s="1"/>
  <c r="M26" i="88"/>
  <c r="L26" i="88"/>
  <c r="J26" i="88" s="1"/>
  <c r="M25" i="88"/>
  <c r="L25" i="88"/>
  <c r="M24" i="88"/>
  <c r="L24" i="88"/>
  <c r="J24" i="88" s="1"/>
  <c r="M23" i="88"/>
  <c r="L23" i="88"/>
  <c r="J23" i="88"/>
  <c r="M22" i="88"/>
  <c r="J22" i="88" s="1"/>
  <c r="L22" i="88"/>
  <c r="M21" i="88"/>
  <c r="L21" i="88"/>
  <c r="J21" i="88" s="1"/>
  <c r="M20" i="88"/>
  <c r="L20" i="88"/>
  <c r="J20" i="88"/>
  <c r="M19" i="88"/>
  <c r="L19" i="88"/>
  <c r="J19" i="88" s="1"/>
  <c r="M18" i="88"/>
  <c r="L18" i="88"/>
  <c r="J18" i="88" s="1"/>
  <c r="M17" i="88"/>
  <c r="L17" i="88"/>
  <c r="M16" i="88"/>
  <c r="L16" i="88"/>
  <c r="J16" i="88" s="1"/>
  <c r="M15" i="88"/>
  <c r="L15" i="88"/>
  <c r="J15" i="88"/>
  <c r="M14" i="88"/>
  <c r="J14" i="88" s="1"/>
  <c r="L14" i="88"/>
  <c r="M13" i="88"/>
  <c r="L13" i="88"/>
  <c r="J13" i="88" s="1"/>
  <c r="M11" i="88"/>
  <c r="L11" i="88"/>
  <c r="J11" i="88"/>
  <c r="M10" i="88"/>
  <c r="L10" i="88"/>
  <c r="J10" i="88"/>
  <c r="G7" i="88"/>
  <c r="H5" i="88"/>
  <c r="K1" i="88"/>
  <c r="M100" i="121" s="1"/>
  <c r="B1" i="88"/>
  <c r="M86" i="87"/>
  <c r="M85" i="87"/>
  <c r="J85" i="87"/>
  <c r="D87" i="92" s="1"/>
  <c r="J83" i="87"/>
  <c r="M82" i="87"/>
  <c r="M81" i="87"/>
  <c r="M80" i="87"/>
  <c r="M79" i="87"/>
  <c r="J76" i="87"/>
  <c r="J84" i="87" s="1"/>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J58" i="87" s="1"/>
  <c r="G7" i="87"/>
  <c r="D7" i="87"/>
  <c r="H5" i="87"/>
  <c r="K1" i="87"/>
  <c r="M99" i="121" s="1"/>
  <c r="B1" i="87"/>
  <c r="M86" i="69"/>
  <c r="M85" i="69"/>
  <c r="J85" i="69"/>
  <c r="D87" i="74" s="1"/>
  <c r="J83" i="69"/>
  <c r="M82" i="69"/>
  <c r="M81" i="69"/>
  <c r="M80" i="69"/>
  <c r="M79" i="69"/>
  <c r="J75" i="69"/>
  <c r="M74" i="69"/>
  <c r="M73" i="69"/>
  <c r="M72" i="69"/>
  <c r="J70" i="69"/>
  <c r="M69" i="69"/>
  <c r="M68" i="69"/>
  <c r="J66" i="69"/>
  <c r="J76" i="69" s="1"/>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J58" i="69" s="1"/>
  <c r="G7" i="69"/>
  <c r="D7" i="69"/>
  <c r="H5" i="69"/>
  <c r="K1" i="69"/>
  <c r="M98" i="121" s="1"/>
  <c r="B1" i="69"/>
  <c r="F252" i="68"/>
  <c r="F251" i="90" s="1"/>
  <c r="F249" i="68"/>
  <c r="F248" i="90" s="1"/>
  <c r="F248" i="68"/>
  <c r="F247" i="90" s="1"/>
  <c r="F246" i="68"/>
  <c r="F245" i="90" s="1"/>
  <c r="F245" i="68"/>
  <c r="F244" i="90" s="1"/>
  <c r="F244" i="68"/>
  <c r="F243" i="90" s="1"/>
  <c r="F243" i="68"/>
  <c r="F242" i="90" s="1"/>
  <c r="S241" i="68"/>
  <c r="R241" i="68"/>
  <c r="Q241" i="68"/>
  <c r="P241" i="68"/>
  <c r="O241" i="68"/>
  <c r="N241" i="68"/>
  <c r="M241" i="68"/>
  <c r="L241" i="68"/>
  <c r="K241" i="68"/>
  <c r="J241" i="68"/>
  <c r="I241" i="68"/>
  <c r="H241" i="68"/>
  <c r="F240" i="68"/>
  <c r="G240" i="68" s="1"/>
  <c r="F239" i="68"/>
  <c r="F238" i="90" s="1"/>
  <c r="F237" i="68"/>
  <c r="F236" i="90" s="1"/>
  <c r="F236" i="68"/>
  <c r="F235" i="90" s="1"/>
  <c r="F235" i="68"/>
  <c r="F234" i="90" s="1"/>
  <c r="F234" i="68"/>
  <c r="F233" i="90" s="1"/>
  <c r="F233" i="68"/>
  <c r="F232" i="90" s="1"/>
  <c r="F232" i="68"/>
  <c r="F231" i="90" s="1"/>
  <c r="F231" i="68"/>
  <c r="G231" i="68" s="1"/>
  <c r="F230" i="68"/>
  <c r="G230" i="68" s="1"/>
  <c r="F228" i="68"/>
  <c r="F227" i="90" s="1"/>
  <c r="F227" i="68"/>
  <c r="F226" i="90" s="1"/>
  <c r="F226" i="68"/>
  <c r="F225" i="90" s="1"/>
  <c r="F225" i="68"/>
  <c r="F224" i="90" s="1"/>
  <c r="F224" i="68"/>
  <c r="F223" i="90" s="1"/>
  <c r="F223" i="68"/>
  <c r="F222" i="90" s="1"/>
  <c r="F222" i="68"/>
  <c r="F221" i="90" s="1"/>
  <c r="S218" i="68"/>
  <c r="R218" i="68"/>
  <c r="Q218" i="68"/>
  <c r="P218" i="68"/>
  <c r="O218" i="68"/>
  <c r="N218" i="68"/>
  <c r="M218" i="68"/>
  <c r="L218" i="68"/>
  <c r="K218" i="68"/>
  <c r="J218" i="68"/>
  <c r="I218" i="68"/>
  <c r="H218" i="68"/>
  <c r="F217" i="68"/>
  <c r="F216" i="90" s="1"/>
  <c r="F216" i="68"/>
  <c r="F215" i="90" s="1"/>
  <c r="F215" i="68"/>
  <c r="F214" i="90" s="1"/>
  <c r="F213" i="68"/>
  <c r="F212" i="90" s="1"/>
  <c r="F212" i="68"/>
  <c r="F211" i="90" s="1"/>
  <c r="F211" i="68"/>
  <c r="F210" i="68"/>
  <c r="F209" i="90" s="1"/>
  <c r="F209" i="68"/>
  <c r="F208" i="90" s="1"/>
  <c r="F208" i="68"/>
  <c r="F207" i="90" s="1"/>
  <c r="F207" i="68"/>
  <c r="F206" i="90" s="1"/>
  <c r="F206" i="68"/>
  <c r="S203" i="68"/>
  <c r="R203" i="68"/>
  <c r="R219" i="68" s="1"/>
  <c r="Q203" i="68"/>
  <c r="P203" i="68"/>
  <c r="O203" i="68"/>
  <c r="N203" i="68"/>
  <c r="M203" i="68"/>
  <c r="L203" i="68"/>
  <c r="K203" i="68"/>
  <c r="J203" i="68"/>
  <c r="J219" i="68" s="1"/>
  <c r="I203" i="68"/>
  <c r="H203" i="68"/>
  <c r="F202" i="68"/>
  <c r="F201" i="90" s="1"/>
  <c r="F201" i="68"/>
  <c r="F200" i="90" s="1"/>
  <c r="F200" i="68"/>
  <c r="F199" i="90" s="1"/>
  <c r="F199" i="68"/>
  <c r="F198" i="90" s="1"/>
  <c r="F198" i="68"/>
  <c r="F197" i="90" s="1"/>
  <c r="F197" i="68"/>
  <c r="F196" i="90" s="1"/>
  <c r="F196" i="68"/>
  <c r="F195" i="90" s="1"/>
  <c r="F195" i="68"/>
  <c r="F194" i="90" s="1"/>
  <c r="F194" i="68"/>
  <c r="F193" i="90" s="1"/>
  <c r="F193" i="68"/>
  <c r="F192" i="90" s="1"/>
  <c r="F192" i="68"/>
  <c r="F191" i="90" s="1"/>
  <c r="S186" i="68"/>
  <c r="R186" i="68"/>
  <c r="Q186" i="68"/>
  <c r="P186" i="68"/>
  <c r="O186" i="68"/>
  <c r="N186" i="68"/>
  <c r="M186" i="68"/>
  <c r="L186" i="68"/>
  <c r="K186" i="68"/>
  <c r="J186" i="68"/>
  <c r="I186" i="68"/>
  <c r="H186" i="68"/>
  <c r="F185" i="68"/>
  <c r="F184" i="90" s="1"/>
  <c r="F184" i="68"/>
  <c r="F183" i="68"/>
  <c r="F182" i="90" s="1"/>
  <c r="F182" i="68"/>
  <c r="G182" i="68" s="1"/>
  <c r="F180" i="68"/>
  <c r="F179" i="90" s="1"/>
  <c r="F179" i="68"/>
  <c r="F178" i="68"/>
  <c r="F177" i="90" s="1"/>
  <c r="F176" i="68"/>
  <c r="S173" i="68"/>
  <c r="R173" i="68"/>
  <c r="Q173" i="68"/>
  <c r="P173" i="68"/>
  <c r="O173" i="68"/>
  <c r="N173" i="68"/>
  <c r="M173" i="68"/>
  <c r="L173" i="68"/>
  <c r="K173" i="68"/>
  <c r="J173" i="68"/>
  <c r="I173" i="68"/>
  <c r="H173" i="68"/>
  <c r="F172" i="68"/>
  <c r="F171" i="90" s="1"/>
  <c r="F170" i="68"/>
  <c r="F169" i="90" s="1"/>
  <c r="F169" i="68"/>
  <c r="F168" i="90" s="1"/>
  <c r="F168" i="68"/>
  <c r="F167" i="90" s="1"/>
  <c r="F167" i="68"/>
  <c r="F166" i="90" s="1"/>
  <c r="F166" i="68"/>
  <c r="F165" i="90" s="1"/>
  <c r="F165" i="68"/>
  <c r="F164" i="90" s="1"/>
  <c r="F164" i="68"/>
  <c r="F163" i="90" s="1"/>
  <c r="F163" i="68"/>
  <c r="F162" i="90" s="1"/>
  <c r="S158" i="68"/>
  <c r="R158" i="68"/>
  <c r="Q158" i="68"/>
  <c r="P158" i="68"/>
  <c r="O158" i="68"/>
  <c r="N158" i="68"/>
  <c r="M158" i="68"/>
  <c r="L158" i="68"/>
  <c r="K158" i="68"/>
  <c r="J158" i="68"/>
  <c r="I158" i="68"/>
  <c r="H158" i="68"/>
  <c r="F144" i="68"/>
  <c r="F143" i="90" s="1"/>
  <c r="F143" i="68"/>
  <c r="F142" i="90" s="1"/>
  <c r="F142" i="68"/>
  <c r="F141" i="90" s="1"/>
  <c r="F141" i="68"/>
  <c r="F140" i="90" s="1"/>
  <c r="F139" i="68"/>
  <c r="F138" i="90" s="1"/>
  <c r="F138" i="68"/>
  <c r="F137" i="90" s="1"/>
  <c r="F137" i="68"/>
  <c r="F136" i="90" s="1"/>
  <c r="S133" i="68"/>
  <c r="R133" i="68"/>
  <c r="Q133" i="68"/>
  <c r="Q160" i="68" s="1"/>
  <c r="P133" i="68"/>
  <c r="O133" i="68"/>
  <c r="N133" i="68"/>
  <c r="M133" i="68"/>
  <c r="L133" i="68"/>
  <c r="K133" i="68"/>
  <c r="J133" i="68"/>
  <c r="I133" i="68"/>
  <c r="I160" i="68" s="1"/>
  <c r="H133" i="68"/>
  <c r="F132" i="68"/>
  <c r="F131" i="90" s="1"/>
  <c r="F131" i="68"/>
  <c r="T131" i="68" s="1"/>
  <c r="F130" i="68"/>
  <c r="F129" i="68"/>
  <c r="F128" i="90" s="1"/>
  <c r="F128" i="68"/>
  <c r="F127" i="90" s="1"/>
  <c r="F127" i="68"/>
  <c r="F126" i="68"/>
  <c r="F125" i="90" s="1"/>
  <c r="F125" i="68"/>
  <c r="T125" i="68" s="1"/>
  <c r="F124" i="68"/>
  <c r="F123" i="90" s="1"/>
  <c r="F123" i="68"/>
  <c r="F122" i="90" s="1"/>
  <c r="F122" i="68"/>
  <c r="T122" i="68" s="1"/>
  <c r="F121" i="68"/>
  <c r="F120" i="90" s="1"/>
  <c r="F120" i="68"/>
  <c r="F119" i="90" s="1"/>
  <c r="F119" i="68"/>
  <c r="F118" i="90" s="1"/>
  <c r="F118" i="68"/>
  <c r="F117" i="90" s="1"/>
  <c r="F117" i="68"/>
  <c r="F116" i="90" s="1"/>
  <c r="F116" i="68"/>
  <c r="F115" i="90" s="1"/>
  <c r="F115" i="68"/>
  <c r="F114" i="90" s="1"/>
  <c r="F114" i="68"/>
  <c r="F113" i="90" s="1"/>
  <c r="F104" i="68"/>
  <c r="F103" i="90" s="1"/>
  <c r="F103" i="68"/>
  <c r="F102" i="90" s="1"/>
  <c r="F102" i="68"/>
  <c r="F101" i="90" s="1"/>
  <c r="F101" i="68"/>
  <c r="F100" i="90" s="1"/>
  <c r="F100" i="68"/>
  <c r="F99" i="90" s="1"/>
  <c r="S95" i="68"/>
  <c r="R95" i="68"/>
  <c r="Q95" i="68"/>
  <c r="P95" i="68"/>
  <c r="O95" i="68"/>
  <c r="N95" i="68"/>
  <c r="M95" i="68"/>
  <c r="L95" i="68"/>
  <c r="K95" i="68"/>
  <c r="J95" i="68"/>
  <c r="I95" i="68"/>
  <c r="H95" i="68"/>
  <c r="F94" i="68"/>
  <c r="F93" i="90" s="1"/>
  <c r="F93" i="68"/>
  <c r="F92" i="90" s="1"/>
  <c r="F92" i="68"/>
  <c r="F91" i="90" s="1"/>
  <c r="F91" i="68"/>
  <c r="F90" i="90" s="1"/>
  <c r="F90" i="68"/>
  <c r="F89" i="90" s="1"/>
  <c r="F89" i="68"/>
  <c r="F88" i="90" s="1"/>
  <c r="F88" i="68"/>
  <c r="F87" i="90" s="1"/>
  <c r="S82" i="68"/>
  <c r="R82" i="68"/>
  <c r="Q82" i="68"/>
  <c r="P82" i="68"/>
  <c r="O82" i="68"/>
  <c r="N82" i="68"/>
  <c r="M82" i="68"/>
  <c r="L82" i="68"/>
  <c r="K82" i="68"/>
  <c r="J82" i="68"/>
  <c r="I82" i="68"/>
  <c r="H82" i="68"/>
  <c r="S68" i="68"/>
  <c r="R68" i="68"/>
  <c r="Q68" i="68"/>
  <c r="P68" i="68"/>
  <c r="O68" i="68"/>
  <c r="N68" i="68"/>
  <c r="M68" i="68"/>
  <c r="L68" i="68"/>
  <c r="K68" i="68"/>
  <c r="J68" i="68"/>
  <c r="I68" i="68"/>
  <c r="H68" i="68"/>
  <c r="F60" i="68"/>
  <c r="F59" i="90" s="1"/>
  <c r="F59" i="68"/>
  <c r="F58" i="90" s="1"/>
  <c r="F58" i="68"/>
  <c r="F57" i="90" s="1"/>
  <c r="F55" i="68"/>
  <c r="F54" i="90" s="1"/>
  <c r="J54" i="90" s="1"/>
  <c r="F54" i="68"/>
  <c r="F53" i="90" s="1"/>
  <c r="F53" i="68"/>
  <c r="F52" i="90" s="1"/>
  <c r="F52" i="68"/>
  <c r="F51" i="90" s="1"/>
  <c r="F51" i="68"/>
  <c r="F50" i="90" s="1"/>
  <c r="F50" i="68"/>
  <c r="F49" i="90" s="1"/>
  <c r="F48" i="68"/>
  <c r="F47" i="90" s="1"/>
  <c r="F47" i="68"/>
  <c r="F46" i="90" s="1"/>
  <c r="F46" i="68"/>
  <c r="F45" i="90" s="1"/>
  <c r="F45" i="68"/>
  <c r="F44" i="90" s="1"/>
  <c r="F44" i="68"/>
  <c r="F43" i="90" s="1"/>
  <c r="F42" i="68"/>
  <c r="F41" i="90" s="1"/>
  <c r="F41" i="68"/>
  <c r="F40" i="90" s="1"/>
  <c r="S38" i="68"/>
  <c r="R38" i="68"/>
  <c r="Q38" i="68"/>
  <c r="P38" i="68"/>
  <c r="O38" i="68"/>
  <c r="N38" i="68"/>
  <c r="M38" i="68"/>
  <c r="L38" i="68"/>
  <c r="K38" i="68"/>
  <c r="J38" i="68"/>
  <c r="I38" i="68"/>
  <c r="H38" i="68"/>
  <c r="F37" i="68"/>
  <c r="F36" i="90" s="1"/>
  <c r="F36" i="68"/>
  <c r="F35" i="90" s="1"/>
  <c r="F35" i="68"/>
  <c r="F34" i="90" s="1"/>
  <c r="F34" i="68"/>
  <c r="F33" i="90" s="1"/>
  <c r="F33" i="68"/>
  <c r="F32" i="90" s="1"/>
  <c r="F32" i="68"/>
  <c r="F31" i="90" s="1"/>
  <c r="F30" i="68"/>
  <c r="F29" i="90" s="1"/>
  <c r="F29" i="68"/>
  <c r="F28" i="90" s="1"/>
  <c r="F28" i="68"/>
  <c r="F27" i="90" s="1"/>
  <c r="F24" i="68"/>
  <c r="F23" i="90" s="1"/>
  <c r="F23" i="68"/>
  <c r="F22" i="90" s="1"/>
  <c r="F22" i="68"/>
  <c r="F21" i="90" s="1"/>
  <c r="F21" i="68"/>
  <c r="F20" i="90" s="1"/>
  <c r="F20" i="68"/>
  <c r="F19" i="90" s="1"/>
  <c r="F18" i="68"/>
  <c r="F17" i="90" s="1"/>
  <c r="F17" i="68"/>
  <c r="F16" i="90" s="1"/>
  <c r="F16" i="68"/>
  <c r="F15" i="90" s="1"/>
  <c r="F15" i="68"/>
  <c r="F14" i="90" s="1"/>
  <c r="F14" i="68"/>
  <c r="F13" i="90" s="1"/>
  <c r="F6" i="68"/>
  <c r="F5" i="68"/>
  <c r="H1" i="68"/>
  <c r="A1" i="68"/>
  <c r="G251" i="66"/>
  <c r="G250" i="66"/>
  <c r="F243" i="66"/>
  <c r="G242" i="66"/>
  <c r="G241" i="66"/>
  <c r="G238" i="66"/>
  <c r="G234" i="66"/>
  <c r="G233" i="66"/>
  <c r="G232" i="66"/>
  <c r="F220" i="66"/>
  <c r="F205" i="66"/>
  <c r="I192" i="66"/>
  <c r="F192" i="66"/>
  <c r="G183" i="66"/>
  <c r="G182" i="66"/>
  <c r="G181" i="66"/>
  <c r="G179" i="66"/>
  <c r="G178" i="66"/>
  <c r="G177" i="66"/>
  <c r="F172" i="66"/>
  <c r="F131" i="66"/>
  <c r="F131" i="72" s="1"/>
  <c r="F130" i="66"/>
  <c r="G130" i="66" s="1"/>
  <c r="F129" i="66"/>
  <c r="F129" i="72" s="1"/>
  <c r="F128" i="66"/>
  <c r="F127" i="66"/>
  <c r="F127" i="72" s="1"/>
  <c r="F126" i="66"/>
  <c r="G126" i="66" s="1"/>
  <c r="F125" i="66"/>
  <c r="F124" i="66"/>
  <c r="F124" i="72" s="1"/>
  <c r="F123" i="66"/>
  <c r="F123" i="72" s="1"/>
  <c r="F122" i="66"/>
  <c r="G122" i="66" s="1"/>
  <c r="F121" i="66"/>
  <c r="F120" i="66"/>
  <c r="F120" i="72" s="1"/>
  <c r="F119" i="66"/>
  <c r="F119" i="72" s="1"/>
  <c r="F94" i="66"/>
  <c r="I11" i="66"/>
  <c r="F11" i="66"/>
  <c r="F6" i="66"/>
  <c r="F5" i="66"/>
  <c r="A2" i="66"/>
  <c r="H1" i="66"/>
  <c r="A1" i="66"/>
  <c r="G11" i="99"/>
  <c r="G10" i="99"/>
  <c r="J1" i="99"/>
  <c r="A1" i="99"/>
  <c r="K29" i="100"/>
  <c r="M11" i="100"/>
  <c r="M10" i="100"/>
  <c r="S1" i="100"/>
  <c r="B1" i="100"/>
  <c r="M10" i="58"/>
  <c r="M9" i="58"/>
  <c r="B2" i="58"/>
  <c r="S1" i="58"/>
  <c r="B1" i="58"/>
  <c r="S83" i="101"/>
  <c r="P83" i="101"/>
  <c r="S80" i="101"/>
  <c r="P80" i="101"/>
  <c r="AI77" i="101"/>
  <c r="AH77" i="101"/>
  <c r="AG77" i="101"/>
  <c r="AF77" i="101"/>
  <c r="AI74" i="101"/>
  <c r="AH74" i="101"/>
  <c r="AG74" i="101"/>
  <c r="AF74" i="101"/>
  <c r="K74" i="101"/>
  <c r="Y74" i="101" s="1"/>
  <c r="AI73" i="101"/>
  <c r="AH73" i="101"/>
  <c r="AG73" i="101"/>
  <c r="AF73" i="101"/>
  <c r="X73" i="101"/>
  <c r="W73" i="101" s="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Y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U52" i="101" s="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U41" i="101" s="1"/>
  <c r="AI40" i="101"/>
  <c r="U40" i="101" s="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K22" i="101"/>
  <c r="Y22" i="101" s="1"/>
  <c r="AI21" i="101"/>
  <c r="AH21" i="101"/>
  <c r="AG21" i="101"/>
  <c r="AF21" i="101"/>
  <c r="AI20" i="101"/>
  <c r="AH20" i="101"/>
  <c r="AG20" i="101"/>
  <c r="AF20" i="101"/>
  <c r="M9" i="101"/>
  <c r="M8" i="101"/>
  <c r="B2" i="101"/>
  <c r="U1" i="101"/>
  <c r="B1" i="101"/>
  <c r="N8" i="65"/>
  <c r="N7" i="65"/>
  <c r="S1" i="65"/>
  <c r="C1" i="65"/>
  <c r="O41" i="64"/>
  <c r="M50" i="64" s="1"/>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Q35" i="59"/>
  <c r="O35" i="59"/>
  <c r="M35" i="59"/>
  <c r="K35" i="59"/>
  <c r="I35" i="59"/>
  <c r="G35" i="59"/>
  <c r="Q34" i="59"/>
  <c r="S33" i="59"/>
  <c r="R33" i="59" s="1"/>
  <c r="Q33" i="59"/>
  <c r="T33" i="59" s="1"/>
  <c r="Q32" i="59"/>
  <c r="S32" i="59" s="1"/>
  <c r="R32" i="59" s="1"/>
  <c r="O28" i="59"/>
  <c r="M28" i="59"/>
  <c r="K28" i="59"/>
  <c r="K37" i="59" s="1"/>
  <c r="I28" i="59"/>
  <c r="G28" i="59"/>
  <c r="G37" i="59" s="1"/>
  <c r="T27" i="59"/>
  <c r="Q27" i="59"/>
  <c r="S27" i="59" s="1"/>
  <c r="R27" i="59" s="1"/>
  <c r="Q26" i="59"/>
  <c r="T26" i="59" s="1"/>
  <c r="Q25" i="59"/>
  <c r="S24" i="59"/>
  <c r="R24" i="59" s="1"/>
  <c r="Q24" i="59"/>
  <c r="T24" i="59" s="1"/>
  <c r="Q23" i="59"/>
  <c r="T23" i="59" s="1"/>
  <c r="Q22" i="59"/>
  <c r="Q21" i="59"/>
  <c r="T21" i="59" s="1"/>
  <c r="Q20" i="59"/>
  <c r="T20" i="59" s="1"/>
  <c r="Q19" i="59"/>
  <c r="T19" i="59" s="1"/>
  <c r="L8" i="59"/>
  <c r="L7" i="59"/>
  <c r="R1" i="59"/>
  <c r="C1" i="59"/>
  <c r="A75" i="57"/>
  <c r="K72" i="57"/>
  <c r="M70" i="57"/>
  <c r="Q38" i="57"/>
  <c r="O38" i="57"/>
  <c r="M38" i="57"/>
  <c r="T37" i="57"/>
  <c r="K37" i="57"/>
  <c r="U37" i="57" s="1"/>
  <c r="U36" i="57"/>
  <c r="T36" i="57"/>
  <c r="K36" i="57"/>
  <c r="K35" i="57"/>
  <c r="K34" i="57"/>
  <c r="T34" i="57" s="1"/>
  <c r="S34" i="57" s="1"/>
  <c r="K33" i="57"/>
  <c r="K40" i="101" s="1"/>
  <c r="K32" i="57"/>
  <c r="T32" i="57" s="1"/>
  <c r="S32" i="57" s="1"/>
  <c r="K31" i="57"/>
  <c r="K30" i="57"/>
  <c r="K29" i="101" s="1"/>
  <c r="K29" i="57"/>
  <c r="U29" i="57" s="1"/>
  <c r="U28" i="57"/>
  <c r="K28" i="57"/>
  <c r="K27" i="101" s="1"/>
  <c r="Y27" i="101" s="1"/>
  <c r="K27" i="57"/>
  <c r="U27" i="57" s="1"/>
  <c r="U26" i="57"/>
  <c r="K26" i="57"/>
  <c r="T26" i="57" s="1"/>
  <c r="S26" i="57" s="1"/>
  <c r="K25" i="57"/>
  <c r="K24" i="101" s="1"/>
  <c r="U24" i="57"/>
  <c r="K24" i="57"/>
  <c r="T24" i="57" s="1"/>
  <c r="S24" i="57" s="1"/>
  <c r="U23" i="57"/>
  <c r="T23" i="57"/>
  <c r="S23" i="57" s="1"/>
  <c r="K23" i="57"/>
  <c r="K22" i="57"/>
  <c r="K21" i="101" s="1"/>
  <c r="K21" i="57"/>
  <c r="M9" i="57"/>
  <c r="M8" i="57"/>
  <c r="S1" i="57"/>
  <c r="M87" i="121" s="1"/>
  <c r="B1" i="57"/>
  <c r="B49" i="56"/>
  <c r="Q45" i="56"/>
  <c r="O45" i="56"/>
  <c r="M45" i="56"/>
  <c r="K45" i="56"/>
  <c r="I45" i="56"/>
  <c r="G45" i="56"/>
  <c r="Q44" i="56"/>
  <c r="S44" i="56" s="1"/>
  <c r="R44" i="56" s="1"/>
  <c r="Q43" i="56"/>
  <c r="S43" i="56" s="1"/>
  <c r="R43" i="56" s="1"/>
  <c r="Q42" i="56"/>
  <c r="S42" i="56" s="1"/>
  <c r="R42" i="56" s="1"/>
  <c r="R41" i="56"/>
  <c r="Q41" i="56"/>
  <c r="S41" i="56" s="1"/>
  <c r="S40" i="56"/>
  <c r="R40" i="56" s="1"/>
  <c r="Q40" i="56"/>
  <c r="S39" i="56"/>
  <c r="R39" i="56" s="1"/>
  <c r="Q39" i="56"/>
  <c r="Q35" i="56"/>
  <c r="O35" i="56"/>
  <c r="M35" i="56"/>
  <c r="M37" i="59" s="1"/>
  <c r="K35" i="56"/>
  <c r="I35" i="56"/>
  <c r="G35" i="56"/>
  <c r="Q34" i="56"/>
  <c r="S34" i="56" s="1"/>
  <c r="R34" i="56" s="1"/>
  <c r="Q33" i="56"/>
  <c r="S33" i="56" s="1"/>
  <c r="R33" i="56" s="1"/>
  <c r="S32" i="56"/>
  <c r="R32" i="56" s="1"/>
  <c r="Q32" i="56"/>
  <c r="S31" i="56"/>
  <c r="R31" i="56" s="1"/>
  <c r="Q31" i="56"/>
  <c r="Q29" i="56"/>
  <c r="S29" i="56" s="1"/>
  <c r="R29" i="56" s="1"/>
  <c r="Q28" i="56"/>
  <c r="S28" i="56" s="1"/>
  <c r="R28" i="56" s="1"/>
  <c r="Q27" i="56"/>
  <c r="S27" i="56" s="1"/>
  <c r="R27" i="56" s="1"/>
  <c r="Q26" i="56"/>
  <c r="S26" i="56" s="1"/>
  <c r="R26" i="56" s="1"/>
  <c r="Q25" i="56"/>
  <c r="S25" i="56" s="1"/>
  <c r="R25" i="56" s="1"/>
  <c r="S24" i="56"/>
  <c r="R24" i="56" s="1"/>
  <c r="Q24" i="56"/>
  <c r="S23" i="56"/>
  <c r="R23" i="56" s="1"/>
  <c r="Q23" i="56"/>
  <c r="Q22" i="56"/>
  <c r="S22" i="56" s="1"/>
  <c r="R22" i="56" s="1"/>
  <c r="Q21" i="56"/>
  <c r="S21" i="56" s="1"/>
  <c r="R21" i="56" s="1"/>
  <c r="Q20" i="56"/>
  <c r="S20" i="56" s="1"/>
  <c r="R20" i="56" s="1"/>
  <c r="Q19" i="56"/>
  <c r="S19" i="56" s="1"/>
  <c r="L8" i="56"/>
  <c r="L7" i="56"/>
  <c r="R1" i="56"/>
  <c r="C1" i="56"/>
  <c r="I8" i="104"/>
  <c r="I7" i="104"/>
  <c r="M1" i="104"/>
  <c r="A1" i="104"/>
  <c r="A89" i="55"/>
  <c r="L83" i="55"/>
  <c r="L85" i="55" s="1"/>
  <c r="L73" i="55"/>
  <c r="L64" i="55"/>
  <c r="L87" i="55" s="1"/>
  <c r="L46" i="55"/>
  <c r="L66" i="55" s="1"/>
  <c r="L30" i="55"/>
  <c r="L7" i="55"/>
  <c r="L6" i="55"/>
  <c r="B2" i="55"/>
  <c r="P1" i="55"/>
  <c r="B1" i="55"/>
  <c r="A31" i="53"/>
  <c r="O7" i="53"/>
  <c r="O6" i="53"/>
  <c r="W1" i="53"/>
  <c r="B1" i="53"/>
  <c r="R29" i="52"/>
  <c r="P29" i="52"/>
  <c r="N29" i="52"/>
  <c r="L29" i="52"/>
  <c r="T27" i="52"/>
  <c r="T26" i="52"/>
  <c r="T25" i="52"/>
  <c r="T24" i="52"/>
  <c r="T23" i="52"/>
  <c r="T22" i="52"/>
  <c r="T21" i="52"/>
  <c r="T20" i="52"/>
  <c r="T19" i="52"/>
  <c r="T18" i="52"/>
  <c r="T17" i="52"/>
  <c r="T16" i="52"/>
  <c r="T29" i="52" s="1"/>
  <c r="T31" i="52" s="1"/>
  <c r="T15" i="52"/>
  <c r="T14" i="52"/>
  <c r="L14" i="52"/>
  <c r="P6" i="52"/>
  <c r="P5" i="52"/>
  <c r="A2" i="52"/>
  <c r="U1" i="52"/>
  <c r="A1" i="52"/>
  <c r="D47" i="105"/>
  <c r="F112" i="68" s="1"/>
  <c r="F111" i="90" s="1"/>
  <c r="D30" i="105"/>
  <c r="F25" i="66" s="1"/>
  <c r="G7" i="105"/>
  <c r="B7" i="105"/>
  <c r="K1" i="105"/>
  <c r="A1" i="105"/>
  <c r="G6" i="51"/>
  <c r="B6" i="51"/>
  <c r="A2" i="51"/>
  <c r="K1" i="51"/>
  <c r="A1" i="51"/>
  <c r="G46" i="50"/>
  <c r="J29" i="50"/>
  <c r="E9" i="50"/>
  <c r="E8" i="50"/>
  <c r="I1" i="50"/>
  <c r="M84" i="121" s="1"/>
  <c r="A1" i="50"/>
  <c r="A48" i="49"/>
  <c r="O35" i="49"/>
  <c r="M29" i="49"/>
  <c r="M25" i="49"/>
  <c r="E25" i="49"/>
  <c r="E23" i="49"/>
  <c r="O42" i="49" s="1"/>
  <c r="E21" i="49"/>
  <c r="E15" i="49"/>
  <c r="M7" i="49"/>
  <c r="M6" i="49"/>
  <c r="P1" i="49"/>
  <c r="M83" i="121" s="1"/>
  <c r="B1" i="49"/>
  <c r="A48" i="117"/>
  <c r="M7" i="117"/>
  <c r="M6" i="117"/>
  <c r="P1" i="117"/>
  <c r="M82" i="121" s="1"/>
  <c r="B1" i="117"/>
  <c r="A31" i="47"/>
  <c r="J7" i="47"/>
  <c r="J6" i="47"/>
  <c r="M1" i="47"/>
  <c r="B1" i="47"/>
  <c r="A34" i="46"/>
  <c r="H29" i="46"/>
  <c r="F249" i="66" s="1"/>
  <c r="F247" i="72" s="1"/>
  <c r="X28" i="46"/>
  <c r="W28" i="46"/>
  <c r="V28" i="46"/>
  <c r="U28" i="46"/>
  <c r="T28" i="46"/>
  <c r="S28" i="46"/>
  <c r="Q28" i="46" s="1"/>
  <c r="P28" i="46" s="1"/>
  <c r="O28" i="46" s="1"/>
  <c r="R28" i="46"/>
  <c r="X27" i="46"/>
  <c r="W27" i="46"/>
  <c r="V27" i="46"/>
  <c r="U27" i="46"/>
  <c r="T27" i="46"/>
  <c r="S27" i="46"/>
  <c r="R27" i="46"/>
  <c r="Q27" i="46" s="1"/>
  <c r="P27" i="46" s="1"/>
  <c r="O27" i="46" s="1"/>
  <c r="X26" i="46"/>
  <c r="W26" i="46"/>
  <c r="V26" i="46"/>
  <c r="U26" i="46"/>
  <c r="T26" i="46"/>
  <c r="S26" i="46"/>
  <c r="R26" i="46"/>
  <c r="Q26" i="46" s="1"/>
  <c r="P26" i="46" s="1"/>
  <c r="O26" i="46" s="1"/>
  <c r="X25" i="46"/>
  <c r="W25" i="46"/>
  <c r="V25" i="46"/>
  <c r="U25" i="46"/>
  <c r="T25" i="46"/>
  <c r="Q25" i="46" s="1"/>
  <c r="P25" i="46" s="1"/>
  <c r="O25" i="46" s="1"/>
  <c r="S25" i="46"/>
  <c r="R25" i="46"/>
  <c r="X24" i="46"/>
  <c r="W24" i="46"/>
  <c r="V24" i="46"/>
  <c r="U24" i="46"/>
  <c r="T24" i="46"/>
  <c r="S24" i="46"/>
  <c r="Q24" i="46" s="1"/>
  <c r="P24" i="46" s="1"/>
  <c r="O24" i="46" s="1"/>
  <c r="R24" i="46"/>
  <c r="X23" i="46"/>
  <c r="W23" i="46"/>
  <c r="V23" i="46"/>
  <c r="U23" i="46"/>
  <c r="T23" i="46"/>
  <c r="S23" i="46"/>
  <c r="R23" i="46"/>
  <c r="Q23" i="46" s="1"/>
  <c r="P23" i="46" s="1"/>
  <c r="O23" i="46" s="1"/>
  <c r="X22" i="46"/>
  <c r="W22" i="46"/>
  <c r="V22" i="46"/>
  <c r="U22" i="46"/>
  <c r="T22" i="46"/>
  <c r="S22" i="46"/>
  <c r="R22" i="46"/>
  <c r="Q22" i="46" s="1"/>
  <c r="P22" i="46" s="1"/>
  <c r="O22" i="46" s="1"/>
  <c r="X21" i="46"/>
  <c r="W21" i="46"/>
  <c r="V21" i="46"/>
  <c r="U21" i="46"/>
  <c r="T21" i="46"/>
  <c r="S21" i="46"/>
  <c r="R21" i="46"/>
  <c r="X20" i="46"/>
  <c r="W20" i="46"/>
  <c r="V20" i="46"/>
  <c r="U20" i="46"/>
  <c r="T20" i="46"/>
  <c r="S20" i="46"/>
  <c r="Q20" i="46" s="1"/>
  <c r="P20" i="46" s="1"/>
  <c r="O20" i="46" s="1"/>
  <c r="R20" i="46"/>
  <c r="X19" i="46"/>
  <c r="W19" i="46"/>
  <c r="V19" i="46"/>
  <c r="U19" i="46"/>
  <c r="T19" i="46"/>
  <c r="S19" i="46"/>
  <c r="R19" i="46"/>
  <c r="Q19" i="46" s="1"/>
  <c r="P19" i="46" s="1"/>
  <c r="O19" i="46" s="1"/>
  <c r="X18" i="46"/>
  <c r="W18" i="46"/>
  <c r="V18" i="46"/>
  <c r="U18" i="46"/>
  <c r="T18" i="46"/>
  <c r="S18" i="46"/>
  <c r="R18" i="46"/>
  <c r="X17" i="46"/>
  <c r="W17" i="46"/>
  <c r="V17" i="46"/>
  <c r="U17" i="46"/>
  <c r="T17" i="46"/>
  <c r="S17" i="46"/>
  <c r="R17" i="46"/>
  <c r="X16" i="46"/>
  <c r="W16" i="46"/>
  <c r="V16" i="46"/>
  <c r="U16" i="46"/>
  <c r="T16" i="46"/>
  <c r="S16" i="46"/>
  <c r="Q16" i="46" s="1"/>
  <c r="R16" i="46"/>
  <c r="P16" i="46"/>
  <c r="O16" i="46" s="1"/>
  <c r="X15" i="46"/>
  <c r="W15" i="46"/>
  <c r="V15" i="46"/>
  <c r="U15" i="46"/>
  <c r="T15" i="46"/>
  <c r="S15" i="46"/>
  <c r="R15" i="46"/>
  <c r="Q15" i="46" s="1"/>
  <c r="P15" i="46" s="1"/>
  <c r="O15" i="46" s="1"/>
  <c r="X14" i="46"/>
  <c r="W14" i="46"/>
  <c r="W29" i="46" s="1"/>
  <c r="H37" i="82" s="1"/>
  <c r="R37" i="82" s="1"/>
  <c r="V14" i="46"/>
  <c r="U14" i="46"/>
  <c r="T14" i="46"/>
  <c r="S14" i="46"/>
  <c r="R14" i="46"/>
  <c r="X13" i="46"/>
  <c r="W13" i="46"/>
  <c r="V13" i="46"/>
  <c r="U13" i="46"/>
  <c r="T13" i="46"/>
  <c r="S13" i="46"/>
  <c r="R13" i="46"/>
  <c r="X12" i="46"/>
  <c r="W12" i="46"/>
  <c r="V12" i="46"/>
  <c r="U12" i="46"/>
  <c r="T12" i="46"/>
  <c r="S12" i="46"/>
  <c r="Q12" i="46" s="1"/>
  <c r="R12" i="46"/>
  <c r="P12" i="46"/>
  <c r="I6" i="46"/>
  <c r="I5" i="46"/>
  <c r="B2" i="46"/>
  <c r="O1" i="46"/>
  <c r="B1" i="46"/>
  <c r="A33" i="108"/>
  <c r="AF28" i="108"/>
  <c r="AE28" i="108"/>
  <c r="AD28" i="108"/>
  <c r="AC28" i="108"/>
  <c r="AB28" i="108"/>
  <c r="Z28" i="108" s="1"/>
  <c r="Y28" i="108" s="1"/>
  <c r="AA28" i="108"/>
  <c r="X28" i="108"/>
  <c r="W28" i="108"/>
  <c r="V28" i="108"/>
  <c r="U28" i="108"/>
  <c r="T28" i="108"/>
  <c r="S28" i="108" s="1"/>
  <c r="AF27" i="108"/>
  <c r="AE27" i="108"/>
  <c r="AD27" i="108"/>
  <c r="AC27" i="108"/>
  <c r="AB27" i="108"/>
  <c r="AA27" i="108"/>
  <c r="Z27" i="108"/>
  <c r="Y27" i="108" s="1"/>
  <c r="X27" i="108"/>
  <c r="W27" i="108"/>
  <c r="V27" i="108"/>
  <c r="U27" i="108"/>
  <c r="T27" i="108" s="1"/>
  <c r="S27" i="108" s="1"/>
  <c r="AF26" i="108"/>
  <c r="AE26" i="108"/>
  <c r="AD26" i="108"/>
  <c r="AC26" i="108"/>
  <c r="AB26" i="108"/>
  <c r="AA26" i="108"/>
  <c r="Z26" i="108" s="1"/>
  <c r="Y26" i="108" s="1"/>
  <c r="X26" i="108"/>
  <c r="W26" i="108"/>
  <c r="V26" i="108"/>
  <c r="U26" i="108"/>
  <c r="AF25" i="108"/>
  <c r="AE25" i="108"/>
  <c r="AD25" i="108"/>
  <c r="AC25" i="108"/>
  <c r="AB25" i="108"/>
  <c r="AA25" i="108"/>
  <c r="X25" i="108"/>
  <c r="W25" i="108"/>
  <c r="V25" i="108"/>
  <c r="T25" i="108" s="1"/>
  <c r="S25" i="108" s="1"/>
  <c r="U25" i="108"/>
  <c r="AF24" i="108"/>
  <c r="AE24" i="108"/>
  <c r="AD24" i="108"/>
  <c r="AC24" i="108"/>
  <c r="AB24" i="108"/>
  <c r="Z24" i="108" s="1"/>
  <c r="Y24" i="108" s="1"/>
  <c r="AA24" i="108"/>
  <c r="X24" i="108"/>
  <c r="W24" i="108"/>
  <c r="V24" i="108"/>
  <c r="U24" i="108"/>
  <c r="T24" i="108"/>
  <c r="S24" i="108" s="1"/>
  <c r="AF23" i="108"/>
  <c r="AE23" i="108"/>
  <c r="AD23" i="108"/>
  <c r="AC23" i="108"/>
  <c r="AB23" i="108"/>
  <c r="AA23" i="108"/>
  <c r="Z23" i="108"/>
  <c r="Y23" i="108" s="1"/>
  <c r="X23" i="108"/>
  <c r="W23" i="108"/>
  <c r="V23" i="108"/>
  <c r="U23" i="108"/>
  <c r="T23" i="108" s="1"/>
  <c r="S23" i="108" s="1"/>
  <c r="AF22" i="108"/>
  <c r="AE22" i="108"/>
  <c r="AD22" i="108"/>
  <c r="AC22" i="108"/>
  <c r="AB22" i="108"/>
  <c r="AA22" i="108"/>
  <c r="Z22" i="108" s="1"/>
  <c r="Y22" i="108" s="1"/>
  <c r="X22" i="108"/>
  <c r="W22" i="108"/>
  <c r="V22" i="108"/>
  <c r="T22" i="108" s="1"/>
  <c r="S22" i="108" s="1"/>
  <c r="U22" i="108"/>
  <c r="AF21" i="108"/>
  <c r="AE21" i="108"/>
  <c r="AD21" i="108"/>
  <c r="AC21" i="108"/>
  <c r="AB21" i="108"/>
  <c r="AA21" i="108"/>
  <c r="X21" i="108"/>
  <c r="W21" i="108"/>
  <c r="V21" i="108"/>
  <c r="T21" i="108" s="1"/>
  <c r="S21" i="108" s="1"/>
  <c r="U21" i="108"/>
  <c r="AF20" i="108"/>
  <c r="AE20" i="108"/>
  <c r="AD20" i="108"/>
  <c r="AC20" i="108"/>
  <c r="AB20" i="108"/>
  <c r="Z20" i="108" s="1"/>
  <c r="Y20" i="108" s="1"/>
  <c r="AA20" i="108"/>
  <c r="X20" i="108"/>
  <c r="W20" i="108"/>
  <c r="V20" i="108"/>
  <c r="U20" i="108"/>
  <c r="T20" i="108"/>
  <c r="S20" i="108" s="1"/>
  <c r="AF19" i="108"/>
  <c r="AE19" i="108"/>
  <c r="AD19" i="108"/>
  <c r="AC19" i="108"/>
  <c r="AB19" i="108"/>
  <c r="AA19" i="108"/>
  <c r="Z19" i="108"/>
  <c r="Y19" i="108" s="1"/>
  <c r="X19" i="108"/>
  <c r="W19" i="108"/>
  <c r="V19" i="108"/>
  <c r="U19" i="108"/>
  <c r="T19" i="108" s="1"/>
  <c r="S19" i="108" s="1"/>
  <c r="AF18" i="108"/>
  <c r="AE18" i="108"/>
  <c r="AD18" i="108"/>
  <c r="AC18" i="108"/>
  <c r="AB18" i="108"/>
  <c r="AA18" i="108"/>
  <c r="Z18" i="108" s="1"/>
  <c r="Y18" i="108" s="1"/>
  <c r="X18" i="108"/>
  <c r="W18" i="108"/>
  <c r="V18" i="108"/>
  <c r="U18" i="108"/>
  <c r="T18" i="108" s="1"/>
  <c r="S18" i="108" s="1"/>
  <c r="AF17" i="108"/>
  <c r="AE17" i="108"/>
  <c r="AD17" i="108"/>
  <c r="AC17" i="108"/>
  <c r="AB17" i="108"/>
  <c r="Z17" i="108" s="1"/>
  <c r="Y17" i="108" s="1"/>
  <c r="AA17" i="108"/>
  <c r="X17" i="108"/>
  <c r="W17" i="108"/>
  <c r="V17" i="108"/>
  <c r="T17" i="108" s="1"/>
  <c r="S17" i="108" s="1"/>
  <c r="U17" i="108"/>
  <c r="AF16" i="108"/>
  <c r="AE16" i="108"/>
  <c r="AD16" i="108"/>
  <c r="AC16" i="108"/>
  <c r="AB16" i="108"/>
  <c r="Z16" i="108" s="1"/>
  <c r="Y16" i="108" s="1"/>
  <c r="AA16" i="108"/>
  <c r="X16" i="108"/>
  <c r="W16" i="108"/>
  <c r="V16" i="108"/>
  <c r="U16" i="108"/>
  <c r="T16" i="108"/>
  <c r="S16" i="108" s="1"/>
  <c r="AF15" i="108"/>
  <c r="AE15" i="108"/>
  <c r="AD15" i="108"/>
  <c r="AC15" i="108"/>
  <c r="AB15" i="108"/>
  <c r="AA15" i="108"/>
  <c r="Z15" i="108"/>
  <c r="Y15" i="108" s="1"/>
  <c r="X15" i="108"/>
  <c r="W15" i="108"/>
  <c r="V15" i="108"/>
  <c r="U15" i="108"/>
  <c r="T15" i="108" s="1"/>
  <c r="S15" i="108" s="1"/>
  <c r="AF14" i="108"/>
  <c r="AF29" i="108" s="1"/>
  <c r="AE14" i="108"/>
  <c r="AE29" i="108" s="1"/>
  <c r="AD14" i="108"/>
  <c r="AC14" i="108"/>
  <c r="AB14" i="108"/>
  <c r="AA14" i="108"/>
  <c r="Z14" i="108" s="1"/>
  <c r="Y14" i="108" s="1"/>
  <c r="X14" i="108"/>
  <c r="W14" i="108"/>
  <c r="V14" i="108"/>
  <c r="U14" i="108"/>
  <c r="O6" i="108"/>
  <c r="O5" i="108"/>
  <c r="B2" i="108"/>
  <c r="AK1" i="108"/>
  <c r="B1" i="108"/>
  <c r="Z32" i="107"/>
  <c r="Y32" i="107"/>
  <c r="X32" i="107"/>
  <c r="W32" i="107"/>
  <c r="V32" i="107"/>
  <c r="U32" i="107"/>
  <c r="Z31" i="107"/>
  <c r="Y31" i="107"/>
  <c r="X31" i="107"/>
  <c r="W31" i="107"/>
  <c r="V31" i="107"/>
  <c r="U31" i="107"/>
  <c r="Z30" i="107"/>
  <c r="Y30" i="107"/>
  <c r="X30" i="107"/>
  <c r="W30" i="107"/>
  <c r="V30" i="107"/>
  <c r="U30" i="107"/>
  <c r="Z29" i="107"/>
  <c r="Y29" i="107"/>
  <c r="X29" i="107"/>
  <c r="W29" i="107"/>
  <c r="V29" i="107"/>
  <c r="U29" i="107"/>
  <c r="Z28" i="107"/>
  <c r="Y28" i="107"/>
  <c r="X28" i="107"/>
  <c r="W28" i="107"/>
  <c r="V28" i="107"/>
  <c r="U28" i="107"/>
  <c r="Z27" i="107"/>
  <c r="Y27" i="107"/>
  <c r="X27" i="107"/>
  <c r="W27" i="107"/>
  <c r="V27" i="107"/>
  <c r="U27" i="107"/>
  <c r="Z26" i="107"/>
  <c r="Y26" i="107"/>
  <c r="X26" i="107"/>
  <c r="W26" i="107"/>
  <c r="V26" i="107"/>
  <c r="U26" i="107"/>
  <c r="Z25" i="107"/>
  <c r="Y25" i="107"/>
  <c r="X25" i="107"/>
  <c r="W25" i="107"/>
  <c r="V25" i="107"/>
  <c r="U25" i="107"/>
  <c r="Z24" i="107"/>
  <c r="Y24" i="107"/>
  <c r="X24" i="107"/>
  <c r="W24" i="107"/>
  <c r="V24" i="107"/>
  <c r="U24" i="107"/>
  <c r="Z23" i="107"/>
  <c r="Y23" i="107"/>
  <c r="X23" i="107"/>
  <c r="W23" i="107"/>
  <c r="V23" i="107"/>
  <c r="U23" i="107"/>
  <c r="Z22" i="107"/>
  <c r="Y22" i="107"/>
  <c r="X22" i="107"/>
  <c r="W22" i="107"/>
  <c r="V22" i="107"/>
  <c r="U22" i="107"/>
  <c r="Z21" i="107"/>
  <c r="Y21" i="107"/>
  <c r="X21" i="107"/>
  <c r="W21" i="107"/>
  <c r="V21" i="107"/>
  <c r="U21" i="107"/>
  <c r="Z20" i="107"/>
  <c r="Y20" i="107"/>
  <c r="X20" i="107"/>
  <c r="W20" i="107"/>
  <c r="V20" i="107"/>
  <c r="U20" i="107"/>
  <c r="Z19" i="107"/>
  <c r="Y19" i="107"/>
  <c r="X19" i="107"/>
  <c r="W19" i="107"/>
  <c r="V19" i="107"/>
  <c r="U19" i="107"/>
  <c r="Z18" i="107"/>
  <c r="Y18" i="107"/>
  <c r="X18" i="107"/>
  <c r="W18" i="107"/>
  <c r="V18" i="107"/>
  <c r="U18" i="107"/>
  <c r="M7" i="107"/>
  <c r="M6" i="107"/>
  <c r="R1" i="107"/>
  <c r="A1" i="107"/>
  <c r="Z33" i="106"/>
  <c r="Y33" i="106"/>
  <c r="X33" i="106"/>
  <c r="W33" i="106"/>
  <c r="V33" i="106"/>
  <c r="U33" i="106"/>
  <c r="Z32" i="106"/>
  <c r="Y32" i="106"/>
  <c r="X32" i="106"/>
  <c r="W32" i="106"/>
  <c r="V32" i="106"/>
  <c r="U32" i="106"/>
  <c r="Z31" i="106"/>
  <c r="Y31" i="106"/>
  <c r="X31" i="106"/>
  <c r="W31" i="106"/>
  <c r="V31" i="106"/>
  <c r="U31" i="106"/>
  <c r="Z30" i="106"/>
  <c r="Y30" i="106"/>
  <c r="X30" i="106"/>
  <c r="W30" i="106"/>
  <c r="V30" i="106"/>
  <c r="U30" i="106"/>
  <c r="Z29" i="106"/>
  <c r="Y29" i="106"/>
  <c r="X29" i="106"/>
  <c r="W29" i="106"/>
  <c r="V29" i="106"/>
  <c r="U29" i="106"/>
  <c r="Z28" i="106"/>
  <c r="Y28" i="106"/>
  <c r="X28" i="106"/>
  <c r="W28" i="106"/>
  <c r="V28" i="106"/>
  <c r="U28" i="106"/>
  <c r="Z27" i="106"/>
  <c r="Y27" i="106"/>
  <c r="X27" i="106"/>
  <c r="W27" i="106"/>
  <c r="V27" i="106"/>
  <c r="U27" i="106"/>
  <c r="Z26" i="106"/>
  <c r="Y26" i="106"/>
  <c r="X26" i="106"/>
  <c r="W26" i="106"/>
  <c r="V26" i="106"/>
  <c r="U26" i="106"/>
  <c r="Z25" i="106"/>
  <c r="Y25" i="106"/>
  <c r="X25" i="106"/>
  <c r="W25" i="106"/>
  <c r="V25" i="106"/>
  <c r="U25" i="106"/>
  <c r="Z24" i="106"/>
  <c r="Y24" i="106"/>
  <c r="X24" i="106"/>
  <c r="W24" i="106"/>
  <c r="V24" i="106"/>
  <c r="U24" i="106"/>
  <c r="Z23" i="106"/>
  <c r="Y23" i="106"/>
  <c r="X23" i="106"/>
  <c r="W23" i="106"/>
  <c r="V23" i="106"/>
  <c r="U23" i="106"/>
  <c r="Z22" i="106"/>
  <c r="Y22" i="106"/>
  <c r="X22" i="106"/>
  <c r="W22" i="106"/>
  <c r="V22" i="106"/>
  <c r="U22" i="106"/>
  <c r="Z21" i="106"/>
  <c r="Y21" i="106"/>
  <c r="X21" i="106"/>
  <c r="W21" i="106"/>
  <c r="V21" i="106"/>
  <c r="U21" i="106"/>
  <c r="Z20" i="106"/>
  <c r="Y20" i="106"/>
  <c r="X20" i="106"/>
  <c r="W20" i="106"/>
  <c r="V20" i="106"/>
  <c r="U20" i="106"/>
  <c r="Z19" i="106"/>
  <c r="Y19" i="106"/>
  <c r="X19" i="106"/>
  <c r="W19" i="106"/>
  <c r="V19" i="106"/>
  <c r="U19" i="106"/>
  <c r="M7" i="106"/>
  <c r="M6" i="106"/>
  <c r="A2" i="106"/>
  <c r="R1" i="106"/>
  <c r="A1" i="106"/>
  <c r="A117" i="110"/>
  <c r="P33" i="110"/>
  <c r="H33" i="110"/>
  <c r="AE32" i="110"/>
  <c r="AD32" i="110"/>
  <c r="AC32" i="110"/>
  <c r="AB32" i="110"/>
  <c r="AA32" i="110"/>
  <c r="Z32" i="110"/>
  <c r="Y32" i="110" s="1"/>
  <c r="X32" i="110" s="1"/>
  <c r="W32" i="110"/>
  <c r="V32" i="110"/>
  <c r="U32" i="110"/>
  <c r="S32" i="110" s="1"/>
  <c r="R32" i="110" s="1"/>
  <c r="Q32" i="110" s="1"/>
  <c r="T32" i="110"/>
  <c r="AE31" i="110"/>
  <c r="AD31" i="110"/>
  <c r="AC31" i="110"/>
  <c r="AB31" i="110"/>
  <c r="AA31" i="110"/>
  <c r="Z31" i="110"/>
  <c r="Y31" i="110"/>
  <c r="X31" i="110" s="1"/>
  <c r="W31" i="110"/>
  <c r="V31" i="110"/>
  <c r="U31" i="110"/>
  <c r="T31" i="110"/>
  <c r="S31" i="110" s="1"/>
  <c r="R31" i="110" s="1"/>
  <c r="Q31" i="110"/>
  <c r="AE30" i="110"/>
  <c r="AD30" i="110"/>
  <c r="AC30" i="110"/>
  <c r="AB30" i="110"/>
  <c r="AA30" i="110"/>
  <c r="Y30" i="110" s="1"/>
  <c r="X30" i="110" s="1"/>
  <c r="Z30" i="110"/>
  <c r="W30" i="110"/>
  <c r="V30" i="110"/>
  <c r="S30" i="110" s="1"/>
  <c r="R30" i="110" s="1"/>
  <c r="U30" i="110"/>
  <c r="T30" i="110"/>
  <c r="AE29" i="110"/>
  <c r="AD29" i="110"/>
  <c r="AC29" i="110"/>
  <c r="AB29" i="110"/>
  <c r="AA29" i="110"/>
  <c r="Z29" i="110"/>
  <c r="Y29" i="110" s="1"/>
  <c r="X29" i="110" s="1"/>
  <c r="W29" i="110"/>
  <c r="V29" i="110"/>
  <c r="U29" i="110"/>
  <c r="T29" i="110"/>
  <c r="AE28" i="110"/>
  <c r="AD28" i="110"/>
  <c r="AC28" i="110"/>
  <c r="AB28" i="110"/>
  <c r="Y28" i="110" s="1"/>
  <c r="X28" i="110" s="1"/>
  <c r="AA28" i="110"/>
  <c r="Z28" i="110"/>
  <c r="W28" i="110"/>
  <c r="V28" i="110"/>
  <c r="U28" i="110"/>
  <c r="T28" i="110"/>
  <c r="AE27" i="110"/>
  <c r="AD27" i="110"/>
  <c r="AC27" i="110"/>
  <c r="AB27" i="110"/>
  <c r="AA27" i="110"/>
  <c r="Z27" i="110"/>
  <c r="W27" i="110"/>
  <c r="V27" i="110"/>
  <c r="U27" i="110"/>
  <c r="S27" i="110" s="1"/>
  <c r="R27" i="110" s="1"/>
  <c r="T27" i="110"/>
  <c r="AE26" i="110"/>
  <c r="AD26" i="110"/>
  <c r="AC26" i="110"/>
  <c r="AB26" i="110"/>
  <c r="AA26" i="110"/>
  <c r="Z26" i="110"/>
  <c r="W26" i="110"/>
  <c r="V26" i="110"/>
  <c r="U26" i="110"/>
  <c r="T26" i="110"/>
  <c r="S26" i="110" s="1"/>
  <c r="R26" i="110"/>
  <c r="AE25" i="110"/>
  <c r="AD25" i="110"/>
  <c r="AC25" i="110"/>
  <c r="AB25" i="110"/>
  <c r="AA25" i="110"/>
  <c r="Y25" i="110" s="1"/>
  <c r="X25" i="110" s="1"/>
  <c r="Z25" i="110"/>
  <c r="W25" i="110"/>
  <c r="V25" i="110"/>
  <c r="U25" i="110"/>
  <c r="T25" i="110"/>
  <c r="S25" i="110"/>
  <c r="R25" i="110" s="1"/>
  <c r="AE24" i="110"/>
  <c r="AD24" i="110"/>
  <c r="AC24" i="110"/>
  <c r="AB24" i="110"/>
  <c r="AA24" i="110"/>
  <c r="Z24" i="110"/>
  <c r="Y24" i="110" s="1"/>
  <c r="X24" i="110"/>
  <c r="W24" i="110"/>
  <c r="V24" i="110"/>
  <c r="U24" i="110"/>
  <c r="S24" i="110" s="1"/>
  <c r="T24" i="110"/>
  <c r="R24" i="110"/>
  <c r="AE23" i="110"/>
  <c r="AD23" i="110"/>
  <c r="AC23" i="110"/>
  <c r="AB23" i="110"/>
  <c r="AA23" i="110"/>
  <c r="Z23" i="110"/>
  <c r="Y23" i="110"/>
  <c r="X23" i="110" s="1"/>
  <c r="W23" i="110"/>
  <c r="V23" i="110"/>
  <c r="U23" i="110"/>
  <c r="T23" i="110"/>
  <c r="S23" i="110" s="1"/>
  <c r="R23" i="110" s="1"/>
  <c r="Q23" i="110" s="1"/>
  <c r="AE22" i="110"/>
  <c r="AD22" i="110"/>
  <c r="AC22" i="110"/>
  <c r="AB22" i="110"/>
  <c r="AA22" i="110"/>
  <c r="Y22" i="110" s="1"/>
  <c r="Z22" i="110"/>
  <c r="X22" i="110"/>
  <c r="W22" i="110"/>
  <c r="V22" i="110"/>
  <c r="S22" i="110" s="1"/>
  <c r="R22" i="110" s="1"/>
  <c r="U22" i="110"/>
  <c r="T22" i="110"/>
  <c r="AE21" i="110"/>
  <c r="AD21" i="110"/>
  <c r="AC21" i="110"/>
  <c r="AB21" i="110"/>
  <c r="AA21" i="110"/>
  <c r="Z21" i="110"/>
  <c r="W21" i="110"/>
  <c r="V21" i="110"/>
  <c r="U21" i="110"/>
  <c r="S21" i="110" s="1"/>
  <c r="R21" i="110" s="1"/>
  <c r="T21" i="110"/>
  <c r="AE20" i="110"/>
  <c r="AD20" i="110"/>
  <c r="AD33" i="110" s="1"/>
  <c r="AC20" i="110"/>
  <c r="AB20" i="110"/>
  <c r="Y20" i="110" s="1"/>
  <c r="X20" i="110" s="1"/>
  <c r="AA20" i="110"/>
  <c r="Z20" i="110"/>
  <c r="W20" i="110"/>
  <c r="V20" i="110"/>
  <c r="U20" i="110"/>
  <c r="T20" i="110"/>
  <c r="S20" i="110" s="1"/>
  <c r="R20" i="110" s="1"/>
  <c r="Q20" i="110" s="1"/>
  <c r="AE19" i="110"/>
  <c r="AD19" i="110"/>
  <c r="AC19" i="110"/>
  <c r="AB19" i="110"/>
  <c r="AA19" i="110"/>
  <c r="Z19" i="110"/>
  <c r="W19" i="110"/>
  <c r="V19" i="110"/>
  <c r="U19" i="110"/>
  <c r="S19" i="110" s="1"/>
  <c r="R19" i="110" s="1"/>
  <c r="T19" i="110"/>
  <c r="AE18" i="110"/>
  <c r="AD18" i="110"/>
  <c r="AC18" i="110"/>
  <c r="AB18" i="110"/>
  <c r="AA18" i="110"/>
  <c r="Z18" i="110"/>
  <c r="W18" i="110"/>
  <c r="V18" i="110"/>
  <c r="U18" i="110"/>
  <c r="T18" i="110"/>
  <c r="S18" i="110" s="1"/>
  <c r="R18" i="110" s="1"/>
  <c r="AE17" i="110"/>
  <c r="AD17" i="110"/>
  <c r="AC17" i="110"/>
  <c r="AB17" i="110"/>
  <c r="AA17" i="110"/>
  <c r="Z17" i="110"/>
  <c r="Y17" i="110"/>
  <c r="X17" i="110" s="1"/>
  <c r="W17" i="110"/>
  <c r="V17" i="110"/>
  <c r="U17" i="110"/>
  <c r="T17" i="110"/>
  <c r="S17" i="110"/>
  <c r="R17" i="110" s="1"/>
  <c r="Q17" i="110" s="1"/>
  <c r="AE16" i="110"/>
  <c r="AD16" i="110"/>
  <c r="AC16" i="110"/>
  <c r="AB16" i="110"/>
  <c r="AA16" i="110"/>
  <c r="Z16" i="110"/>
  <c r="Y16" i="110" s="1"/>
  <c r="X16" i="110" s="1"/>
  <c r="W16" i="110"/>
  <c r="V16" i="110"/>
  <c r="U16" i="110"/>
  <c r="S16" i="110" s="1"/>
  <c r="R16" i="110" s="1"/>
  <c r="Q16" i="110" s="1"/>
  <c r="T16" i="110"/>
  <c r="AE15" i="110"/>
  <c r="AE33" i="110" s="1"/>
  <c r="AD15" i="110"/>
  <c r="AC15" i="110"/>
  <c r="AB15" i="110"/>
  <c r="Y15" i="110" s="1"/>
  <c r="X15" i="110" s="1"/>
  <c r="AA15" i="110"/>
  <c r="Z15" i="110"/>
  <c r="W15" i="110"/>
  <c r="V15" i="110"/>
  <c r="U15" i="110"/>
  <c r="T15" i="110"/>
  <c r="AE14" i="110"/>
  <c r="AD14" i="110"/>
  <c r="AC14" i="110"/>
  <c r="AB14" i="110"/>
  <c r="AA14" i="110"/>
  <c r="Z14" i="110"/>
  <c r="Y14" i="110"/>
  <c r="X14" i="110" s="1"/>
  <c r="W14" i="110"/>
  <c r="V14" i="110"/>
  <c r="U14" i="110"/>
  <c r="T14" i="110"/>
  <c r="S14" i="110"/>
  <c r="R14" i="110" s="1"/>
  <c r="Q14" i="110" s="1"/>
  <c r="M7" i="110"/>
  <c r="M6" i="110"/>
  <c r="AF1" i="110"/>
  <c r="M81" i="121" s="1"/>
  <c r="B1" i="110"/>
  <c r="A37" i="109"/>
  <c r="P28" i="109"/>
  <c r="P29" i="109" s="1"/>
  <c r="M29" i="109" s="1"/>
  <c r="H28" i="109"/>
  <c r="AE27" i="109"/>
  <c r="AD27" i="109"/>
  <c r="AC27" i="109"/>
  <c r="AB27" i="109"/>
  <c r="AA27" i="109"/>
  <c r="Z27" i="109"/>
  <c r="Y27" i="109"/>
  <c r="X27" i="109" s="1"/>
  <c r="W27" i="109"/>
  <c r="V27" i="109"/>
  <c r="S27" i="109" s="1"/>
  <c r="R27" i="109" s="1"/>
  <c r="Q27" i="109" s="1"/>
  <c r="U27" i="109"/>
  <c r="T27" i="109"/>
  <c r="AE26" i="109"/>
  <c r="AD26" i="109"/>
  <c r="AC26" i="109"/>
  <c r="AB26" i="109"/>
  <c r="AA26" i="109"/>
  <c r="Z26" i="109"/>
  <c r="Y26" i="109" s="1"/>
  <c r="X26" i="109" s="1"/>
  <c r="W26" i="109"/>
  <c r="V26" i="109"/>
  <c r="U26" i="109"/>
  <c r="S26" i="109" s="1"/>
  <c r="R26" i="109" s="1"/>
  <c r="Q26" i="109" s="1"/>
  <c r="T26" i="109"/>
  <c r="AE25" i="109"/>
  <c r="AD25" i="109"/>
  <c r="AC25" i="109"/>
  <c r="AB25" i="109"/>
  <c r="AA25" i="109"/>
  <c r="Z25" i="109"/>
  <c r="Y25" i="109"/>
  <c r="X25" i="109" s="1"/>
  <c r="W25" i="109"/>
  <c r="V25" i="109"/>
  <c r="U25" i="109"/>
  <c r="T25" i="109"/>
  <c r="AE24" i="109"/>
  <c r="AD24" i="109"/>
  <c r="AC24" i="109"/>
  <c r="AB24" i="109"/>
  <c r="AA24" i="109"/>
  <c r="Y24" i="109" s="1"/>
  <c r="X24" i="109" s="1"/>
  <c r="Z24" i="109"/>
  <c r="W24" i="109"/>
  <c r="V24" i="109"/>
  <c r="U24" i="109"/>
  <c r="T24" i="109"/>
  <c r="S24" i="109"/>
  <c r="R24" i="109" s="1"/>
  <c r="AE23" i="109"/>
  <c r="AD23" i="109"/>
  <c r="AC23" i="109"/>
  <c r="AB23" i="109"/>
  <c r="AA23" i="109"/>
  <c r="Z23" i="109"/>
  <c r="Y23" i="109" s="1"/>
  <c r="X23" i="109" s="1"/>
  <c r="W23" i="109"/>
  <c r="V23" i="109"/>
  <c r="U23" i="109"/>
  <c r="S23" i="109" s="1"/>
  <c r="R23" i="109" s="1"/>
  <c r="Q23" i="109" s="1"/>
  <c r="T23" i="109"/>
  <c r="AE22" i="109"/>
  <c r="AD22" i="109"/>
  <c r="AC22" i="109"/>
  <c r="AB22" i="109"/>
  <c r="AA22" i="109"/>
  <c r="Z22" i="109"/>
  <c r="Y22" i="109"/>
  <c r="X22" i="109" s="1"/>
  <c r="W22" i="109"/>
  <c r="V22" i="109"/>
  <c r="U22" i="109"/>
  <c r="T22" i="109"/>
  <c r="S22" i="109" s="1"/>
  <c r="R22" i="109" s="1"/>
  <c r="Q22" i="109" s="1"/>
  <c r="AE21" i="109"/>
  <c r="AD21" i="109"/>
  <c r="AC21" i="109"/>
  <c r="AB21" i="109"/>
  <c r="AA21" i="109"/>
  <c r="Z21" i="109"/>
  <c r="W21" i="109"/>
  <c r="V21" i="109"/>
  <c r="U21" i="109"/>
  <c r="S21" i="109" s="1"/>
  <c r="R21" i="109" s="1"/>
  <c r="T21" i="109"/>
  <c r="AE20" i="109"/>
  <c r="AD20" i="109"/>
  <c r="AC20" i="109"/>
  <c r="AB20" i="109"/>
  <c r="AA20" i="109"/>
  <c r="Z20" i="109"/>
  <c r="Y20" i="109" s="1"/>
  <c r="X20" i="109" s="1"/>
  <c r="W20" i="109"/>
  <c r="V20" i="109"/>
  <c r="U20" i="109"/>
  <c r="T20" i="109"/>
  <c r="AE19" i="109"/>
  <c r="AD19" i="109"/>
  <c r="AC19" i="109"/>
  <c r="AB19" i="109"/>
  <c r="AA19" i="109"/>
  <c r="Z19" i="109"/>
  <c r="Y19" i="109"/>
  <c r="X19" i="109" s="1"/>
  <c r="W19" i="109"/>
  <c r="V19" i="109"/>
  <c r="U19" i="109"/>
  <c r="T19" i="109"/>
  <c r="S19" i="109"/>
  <c r="R19" i="109" s="1"/>
  <c r="Q19" i="109" s="1"/>
  <c r="AE18" i="109"/>
  <c r="AD18" i="109"/>
  <c r="AC18" i="109"/>
  <c r="AB18" i="109"/>
  <c r="AA18" i="109"/>
  <c r="Z18" i="109"/>
  <c r="Y18" i="109" s="1"/>
  <c r="X18" i="109" s="1"/>
  <c r="W18" i="109"/>
  <c r="V18" i="109"/>
  <c r="U18" i="109"/>
  <c r="S18" i="109" s="1"/>
  <c r="R18" i="109" s="1"/>
  <c r="Q18" i="109" s="1"/>
  <c r="T18" i="109"/>
  <c r="AE17" i="109"/>
  <c r="AD17" i="109"/>
  <c r="AC17" i="109"/>
  <c r="AB17" i="109"/>
  <c r="AA17" i="109"/>
  <c r="Z17" i="109"/>
  <c r="Y17" i="109"/>
  <c r="X17" i="109" s="1"/>
  <c r="W17" i="109"/>
  <c r="V17" i="109"/>
  <c r="U17" i="109"/>
  <c r="T17" i="109"/>
  <c r="S17" i="109" s="1"/>
  <c r="R17" i="109" s="1"/>
  <c r="Q17" i="109" s="1"/>
  <c r="AE16" i="109"/>
  <c r="AD16" i="109"/>
  <c r="AC16" i="109"/>
  <c r="AB16" i="109"/>
  <c r="AA16" i="109"/>
  <c r="Y16" i="109" s="1"/>
  <c r="X16" i="109" s="1"/>
  <c r="Z16" i="109"/>
  <c r="W16" i="109"/>
  <c r="V16" i="109"/>
  <c r="U16" i="109"/>
  <c r="T16" i="109"/>
  <c r="S16" i="109"/>
  <c r="R16" i="109" s="1"/>
  <c r="Q16" i="109" s="1"/>
  <c r="AE15" i="109"/>
  <c r="AD15" i="109"/>
  <c r="AC15" i="109"/>
  <c r="AB15" i="109"/>
  <c r="AA15" i="109"/>
  <c r="Z15" i="109"/>
  <c r="Y15" i="109" s="1"/>
  <c r="X15" i="109"/>
  <c r="W15" i="109"/>
  <c r="V15" i="109"/>
  <c r="U15" i="109"/>
  <c r="T15" i="109"/>
  <c r="AE14" i="109"/>
  <c r="AD14" i="109"/>
  <c r="AC14" i="109"/>
  <c r="AB14" i="109"/>
  <c r="Y14" i="109" s="1"/>
  <c r="X14" i="109" s="1"/>
  <c r="AA14" i="109"/>
  <c r="Z14" i="109"/>
  <c r="W14" i="109"/>
  <c r="V14" i="109"/>
  <c r="U14" i="109"/>
  <c r="T14" i="109"/>
  <c r="AE13" i="109"/>
  <c r="AD13" i="109"/>
  <c r="AC13" i="109"/>
  <c r="AB13" i="109"/>
  <c r="AA13" i="109"/>
  <c r="Y13" i="109" s="1"/>
  <c r="X13" i="109" s="1"/>
  <c r="Z13" i="109"/>
  <c r="W13" i="109"/>
  <c r="V13" i="109"/>
  <c r="S13" i="109" s="1"/>
  <c r="R13" i="109" s="1"/>
  <c r="Q13" i="109" s="1"/>
  <c r="U13" i="109"/>
  <c r="T13" i="109"/>
  <c r="L6" i="109"/>
  <c r="L5" i="109"/>
  <c r="AI1" i="109"/>
  <c r="M80" i="121" s="1"/>
  <c r="B1" i="109"/>
  <c r="A39" i="43"/>
  <c r="H34" i="43"/>
  <c r="F23" i="66" s="1"/>
  <c r="W33" i="43"/>
  <c r="V33" i="43"/>
  <c r="U33" i="43"/>
  <c r="T33" i="43"/>
  <c r="W32" i="43"/>
  <c r="V32" i="43"/>
  <c r="U32" i="43"/>
  <c r="T32" i="43"/>
  <c r="W31" i="43"/>
  <c r="V31" i="43"/>
  <c r="S31" i="43" s="1"/>
  <c r="R31" i="43" s="1"/>
  <c r="Q31" i="43" s="1"/>
  <c r="U31" i="43"/>
  <c r="T31" i="43"/>
  <c r="W30" i="43"/>
  <c r="V30" i="43"/>
  <c r="U30" i="43"/>
  <c r="T30" i="43"/>
  <c r="W29" i="43"/>
  <c r="V29" i="43"/>
  <c r="U29" i="43"/>
  <c r="T29" i="43"/>
  <c r="W28" i="43"/>
  <c r="V28" i="43"/>
  <c r="U28" i="43"/>
  <c r="T28" i="43"/>
  <c r="W27" i="43"/>
  <c r="V27" i="43"/>
  <c r="U27" i="43"/>
  <c r="T27" i="43"/>
  <c r="H21" i="43"/>
  <c r="F140" i="68" s="1"/>
  <c r="F139" i="90" s="1"/>
  <c r="W20" i="43"/>
  <c r="V20" i="43"/>
  <c r="U20" i="43"/>
  <c r="T20" i="43"/>
  <c r="W19" i="43"/>
  <c r="V19" i="43"/>
  <c r="U19" i="43"/>
  <c r="T19" i="43"/>
  <c r="W18" i="43"/>
  <c r="V18" i="43"/>
  <c r="U18" i="43"/>
  <c r="T18" i="43"/>
  <c r="W17" i="43"/>
  <c r="V17" i="43"/>
  <c r="U17" i="43"/>
  <c r="T17" i="43"/>
  <c r="W16" i="43"/>
  <c r="V16" i="43"/>
  <c r="U16" i="43"/>
  <c r="T16" i="43"/>
  <c r="W15" i="43"/>
  <c r="V15" i="43"/>
  <c r="U15" i="43"/>
  <c r="T15" i="43"/>
  <c r="W14" i="43"/>
  <c r="V14" i="43"/>
  <c r="U14" i="43"/>
  <c r="T14" i="43"/>
  <c r="P6" i="43"/>
  <c r="P5" i="43"/>
  <c r="Q1" i="43"/>
  <c r="B1" i="43"/>
  <c r="A37" i="42"/>
  <c r="H31" i="42"/>
  <c r="F110" i="66" s="1"/>
  <c r="F110" i="72" s="1"/>
  <c r="P7" i="42"/>
  <c r="P6" i="42"/>
  <c r="Q1" i="42"/>
  <c r="B1" i="42"/>
  <c r="A38" i="41"/>
  <c r="H33" i="41"/>
  <c r="F56" i="68" s="1"/>
  <c r="F55" i="90" s="1"/>
  <c r="H24" i="41"/>
  <c r="F24" i="66" s="1"/>
  <c r="F24" i="72" s="1"/>
  <c r="P7" i="41"/>
  <c r="P6" i="41"/>
  <c r="Q1" i="41"/>
  <c r="B1" i="41"/>
  <c r="A37" i="40"/>
  <c r="H31" i="40"/>
  <c r="F112" i="66" s="1"/>
  <c r="P7" i="40"/>
  <c r="P6" i="40"/>
  <c r="B2" i="40"/>
  <c r="Q1" i="40"/>
  <c r="B1" i="40"/>
  <c r="A37" i="39"/>
  <c r="H31" i="39"/>
  <c r="F56" i="66" s="1"/>
  <c r="F56" i="72" s="1"/>
  <c r="H25" i="39"/>
  <c r="F27" i="68" s="1"/>
  <c r="F26" i="90" s="1"/>
  <c r="P7" i="39"/>
  <c r="P6" i="39"/>
  <c r="B2" i="39"/>
  <c r="Q1" i="39"/>
  <c r="B1" i="39"/>
  <c r="A37" i="38"/>
  <c r="H31" i="38"/>
  <c r="P7" i="38"/>
  <c r="P6" i="38"/>
  <c r="Q1" i="38"/>
  <c r="B1" i="38"/>
  <c r="H30" i="37"/>
  <c r="L7" i="37"/>
  <c r="L6" i="37"/>
  <c r="R1" i="37"/>
  <c r="B1" i="37"/>
  <c r="A38" i="36"/>
  <c r="H32" i="36"/>
  <c r="R31" i="36"/>
  <c r="P31" i="36"/>
  <c r="L31" i="36"/>
  <c r="R30" i="36"/>
  <c r="P30" i="36"/>
  <c r="L30" i="36"/>
  <c r="R29" i="36"/>
  <c r="P29" i="36"/>
  <c r="L29" i="36"/>
  <c r="R28" i="36"/>
  <c r="P28" i="36"/>
  <c r="L28" i="36"/>
  <c r="R27" i="36"/>
  <c r="P27" i="36"/>
  <c r="L27" i="36"/>
  <c r="R26" i="36"/>
  <c r="P26" i="36"/>
  <c r="L26" i="36"/>
  <c r="R25" i="36"/>
  <c r="P25" i="36"/>
  <c r="L25" i="36"/>
  <c r="R24" i="36"/>
  <c r="P24" i="36"/>
  <c r="L24" i="36"/>
  <c r="R23" i="36"/>
  <c r="P23" i="36"/>
  <c r="L23" i="36"/>
  <c r="R22" i="36"/>
  <c r="P22" i="36"/>
  <c r="L22" i="36"/>
  <c r="R21" i="36"/>
  <c r="P21" i="36"/>
  <c r="L21" i="36"/>
  <c r="R20" i="36"/>
  <c r="P20" i="36"/>
  <c r="L20" i="36"/>
  <c r="R19" i="36"/>
  <c r="P19" i="36"/>
  <c r="L19" i="36"/>
  <c r="R18" i="36"/>
  <c r="P18" i="36"/>
  <c r="L18" i="36"/>
  <c r="R17" i="36"/>
  <c r="P17" i="36"/>
  <c r="L17" i="36"/>
  <c r="R16" i="36"/>
  <c r="P16" i="36"/>
  <c r="L16" i="36"/>
  <c r="R15" i="36"/>
  <c r="P15" i="36"/>
  <c r="L15" i="36"/>
  <c r="R14" i="36"/>
  <c r="P14" i="36"/>
  <c r="L14" i="36"/>
  <c r="R13" i="36"/>
  <c r="P13" i="36"/>
  <c r="L13" i="36"/>
  <c r="P12" i="36"/>
  <c r="L12" i="36"/>
  <c r="O7" i="36"/>
  <c r="O6" i="36"/>
  <c r="K2" i="36"/>
  <c r="U1" i="36"/>
  <c r="B1" i="36"/>
  <c r="F64" i="98"/>
  <c r="F63" i="98"/>
  <c r="F62" i="98"/>
  <c r="D60" i="98"/>
  <c r="B60" i="98"/>
  <c r="F60" i="98" s="1"/>
  <c r="F59" i="98"/>
  <c r="F58" i="98"/>
  <c r="F57" i="98"/>
  <c r="F56" i="98"/>
  <c r="F55" i="98"/>
  <c r="F54" i="98"/>
  <c r="F53" i="98"/>
  <c r="F52" i="98"/>
  <c r="D49" i="98"/>
  <c r="D66" i="98" s="1"/>
  <c r="B49" i="98"/>
  <c r="F48" i="98"/>
  <c r="F46" i="98"/>
  <c r="F45" i="98"/>
  <c r="F44" i="98"/>
  <c r="F43" i="98"/>
  <c r="F49" i="98" s="1"/>
  <c r="D39" i="98"/>
  <c r="F37" i="98"/>
  <c r="F36" i="98"/>
  <c r="F35" i="98"/>
  <c r="F33" i="98"/>
  <c r="F31" i="98"/>
  <c r="F30" i="98"/>
  <c r="F28" i="98"/>
  <c r="F27" i="98"/>
  <c r="F25" i="98"/>
  <c r="F23" i="98"/>
  <c r="F22" i="98"/>
  <c r="F21" i="98"/>
  <c r="F20" i="98"/>
  <c r="F18" i="98"/>
  <c r="F17" i="98"/>
  <c r="F8" i="98"/>
  <c r="F7" i="98"/>
  <c r="I2" i="98"/>
  <c r="A1" i="98"/>
  <c r="F81" i="35"/>
  <c r="F80" i="35"/>
  <c r="F79" i="35"/>
  <c r="F78" i="35"/>
  <c r="D76" i="35"/>
  <c r="B76" i="35"/>
  <c r="F76" i="35" s="1"/>
  <c r="F75" i="35"/>
  <c r="F74" i="35"/>
  <c r="F73" i="35"/>
  <c r="F72" i="35"/>
  <c r="F71" i="35"/>
  <c r="F70" i="35"/>
  <c r="F69" i="35"/>
  <c r="F68" i="35"/>
  <c r="F67" i="35"/>
  <c r="F66" i="35"/>
  <c r="F62" i="35"/>
  <c r="D62" i="35"/>
  <c r="D83" i="35" s="1"/>
  <c r="B62" i="35"/>
  <c r="F61" i="35"/>
  <c r="F60" i="35"/>
  <c r="F58" i="35"/>
  <c r="F57" i="35"/>
  <c r="F56" i="35"/>
  <c r="F55" i="35"/>
  <c r="F54" i="35"/>
  <c r="F53" i="35"/>
  <c r="F52" i="35"/>
  <c r="F51" i="35"/>
  <c r="F50" i="35"/>
  <c r="F49" i="35"/>
  <c r="F48" i="35"/>
  <c r="F46" i="35"/>
  <c r="F44" i="35"/>
  <c r="F43" i="35"/>
  <c r="F42" i="35"/>
  <c r="F41" i="35"/>
  <c r="D36" i="35"/>
  <c r="D34" i="35"/>
  <c r="B34" i="35"/>
  <c r="F33" i="35"/>
  <c r="F32" i="35"/>
  <c r="F34" i="35" s="1"/>
  <c r="F31" i="35"/>
  <c r="F29" i="35"/>
  <c r="D27" i="35"/>
  <c r="B27" i="35"/>
  <c r="F26" i="35"/>
  <c r="F27" i="35" s="1"/>
  <c r="F25" i="35"/>
  <c r="F22" i="35"/>
  <c r="D20" i="35"/>
  <c r="B20" i="35"/>
  <c r="F19" i="35"/>
  <c r="F18" i="35"/>
  <c r="F20" i="35" s="1"/>
  <c r="F8" i="35"/>
  <c r="F7" i="35"/>
  <c r="I2" i="35"/>
  <c r="A2" i="35"/>
  <c r="A1" i="35"/>
  <c r="C33" i="118"/>
  <c r="N8" i="118"/>
  <c r="N7" i="118"/>
  <c r="U1" i="118"/>
  <c r="A1" i="118"/>
  <c r="L37" i="94"/>
  <c r="C40" i="94" s="1"/>
  <c r="I37" i="94"/>
  <c r="J38" i="94" s="1"/>
  <c r="A43" i="94" s="1"/>
  <c r="F37" i="94"/>
  <c r="C37" i="94"/>
  <c r="L8" i="94"/>
  <c r="L7" i="94"/>
  <c r="R5" i="94"/>
  <c r="A1" i="94"/>
  <c r="J39" i="34"/>
  <c r="A41" i="34" s="1"/>
  <c r="L37" i="34"/>
  <c r="M39" i="34" s="1"/>
  <c r="I37" i="34"/>
  <c r="F37" i="34"/>
  <c r="C37" i="34"/>
  <c r="L8" i="34"/>
  <c r="L7" i="34"/>
  <c r="R5" i="34"/>
  <c r="A1" i="34"/>
  <c r="B19" i="33"/>
  <c r="H18" i="33"/>
  <c r="I8" i="33"/>
  <c r="I7" i="33"/>
  <c r="B2" i="33"/>
  <c r="B1" i="33"/>
  <c r="F35" i="32"/>
  <c r="A26" i="32"/>
  <c r="I23" i="32"/>
  <c r="H23" i="32"/>
  <c r="G23" i="32"/>
  <c r="F23" i="32"/>
  <c r="E23" i="32"/>
  <c r="C7" i="32"/>
  <c r="C6" i="32"/>
  <c r="I3" i="32"/>
  <c r="B2" i="32"/>
  <c r="B1" i="32"/>
  <c r="H47" i="31"/>
  <c r="G47" i="31"/>
  <c r="F47" i="31"/>
  <c r="E47" i="31"/>
  <c r="H45" i="31"/>
  <c r="H46" i="31" s="1"/>
  <c r="G45" i="31"/>
  <c r="G46" i="31" s="1"/>
  <c r="F45" i="31"/>
  <c r="F46" i="31" s="1"/>
  <c r="E45" i="31"/>
  <c r="D45" i="31"/>
  <c r="D46" i="31" s="1"/>
  <c r="E46" i="31"/>
  <c r="F9" i="31"/>
  <c r="F8" i="31"/>
  <c r="H5" i="31"/>
  <c r="A1" i="31"/>
  <c r="H46" i="30"/>
  <c r="G46" i="30"/>
  <c r="F46" i="30"/>
  <c r="E46" i="30"/>
  <c r="H45" i="30"/>
  <c r="G45" i="30"/>
  <c r="H44" i="30"/>
  <c r="G44" i="30"/>
  <c r="F44" i="30"/>
  <c r="F45" i="30" s="1"/>
  <c r="E44" i="30"/>
  <c r="D44" i="30"/>
  <c r="D45" i="30" s="1"/>
  <c r="H43" i="30"/>
  <c r="G43" i="30"/>
  <c r="F43" i="30"/>
  <c r="E43" i="30"/>
  <c r="E45" i="30" s="1"/>
  <c r="D43" i="30"/>
  <c r="H35" i="30"/>
  <c r="G35" i="30"/>
  <c r="F35" i="30"/>
  <c r="E35" i="30"/>
  <c r="D35" i="30"/>
  <c r="F9" i="30"/>
  <c r="F8" i="30"/>
  <c r="H5" i="30"/>
  <c r="A1" i="30"/>
  <c r="H47" i="29"/>
  <c r="G47" i="29"/>
  <c r="F47" i="29"/>
  <c r="E47" i="29"/>
  <c r="G46" i="29"/>
  <c r="D46" i="29"/>
  <c r="H45" i="29"/>
  <c r="H46" i="29" s="1"/>
  <c r="G45" i="29"/>
  <c r="F45" i="29"/>
  <c r="E45" i="29"/>
  <c r="D45" i="29"/>
  <c r="H44" i="29"/>
  <c r="G44" i="29"/>
  <c r="F44" i="29"/>
  <c r="F46" i="29" s="1"/>
  <c r="E44" i="29"/>
  <c r="E46" i="29" s="1"/>
  <c r="D44" i="29"/>
  <c r="H36" i="29"/>
  <c r="G36" i="29"/>
  <c r="F36" i="29"/>
  <c r="E36" i="29"/>
  <c r="D36" i="29"/>
  <c r="F9" i="29"/>
  <c r="F8" i="29"/>
  <c r="H5" i="29"/>
  <c r="A1" i="29"/>
  <c r="G49" i="28"/>
  <c r="D49" i="28"/>
  <c r="H48" i="28"/>
  <c r="H49" i="28" s="1"/>
  <c r="G48" i="28"/>
  <c r="F48" i="28"/>
  <c r="E48" i="28"/>
  <c r="D48" i="28"/>
  <c r="H47" i="28"/>
  <c r="G47" i="28"/>
  <c r="F47" i="28"/>
  <c r="F49" i="28" s="1"/>
  <c r="E47" i="28"/>
  <c r="E49" i="28" s="1"/>
  <c r="D47" i="28"/>
  <c r="H39" i="28"/>
  <c r="G39" i="28"/>
  <c r="F39" i="28"/>
  <c r="E39" i="28"/>
  <c r="D39" i="28"/>
  <c r="F9" i="28"/>
  <c r="F8" i="28"/>
  <c r="H5" i="28"/>
  <c r="A2" i="28"/>
  <c r="A1" i="28"/>
  <c r="G20" i="120"/>
  <c r="D20" i="120"/>
  <c r="A2" i="120"/>
  <c r="L1" i="120"/>
  <c r="A1" i="120"/>
  <c r="G21" i="119"/>
  <c r="D21" i="119"/>
  <c r="I8" i="119"/>
  <c r="I7" i="119"/>
  <c r="L1" i="119"/>
  <c r="A1" i="119"/>
  <c r="I15" i="26"/>
  <c r="I14" i="26"/>
  <c r="G8" i="26"/>
  <c r="G7" i="26"/>
  <c r="J1" i="26"/>
  <c r="A1" i="26"/>
  <c r="A20" i="25"/>
  <c r="A19" i="25"/>
  <c r="A17" i="25"/>
  <c r="A16" i="25"/>
  <c r="J8" i="25"/>
  <c r="J7" i="25"/>
  <c r="L1" i="25"/>
  <c r="A1" i="25"/>
  <c r="A51" i="24"/>
  <c r="K44" i="24"/>
  <c r="G29" i="24"/>
  <c r="J8" i="24"/>
  <c r="J7" i="24"/>
  <c r="M1" i="24"/>
  <c r="B1" i="24"/>
  <c r="G49" i="23"/>
  <c r="G39" i="23"/>
  <c r="G8" i="23"/>
  <c r="G7" i="23"/>
  <c r="H1" i="23"/>
  <c r="A1" i="23"/>
  <c r="A57" i="22"/>
  <c r="J54" i="22"/>
  <c r="I40" i="22"/>
  <c r="B40" i="22"/>
  <c r="I31" i="22"/>
  <c r="B31" i="22"/>
  <c r="H8" i="22"/>
  <c r="H7" i="22"/>
  <c r="L1" i="22"/>
  <c r="B1" i="22"/>
  <c r="I27" i="21"/>
  <c r="I22" i="21"/>
  <c r="L8" i="21"/>
  <c r="L7" i="21"/>
  <c r="A2" i="21"/>
  <c r="R1" i="21"/>
  <c r="A1" i="21"/>
  <c r="I22" i="20"/>
  <c r="I27" i="20" s="1"/>
  <c r="L8" i="20"/>
  <c r="L7" i="20"/>
  <c r="R1" i="20"/>
  <c r="A1" i="20"/>
  <c r="I31" i="19"/>
  <c r="K77" i="101" s="1"/>
  <c r="Y77" i="101" s="1"/>
  <c r="I24" i="19"/>
  <c r="I12" i="19"/>
  <c r="L8" i="19"/>
  <c r="L7" i="19"/>
  <c r="R1" i="19"/>
  <c r="A1" i="19"/>
  <c r="G12" i="95"/>
  <c r="G11" i="95"/>
  <c r="A2" i="95"/>
  <c r="J1" i="95"/>
  <c r="M64" i="121" s="1"/>
  <c r="A1" i="95"/>
  <c r="M65" i="18"/>
  <c r="M56" i="18"/>
  <c r="M58" i="18" s="1"/>
  <c r="B39" i="18"/>
  <c r="K20" i="18"/>
  <c r="B16" i="18"/>
  <c r="K8" i="18"/>
  <c r="K7" i="18"/>
  <c r="O1" i="18"/>
  <c r="M63" i="121" s="1"/>
  <c r="B1" i="18"/>
  <c r="B72" i="17"/>
  <c r="D45" i="17"/>
  <c r="O42" i="17"/>
  <c r="O40" i="17"/>
  <c r="M40" i="17"/>
  <c r="K40" i="17"/>
  <c r="I40" i="17"/>
  <c r="G40" i="17"/>
  <c r="O37" i="17"/>
  <c r="O41" i="17" s="1"/>
  <c r="M37" i="17"/>
  <c r="K37" i="17"/>
  <c r="K41" i="17" s="1"/>
  <c r="I37" i="17"/>
  <c r="G37" i="17"/>
  <c r="O18" i="17"/>
  <c r="I18" i="17"/>
  <c r="G16" i="17"/>
  <c r="I16" i="17" s="1"/>
  <c r="K16" i="17" s="1"/>
  <c r="M16" i="17" s="1"/>
  <c r="O16" i="17" s="1"/>
  <c r="K8" i="17"/>
  <c r="K7" i="17"/>
  <c r="P1" i="17"/>
  <c r="C1" i="17"/>
  <c r="A111" i="115"/>
  <c r="I8" i="115"/>
  <c r="I7" i="115"/>
  <c r="L1" i="115"/>
  <c r="B1" i="115"/>
  <c r="I22" i="16"/>
  <c r="J8" i="16"/>
  <c r="J7" i="16"/>
  <c r="N1" i="16"/>
  <c r="M62" i="121" s="1"/>
  <c r="A1" i="16"/>
  <c r="A72" i="15"/>
  <c r="B54" i="15"/>
  <c r="U46" i="15"/>
  <c r="K46" i="15"/>
  <c r="I46" i="15"/>
  <c r="G46" i="15"/>
  <c r="V45" i="15"/>
  <c r="T45" i="15"/>
  <c r="U45" i="15" s="1"/>
  <c r="T44" i="15"/>
  <c r="V44" i="15" s="1"/>
  <c r="T43" i="15"/>
  <c r="V43" i="15" s="1"/>
  <c r="V42" i="15"/>
  <c r="U42" i="15"/>
  <c r="T42" i="15"/>
  <c r="V41" i="15"/>
  <c r="T41" i="15"/>
  <c r="U41" i="15" s="1"/>
  <c r="T40" i="15"/>
  <c r="V40" i="15" s="1"/>
  <c r="T39" i="15"/>
  <c r="V39" i="15" s="1"/>
  <c r="V38" i="15"/>
  <c r="T38" i="15"/>
  <c r="U38" i="15" s="1"/>
  <c r="T37" i="15"/>
  <c r="U37" i="15" s="1"/>
  <c r="T36" i="15"/>
  <c r="V36" i="15" s="1"/>
  <c r="T35" i="15"/>
  <c r="V35" i="15" s="1"/>
  <c r="V34" i="15"/>
  <c r="T34" i="15"/>
  <c r="U34" i="15" s="1"/>
  <c r="T33" i="15"/>
  <c r="U33" i="15" s="1"/>
  <c r="E33" i="15"/>
  <c r="E34" i="15" s="1"/>
  <c r="D33" i="15"/>
  <c r="A19" i="15"/>
  <c r="A17" i="15"/>
  <c r="A15" i="15"/>
  <c r="I10" i="15"/>
  <c r="I9" i="15"/>
  <c r="S1" i="15"/>
  <c r="B1" i="15"/>
  <c r="A75" i="14"/>
  <c r="B52" i="14"/>
  <c r="S46" i="14"/>
  <c r="I46" i="14"/>
  <c r="G46" i="14"/>
  <c r="S45" i="14"/>
  <c r="R45" i="14"/>
  <c r="T45" i="14" s="1"/>
  <c r="R44" i="14"/>
  <c r="S44" i="14" s="1"/>
  <c r="R43" i="14"/>
  <c r="T43" i="14" s="1"/>
  <c r="R42" i="14"/>
  <c r="T42" i="14" s="1"/>
  <c r="T41" i="14"/>
  <c r="S41" i="14"/>
  <c r="R41" i="14"/>
  <c r="R40" i="14"/>
  <c r="S40" i="14" s="1"/>
  <c r="R39" i="14"/>
  <c r="T39" i="14" s="1"/>
  <c r="R38" i="14"/>
  <c r="S38" i="14" s="1"/>
  <c r="T37" i="14"/>
  <c r="S37" i="14"/>
  <c r="R37" i="14"/>
  <c r="R36" i="14"/>
  <c r="S36" i="14" s="1"/>
  <c r="R35" i="14"/>
  <c r="T35" i="14" s="1"/>
  <c r="S34" i="14"/>
  <c r="R34" i="14"/>
  <c r="T34" i="14" s="1"/>
  <c r="R33" i="14"/>
  <c r="S33" i="14" s="1"/>
  <c r="E33" i="14"/>
  <c r="D33" i="14" s="1"/>
  <c r="A23" i="14"/>
  <c r="A19" i="14"/>
  <c r="A17" i="14"/>
  <c r="A15" i="14"/>
  <c r="I10" i="14"/>
  <c r="I9" i="14"/>
  <c r="Q1" i="14"/>
  <c r="B1" i="14"/>
  <c r="A48" i="13"/>
  <c r="M13" i="13"/>
  <c r="E13" i="13"/>
  <c r="K9" i="13"/>
  <c r="K8" i="13"/>
  <c r="P1" i="13"/>
  <c r="B1" i="13"/>
  <c r="A46" i="12"/>
  <c r="M39" i="12"/>
  <c r="M38" i="12"/>
  <c r="M37" i="12"/>
  <c r="M36" i="12"/>
  <c r="M35" i="12"/>
  <c r="M34" i="12"/>
  <c r="M33" i="12"/>
  <c r="M32" i="12"/>
  <c r="M31" i="12"/>
  <c r="I7" i="82" s="1"/>
  <c r="M30" i="12"/>
  <c r="M29" i="12"/>
  <c r="M28" i="12"/>
  <c r="M27" i="12"/>
  <c r="M26" i="12"/>
  <c r="M25" i="12"/>
  <c r="M24" i="12"/>
  <c r="M23" i="12"/>
  <c r="M22" i="12"/>
  <c r="M21" i="12"/>
  <c r="M20" i="12"/>
  <c r="M19" i="12"/>
  <c r="M18" i="12"/>
  <c r="M17" i="12"/>
  <c r="M13" i="12"/>
  <c r="E13" i="12"/>
  <c r="K9" i="12"/>
  <c r="K8" i="12"/>
  <c r="P1" i="12"/>
  <c r="M61" i="121" s="1"/>
  <c r="B1" i="12"/>
  <c r="B93" i="11"/>
  <c r="K47" i="11"/>
  <c r="I47" i="11"/>
  <c r="G47" i="11"/>
  <c r="AC29" i="11"/>
  <c r="AB29" i="11"/>
  <c r="AA29" i="11"/>
  <c r="Z29" i="11"/>
  <c r="Y29" i="11"/>
  <c r="X29" i="11"/>
  <c r="W29" i="11"/>
  <c r="V29" i="11"/>
  <c r="U29" i="11"/>
  <c r="T29" i="11"/>
  <c r="S29" i="11"/>
  <c r="R29" i="11"/>
  <c r="Q29" i="11"/>
  <c r="P29" i="11"/>
  <c r="O29" i="11"/>
  <c r="AB28" i="11"/>
  <c r="AA28" i="11"/>
  <c r="Z28" i="11"/>
  <c r="Y28" i="11"/>
  <c r="X28" i="11"/>
  <c r="W28" i="11"/>
  <c r="V28" i="11"/>
  <c r="U28" i="11"/>
  <c r="T28" i="11"/>
  <c r="S28" i="11"/>
  <c r="R28" i="11"/>
  <c r="Q28" i="11"/>
  <c r="P28" i="11"/>
  <c r="O28" i="11"/>
  <c r="D28" i="11"/>
  <c r="D29" i="11" s="1"/>
  <c r="D30" i="11" s="1"/>
  <c r="D31" i="11" s="1"/>
  <c r="D32" i="11" s="1"/>
  <c r="C33" i="11" s="1"/>
  <c r="G8" i="11"/>
  <c r="G7" i="11"/>
  <c r="C1" i="11"/>
  <c r="D8" i="10"/>
  <c r="D7" i="10"/>
  <c r="B2" i="10"/>
  <c r="H1" i="10"/>
  <c r="B1" i="10"/>
  <c r="M53" i="9"/>
  <c r="M40" i="9"/>
  <c r="J8" i="9"/>
  <c r="J7" i="9"/>
  <c r="N1" i="9"/>
  <c r="A1" i="9"/>
  <c r="A35" i="8"/>
  <c r="I32" i="8"/>
  <c r="G213" i="66"/>
  <c r="Q22" i="8"/>
  <c r="Q21" i="8"/>
  <c r="V16" i="8"/>
  <c r="O16" i="8"/>
  <c r="Q16" i="8" s="1"/>
  <c r="Q14" i="8"/>
  <c r="G14" i="8"/>
  <c r="I8" i="8"/>
  <c r="I7" i="8"/>
  <c r="B2" i="8"/>
  <c r="R1" i="8"/>
  <c r="B1" i="8"/>
  <c r="T50" i="113"/>
  <c r="T28" i="113"/>
  <c r="T16" i="113"/>
  <c r="P10" i="113"/>
  <c r="P9" i="113"/>
  <c r="C2" i="113"/>
  <c r="T1" i="113"/>
  <c r="C1" i="113"/>
  <c r="T72" i="112"/>
  <c r="T69" i="112"/>
  <c r="O63" i="112"/>
  <c r="T57" i="112"/>
  <c r="O55" i="112"/>
  <c r="T49" i="112"/>
  <c r="T47" i="112"/>
  <c r="T44" i="112"/>
  <c r="T41" i="112"/>
  <c r="M41" i="112"/>
  <c r="O34" i="112"/>
  <c r="T32" i="112"/>
  <c r="T28" i="112"/>
  <c r="T26" i="112"/>
  <c r="T23" i="112"/>
  <c r="T18" i="112"/>
  <c r="T14" i="112"/>
  <c r="O10" i="112"/>
  <c r="O9" i="112"/>
  <c r="B2" i="112"/>
  <c r="T1" i="112"/>
  <c r="B1" i="112"/>
  <c r="A53" i="5"/>
  <c r="W42" i="5"/>
  <c r="F42" i="5" s="1"/>
  <c r="S41" i="5"/>
  <c r="Q41" i="5"/>
  <c r="O41" i="5"/>
  <c r="M41" i="5"/>
  <c r="K41" i="5"/>
  <c r="I41" i="5"/>
  <c r="G41" i="5"/>
  <c r="E41" i="5"/>
  <c r="T32" i="5"/>
  <c r="T31" i="5"/>
  <c r="AA19" i="5"/>
  <c r="T16" i="5"/>
  <c r="D16" i="5"/>
  <c r="N9" i="5"/>
  <c r="N8" i="5"/>
  <c r="B2" i="5"/>
  <c r="U1" i="5"/>
  <c r="B1" i="5"/>
  <c r="A79" i="97"/>
  <c r="F31" i="97"/>
  <c r="H8" i="97"/>
  <c r="H7" i="97"/>
  <c r="B2" i="97"/>
  <c r="B1" i="97"/>
  <c r="A78" i="89"/>
  <c r="F37" i="89"/>
  <c r="H8" i="89"/>
  <c r="H7" i="89"/>
  <c r="B1" i="89"/>
  <c r="I8" i="4"/>
  <c r="I7" i="4"/>
  <c r="K1" i="4"/>
  <c r="B1" i="4"/>
  <c r="A71" i="3"/>
  <c r="N67" i="3"/>
  <c r="N62" i="3"/>
  <c r="N58" i="3"/>
  <c r="N52" i="3"/>
  <c r="N50" i="3"/>
  <c r="N25" i="3"/>
  <c r="N17" i="3"/>
  <c r="I8" i="3"/>
  <c r="I7" i="3"/>
  <c r="B2" i="3"/>
  <c r="M1" i="3"/>
  <c r="B1" i="3"/>
  <c r="D113" i="2"/>
  <c r="D112" i="2"/>
  <c r="D111" i="2"/>
  <c r="D110" i="2"/>
  <c r="D109" i="2"/>
  <c r="D108" i="2"/>
  <c r="D107" i="2"/>
  <c r="D101" i="2"/>
  <c r="D98" i="2"/>
  <c r="D96" i="2"/>
  <c r="D95" i="2"/>
  <c r="D94" i="2"/>
  <c r="D93" i="2"/>
  <c r="D92" i="2"/>
  <c r="D91" i="2"/>
  <c r="D90" i="2"/>
  <c r="D89" i="2"/>
  <c r="D88" i="2"/>
  <c r="D87" i="2"/>
  <c r="D85" i="2"/>
  <c r="D84" i="2"/>
  <c r="D83" i="2"/>
  <c r="D82" i="2"/>
  <c r="D81" i="2"/>
  <c r="D80" i="2"/>
  <c r="D79" i="2"/>
  <c r="D77" i="2"/>
  <c r="D76" i="2"/>
  <c r="D70" i="2"/>
  <c r="D69" i="2"/>
  <c r="D68" i="2"/>
  <c r="D67" i="2"/>
  <c r="D66" i="2"/>
  <c r="D65" i="2"/>
  <c r="D64" i="2"/>
  <c r="D63" i="2"/>
  <c r="D62" i="2"/>
  <c r="D61" i="2"/>
  <c r="D59" i="2"/>
  <c r="D58" i="2"/>
  <c r="D56" i="2"/>
  <c r="D55" i="2"/>
  <c r="D54" i="2"/>
  <c r="D53" i="2"/>
  <c r="D52" i="2"/>
  <c r="D47" i="2"/>
  <c r="D46" i="2"/>
  <c r="D45" i="2"/>
  <c r="D44" i="2"/>
  <c r="D39" i="2"/>
  <c r="D38" i="2"/>
  <c r="D37" i="2"/>
  <c r="D36" i="2"/>
  <c r="D33" i="2"/>
  <c r="D32" i="2"/>
  <c r="D31" i="2"/>
  <c r="D30" i="2"/>
  <c r="D29" i="2"/>
  <c r="D28" i="2"/>
  <c r="D27" i="2"/>
  <c r="D26" i="2"/>
  <c r="D25" i="2"/>
  <c r="D24" i="2"/>
  <c r="D21" i="2"/>
  <c r="D20" i="2"/>
  <c r="D19" i="2"/>
  <c r="D18" i="2"/>
  <c r="K14" i="2"/>
  <c r="K13" i="2"/>
  <c r="K12" i="2"/>
  <c r="E10" i="2"/>
  <c r="B2" i="85"/>
  <c r="B4" i="1"/>
  <c r="S30" i="43" l="1"/>
  <c r="R30" i="43" s="1"/>
  <c r="Q30" i="43" s="1"/>
  <c r="S14" i="43"/>
  <c r="R14" i="43" s="1"/>
  <c r="Q14" i="43" s="1"/>
  <c r="M96" i="121"/>
  <c r="M95" i="121"/>
  <c r="M97" i="121"/>
  <c r="M94" i="121"/>
  <c r="M92" i="121"/>
  <c r="M91" i="121"/>
  <c r="M90" i="121"/>
  <c r="M89" i="121"/>
  <c r="M85" i="121"/>
  <c r="M86" i="121"/>
  <c r="M75" i="121"/>
  <c r="M76" i="121"/>
  <c r="M74" i="121"/>
  <c r="M73" i="121"/>
  <c r="M72" i="121"/>
  <c r="M71" i="121"/>
  <c r="M49" i="121"/>
  <c r="M45" i="121"/>
  <c r="M44" i="121"/>
  <c r="M46" i="121"/>
  <c r="M48" i="121"/>
  <c r="M51" i="121"/>
  <c r="M47" i="121"/>
  <c r="M50" i="121"/>
  <c r="M41" i="121"/>
  <c r="M40" i="121"/>
  <c r="M36" i="121"/>
  <c r="M43" i="121"/>
  <c r="M39" i="121"/>
  <c r="M35" i="121"/>
  <c r="M31" i="121"/>
  <c r="M34" i="121"/>
  <c r="M30" i="121"/>
  <c r="M37" i="121"/>
  <c r="M33" i="121"/>
  <c r="M29" i="121"/>
  <c r="M38" i="121"/>
  <c r="M42" i="121"/>
  <c r="A11" i="11"/>
  <c r="A46" i="11"/>
  <c r="M55" i="64"/>
  <c r="AH186" i="80"/>
  <c r="F25" i="72"/>
  <c r="H82" i="80"/>
  <c r="P82" i="80"/>
  <c r="J219" i="80"/>
  <c r="J242" i="80" s="1"/>
  <c r="J250" i="80" s="1"/>
  <c r="J253" i="80" s="1"/>
  <c r="R219" i="80"/>
  <c r="R242" i="80" s="1"/>
  <c r="R250" i="80" s="1"/>
  <c r="R253" i="80" s="1"/>
  <c r="C19" i="79" s="1"/>
  <c r="Z219" i="80"/>
  <c r="Z242" i="80" s="1"/>
  <c r="Z250" i="80" s="1"/>
  <c r="Z253" i="80" s="1"/>
  <c r="F219" i="80"/>
  <c r="F242" i="80" s="1"/>
  <c r="N219" i="80"/>
  <c r="N242" i="80" s="1"/>
  <c r="N250" i="80" s="1"/>
  <c r="N253" i="80" s="1"/>
  <c r="C14" i="79" s="1"/>
  <c r="P251" i="68" s="1"/>
  <c r="V219" i="80"/>
  <c r="V242" i="80" s="1"/>
  <c r="V250" i="80" s="1"/>
  <c r="V253" i="80" s="1"/>
  <c r="AD219" i="80"/>
  <c r="E219" i="80"/>
  <c r="M219" i="80"/>
  <c r="M242" i="80" s="1"/>
  <c r="M250" i="80" s="1"/>
  <c r="M253" i="80" s="1"/>
  <c r="C13" i="79" s="1"/>
  <c r="O251" i="68" s="1"/>
  <c r="U219" i="80"/>
  <c r="U242" i="80" s="1"/>
  <c r="U250" i="80" s="1"/>
  <c r="U253" i="80" s="1"/>
  <c r="C22" i="79" s="1"/>
  <c r="AC219" i="80"/>
  <c r="AC242" i="80" s="1"/>
  <c r="AC250" i="80" s="1"/>
  <c r="AC253" i="80" s="1"/>
  <c r="C30" i="79" s="1"/>
  <c r="I82" i="80"/>
  <c r="I84" i="80" s="1"/>
  <c r="Q82" i="80"/>
  <c r="Q84" i="80" s="1"/>
  <c r="Y82" i="80"/>
  <c r="Y84" i="80" s="1"/>
  <c r="AG82" i="80"/>
  <c r="AG84" i="80" s="1"/>
  <c r="L159" i="80"/>
  <c r="T159" i="80"/>
  <c r="AB159" i="80"/>
  <c r="K82" i="80"/>
  <c r="K84" i="80" s="1"/>
  <c r="S82" i="80"/>
  <c r="S84" i="80" s="1"/>
  <c r="AA82" i="80"/>
  <c r="AA84" i="80" s="1"/>
  <c r="V82" i="80"/>
  <c r="V84" i="80" s="1"/>
  <c r="AD242" i="80"/>
  <c r="AD250" i="80" s="1"/>
  <c r="AD253" i="80" s="1"/>
  <c r="C31" i="79" s="1"/>
  <c r="E82" i="80"/>
  <c r="E84" i="80" s="1"/>
  <c r="M82" i="80"/>
  <c r="M84" i="80" s="1"/>
  <c r="U82" i="80"/>
  <c r="U84" i="80" s="1"/>
  <c r="AC82" i="80"/>
  <c r="AC84" i="80" s="1"/>
  <c r="Q219" i="80"/>
  <c r="Q242" i="80" s="1"/>
  <c r="Q250" i="80" s="1"/>
  <c r="Q253" i="80" s="1"/>
  <c r="C18" i="79" s="1"/>
  <c r="Y219" i="80"/>
  <c r="Y242" i="80" s="1"/>
  <c r="Y250" i="80" s="1"/>
  <c r="Y253" i="80" s="1"/>
  <c r="C26" i="79" s="1"/>
  <c r="AG219" i="80"/>
  <c r="AG242" i="80" s="1"/>
  <c r="AG250" i="80" s="1"/>
  <c r="AG253" i="80" s="1"/>
  <c r="C34" i="79" s="1"/>
  <c r="AE159" i="80"/>
  <c r="K219" i="80"/>
  <c r="K242" i="80" s="1"/>
  <c r="K250" i="80" s="1"/>
  <c r="K253" i="80" s="1"/>
  <c r="C11" i="79" s="1"/>
  <c r="N251" i="68" s="1"/>
  <c r="S219" i="80"/>
  <c r="S242" i="80" s="1"/>
  <c r="S250" i="80" s="1"/>
  <c r="S253" i="80" s="1"/>
  <c r="C20" i="79" s="1"/>
  <c r="AA219" i="80"/>
  <c r="AA242" i="80" s="1"/>
  <c r="AA250" i="80" s="1"/>
  <c r="AA253" i="80" s="1"/>
  <c r="C28" i="79" s="1"/>
  <c r="K159" i="80"/>
  <c r="S159" i="80"/>
  <c r="AA159" i="80"/>
  <c r="J159" i="80"/>
  <c r="R159" i="80"/>
  <c r="Z159" i="80"/>
  <c r="AI218" i="80"/>
  <c r="D241" i="80"/>
  <c r="X82" i="80"/>
  <c r="X84" i="80" s="1"/>
  <c r="AF82" i="80"/>
  <c r="AF84" i="80" s="1"/>
  <c r="G219" i="80"/>
  <c r="G242" i="80" s="1"/>
  <c r="G250" i="80" s="1"/>
  <c r="G253" i="80" s="1"/>
  <c r="C7" i="79" s="1"/>
  <c r="J251" i="68" s="1"/>
  <c r="O219" i="80"/>
  <c r="O242" i="80" s="1"/>
  <c r="O250" i="80" s="1"/>
  <c r="O253" i="80" s="1"/>
  <c r="C16" i="79" s="1"/>
  <c r="W219" i="80"/>
  <c r="W242" i="80" s="1"/>
  <c r="W250" i="80" s="1"/>
  <c r="W253" i="80" s="1"/>
  <c r="C24" i="79" s="1"/>
  <c r="AE219" i="80"/>
  <c r="AE242" i="80" s="1"/>
  <c r="AE250" i="80" s="1"/>
  <c r="AE253" i="80" s="1"/>
  <c r="C32" i="79" s="1"/>
  <c r="I219" i="80"/>
  <c r="I242" i="80" s="1"/>
  <c r="I250" i="80" s="1"/>
  <c r="I253" i="80" s="1"/>
  <c r="C9" i="79" s="1"/>
  <c r="L251" i="68" s="1"/>
  <c r="D37" i="80"/>
  <c r="F82" i="80"/>
  <c r="F84" i="80" s="1"/>
  <c r="N82" i="80"/>
  <c r="N84" i="80" s="1"/>
  <c r="AD82" i="80"/>
  <c r="AD84" i="80" s="1"/>
  <c r="O159" i="80"/>
  <c r="W159" i="80"/>
  <c r="D318" i="80"/>
  <c r="H159" i="80"/>
  <c r="P159" i="80"/>
  <c r="X159" i="80"/>
  <c r="AF159" i="80"/>
  <c r="H84" i="80"/>
  <c r="P84" i="80"/>
  <c r="D172" i="80"/>
  <c r="L219" i="80"/>
  <c r="L242" i="80" s="1"/>
  <c r="L250" i="80" s="1"/>
  <c r="L253" i="80" s="1"/>
  <c r="C12" i="79" s="1"/>
  <c r="Q251" i="68" s="1"/>
  <c r="T219" i="80"/>
  <c r="T242" i="80" s="1"/>
  <c r="T250" i="80" s="1"/>
  <c r="T253" i="80" s="1"/>
  <c r="C21" i="79" s="1"/>
  <c r="AB219" i="80"/>
  <c r="AB242" i="80" s="1"/>
  <c r="AB250" i="80" s="1"/>
  <c r="AB253" i="80" s="1"/>
  <c r="C29" i="79" s="1"/>
  <c r="J82" i="80"/>
  <c r="J84" i="80" s="1"/>
  <c r="R82" i="80"/>
  <c r="R84" i="80" s="1"/>
  <c r="Z82" i="80"/>
  <c r="Z84" i="80" s="1"/>
  <c r="M159" i="80"/>
  <c r="U159" i="80"/>
  <c r="AC159" i="80"/>
  <c r="AI172" i="80"/>
  <c r="D218" i="80"/>
  <c r="D276" i="80"/>
  <c r="F159" i="80"/>
  <c r="N159" i="80"/>
  <c r="V159" i="80"/>
  <c r="AD159" i="80"/>
  <c r="D67" i="80"/>
  <c r="L82" i="80"/>
  <c r="L84" i="80" s="1"/>
  <c r="L188" i="80" s="1"/>
  <c r="T82" i="80"/>
  <c r="T84" i="80" s="1"/>
  <c r="AB82" i="80"/>
  <c r="AB84" i="80" s="1"/>
  <c r="D94" i="80"/>
  <c r="D306" i="80"/>
  <c r="AI157" i="80"/>
  <c r="AG255" i="80"/>
  <c r="AI241" i="80"/>
  <c r="H219" i="80"/>
  <c r="H242" i="80" s="1"/>
  <c r="H250" i="80" s="1"/>
  <c r="H253" i="80" s="1"/>
  <c r="C8" i="79" s="1"/>
  <c r="K251" i="68" s="1"/>
  <c r="P219" i="80"/>
  <c r="P242" i="80" s="1"/>
  <c r="P250" i="80" s="1"/>
  <c r="P253" i="80" s="1"/>
  <c r="C17" i="79" s="1"/>
  <c r="X219" i="80"/>
  <c r="X242" i="80" s="1"/>
  <c r="X250" i="80" s="1"/>
  <c r="X253" i="80" s="1"/>
  <c r="C25" i="79" s="1"/>
  <c r="AF219" i="80"/>
  <c r="AF242" i="80" s="1"/>
  <c r="AF250" i="80" s="1"/>
  <c r="AF253" i="80" s="1"/>
  <c r="C33" i="79" s="1"/>
  <c r="I159" i="80"/>
  <c r="Q159" i="80"/>
  <c r="Y159" i="80"/>
  <c r="Y188" i="80" s="1"/>
  <c r="AG159" i="80"/>
  <c r="T26" i="107"/>
  <c r="S26" i="107" s="1"/>
  <c r="R26" i="107" s="1"/>
  <c r="T27" i="106"/>
  <c r="S27" i="106" s="1"/>
  <c r="R27" i="106" s="1"/>
  <c r="M41" i="17"/>
  <c r="D46" i="82"/>
  <c r="B46" i="82" s="1"/>
  <c r="G39" i="34"/>
  <c r="A40" i="34" s="1"/>
  <c r="R242" i="68"/>
  <c r="R250" i="68" s="1"/>
  <c r="R253" i="68" s="1"/>
  <c r="H83" i="68"/>
  <c r="H85" i="68" s="1"/>
  <c r="P83" i="68"/>
  <c r="I219" i="68"/>
  <c r="I242" i="68" s="1"/>
  <c r="I250" i="68" s="1"/>
  <c r="Q219" i="68"/>
  <c r="Q242" i="68" s="1"/>
  <c r="Q250" i="68" s="1"/>
  <c r="M219" i="68"/>
  <c r="M242" i="68" s="1"/>
  <c r="M250" i="68" s="1"/>
  <c r="L219" i="68"/>
  <c r="L242" i="68" s="1"/>
  <c r="L250" i="68" s="1"/>
  <c r="N83" i="68"/>
  <c r="N85" i="68" s="1"/>
  <c r="K160" i="68"/>
  <c r="S160" i="68"/>
  <c r="L160" i="68"/>
  <c r="T25" i="107"/>
  <c r="S25" i="107" s="1"/>
  <c r="R25" i="107" s="1"/>
  <c r="T30" i="107"/>
  <c r="S30" i="107" s="1"/>
  <c r="R30" i="107" s="1"/>
  <c r="Y33" i="107"/>
  <c r="T21" i="107"/>
  <c r="S21" i="107" s="1"/>
  <c r="R21" i="107" s="1"/>
  <c r="T24" i="107"/>
  <c r="S24" i="107" s="1"/>
  <c r="R24" i="107" s="1"/>
  <c r="T29" i="107"/>
  <c r="S29" i="107" s="1"/>
  <c r="R29" i="107" s="1"/>
  <c r="T19" i="107"/>
  <c r="S19" i="107" s="1"/>
  <c r="R19" i="107" s="1"/>
  <c r="T32" i="107"/>
  <c r="S32" i="107" s="1"/>
  <c r="R32" i="107" s="1"/>
  <c r="T27" i="107"/>
  <c r="S27" i="107" s="1"/>
  <c r="R27" i="107" s="1"/>
  <c r="T19" i="106"/>
  <c r="S19" i="106" s="1"/>
  <c r="R19" i="106" s="1"/>
  <c r="T20" i="106"/>
  <c r="S20" i="106" s="1"/>
  <c r="R20" i="106" s="1"/>
  <c r="T26" i="106"/>
  <c r="S26" i="106" s="1"/>
  <c r="R26" i="106" s="1"/>
  <c r="T21" i="106"/>
  <c r="S21" i="106" s="1"/>
  <c r="R21" i="106" s="1"/>
  <c r="T25" i="106"/>
  <c r="S25" i="106" s="1"/>
  <c r="R25" i="106" s="1"/>
  <c r="T33" i="106"/>
  <c r="S33" i="106" s="1"/>
  <c r="R33" i="106" s="1"/>
  <c r="T32" i="106"/>
  <c r="S32" i="106" s="1"/>
  <c r="R32" i="106" s="1"/>
  <c r="T23" i="106"/>
  <c r="S23" i="106" s="1"/>
  <c r="R23" i="106" s="1"/>
  <c r="T28" i="106"/>
  <c r="S28" i="106" s="1"/>
  <c r="R28" i="106" s="1"/>
  <c r="J87" i="87"/>
  <c r="D89" i="74"/>
  <c r="D91" i="74" s="1"/>
  <c r="L86" i="88"/>
  <c r="M86" i="88"/>
  <c r="H76" i="92"/>
  <c r="J76" i="92" s="1"/>
  <c r="H81" i="74"/>
  <c r="H48" i="74"/>
  <c r="J76" i="85"/>
  <c r="J84" i="85" s="1"/>
  <c r="J87" i="85" s="1"/>
  <c r="F77" i="92"/>
  <c r="H33" i="92"/>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Q25" i="110"/>
  <c r="S15" i="43"/>
  <c r="R15" i="43" s="1"/>
  <c r="Q15" i="43" s="1"/>
  <c r="S17" i="43"/>
  <c r="R17" i="43" s="1"/>
  <c r="Q17" i="43" s="1"/>
  <c r="Y18" i="110"/>
  <c r="X18" i="110" s="1"/>
  <c r="Q18" i="110" s="1"/>
  <c r="T22" i="106"/>
  <c r="S22" i="106" s="1"/>
  <c r="R22" i="106" s="1"/>
  <c r="T31" i="106"/>
  <c r="S31" i="106" s="1"/>
  <c r="R31" i="106" s="1"/>
  <c r="T14" i="108"/>
  <c r="S14" i="108" s="1"/>
  <c r="Z25" i="108"/>
  <c r="Y25" i="108" s="1"/>
  <c r="Q18" i="46"/>
  <c r="P18" i="46" s="1"/>
  <c r="O18" i="46" s="1"/>
  <c r="Q21" i="46"/>
  <c r="P21" i="46" s="1"/>
  <c r="O21" i="46" s="1"/>
  <c r="U43" i="15"/>
  <c r="Q30" i="110"/>
  <c r="M67" i="88"/>
  <c r="M77" i="88" s="1"/>
  <c r="J63" i="88"/>
  <c r="H6" i="82"/>
  <c r="T33" i="14"/>
  <c r="U35" i="15"/>
  <c r="AD28" i="109"/>
  <c r="Q24" i="109"/>
  <c r="Y26" i="110"/>
  <c r="X26" i="110" s="1"/>
  <c r="P34" i="110"/>
  <c r="N34" i="110" s="1"/>
  <c r="T24" i="106"/>
  <c r="S24" i="106" s="1"/>
  <c r="R24" i="106" s="1"/>
  <c r="R19" i="56"/>
  <c r="S45" i="56"/>
  <c r="H47" i="82" s="1"/>
  <c r="R47" i="82" s="1"/>
  <c r="U35" i="57"/>
  <c r="K42" i="101"/>
  <c r="Y42" i="101" s="1"/>
  <c r="AE28" i="109"/>
  <c r="Y19" i="110"/>
  <c r="X19" i="110" s="1"/>
  <c r="Q19" i="110" s="1"/>
  <c r="S28" i="110"/>
  <c r="R28" i="110" s="1"/>
  <c r="Q28" i="110" s="1"/>
  <c r="T29" i="106"/>
  <c r="S29" i="106" s="1"/>
  <c r="R29" i="106" s="1"/>
  <c r="T30" i="106"/>
  <c r="S30" i="106" s="1"/>
  <c r="R30" i="106" s="1"/>
  <c r="T23" i="107"/>
  <c r="S23" i="107" s="1"/>
  <c r="R23" i="107" s="1"/>
  <c r="Q14" i="46"/>
  <c r="P14" i="46" s="1"/>
  <c r="O14" i="46" s="1"/>
  <c r="Q17" i="46"/>
  <c r="P17" i="46" s="1"/>
  <c r="O17" i="46" s="1"/>
  <c r="G41" i="17"/>
  <c r="Q21" i="110"/>
  <c r="Q24" i="110"/>
  <c r="T28" i="107"/>
  <c r="S28" i="107" s="1"/>
  <c r="R28" i="107" s="1"/>
  <c r="O12" i="46"/>
  <c r="Y44" i="101"/>
  <c r="X44" i="101"/>
  <c r="H36" i="92"/>
  <c r="J36" i="92" s="1"/>
  <c r="T25" i="59"/>
  <c r="S25" i="59"/>
  <c r="R25" i="59" s="1"/>
  <c r="I6" i="82"/>
  <c r="V33" i="15"/>
  <c r="V37" i="15"/>
  <c r="I41" i="17"/>
  <c r="S20" i="109"/>
  <c r="R20" i="109" s="1"/>
  <c r="Q20" i="109" s="1"/>
  <c r="Q26" i="110"/>
  <c r="T22" i="59"/>
  <c r="S22" i="59"/>
  <c r="R22" i="59" s="1"/>
  <c r="T34" i="59"/>
  <c r="S34" i="59"/>
  <c r="R34" i="59" s="1"/>
  <c r="J84" i="69"/>
  <c r="J87" i="69" s="1"/>
  <c r="H4" i="82"/>
  <c r="R4" i="82" s="1"/>
  <c r="D4" i="82" s="1"/>
  <c r="A4" i="82" s="1"/>
  <c r="M28" i="121"/>
  <c r="R32" i="36"/>
  <c r="M79" i="121" s="1"/>
  <c r="S18" i="43"/>
  <c r="R18" i="43" s="1"/>
  <c r="Q18" i="43" s="1"/>
  <c r="S32" i="43"/>
  <c r="R32" i="43" s="1"/>
  <c r="Q32" i="43" s="1"/>
  <c r="S15" i="109"/>
  <c r="R15" i="109" s="1"/>
  <c r="Q15" i="109" s="1"/>
  <c r="Y21" i="109"/>
  <c r="X21" i="109" s="1"/>
  <c r="Q21" i="109" s="1"/>
  <c r="Y27" i="110"/>
  <c r="X27" i="110" s="1"/>
  <c r="Q27" i="110" s="1"/>
  <c r="S29" i="110"/>
  <c r="R29" i="110" s="1"/>
  <c r="Q29" i="110" s="1"/>
  <c r="T22" i="107"/>
  <c r="S22" i="107" s="1"/>
  <c r="R22" i="107" s="1"/>
  <c r="T31" i="107"/>
  <c r="S31" i="107" s="1"/>
  <c r="R31" i="107" s="1"/>
  <c r="Z21" i="108"/>
  <c r="Y21" i="108" s="1"/>
  <c r="Y29" i="108" s="1"/>
  <c r="T26" i="108"/>
  <c r="S26" i="108" s="1"/>
  <c r="Q13" i="46"/>
  <c r="P13" i="46" s="1"/>
  <c r="O13" i="46" s="1"/>
  <c r="K38" i="101"/>
  <c r="Y38" i="101" s="1"/>
  <c r="U31" i="57"/>
  <c r="T31" i="57"/>
  <c r="S31" i="57" s="1"/>
  <c r="J21" i="74"/>
  <c r="H21" i="74"/>
  <c r="S25" i="109"/>
  <c r="R25" i="109" s="1"/>
  <c r="Q25" i="109" s="1"/>
  <c r="Y21" i="110"/>
  <c r="X21" i="110" s="1"/>
  <c r="Q22" i="110"/>
  <c r="T18" i="107"/>
  <c r="S18" i="107" s="1"/>
  <c r="R18" i="107" s="1"/>
  <c r="F25" i="68"/>
  <c r="F24" i="90" s="1"/>
  <c r="H66" i="92"/>
  <c r="D68" i="92"/>
  <c r="U27" i="101"/>
  <c r="U39" i="101"/>
  <c r="U68" i="101"/>
  <c r="F26" i="68"/>
  <c r="F25" i="90" s="1"/>
  <c r="J83" i="68"/>
  <c r="J85" i="68" s="1"/>
  <c r="R83" i="68"/>
  <c r="R85" i="68" s="1"/>
  <c r="N160" i="68"/>
  <c r="K219" i="68"/>
  <c r="K242" i="68" s="1"/>
  <c r="K250" i="68" s="1"/>
  <c r="S219" i="68"/>
  <c r="S242" i="68" s="1"/>
  <c r="S250" i="68" s="1"/>
  <c r="S253" i="68" s="1"/>
  <c r="S255" i="68" s="1"/>
  <c r="L71" i="88"/>
  <c r="J33" i="92"/>
  <c r="H75" i="92"/>
  <c r="J75" i="92" s="1"/>
  <c r="AI67" i="80"/>
  <c r="AI94" i="80"/>
  <c r="D157" i="80"/>
  <c r="AD255" i="80"/>
  <c r="S14" i="109"/>
  <c r="R14" i="109" s="1"/>
  <c r="U24" i="101"/>
  <c r="K26" i="101"/>
  <c r="Y26" i="101" s="1"/>
  <c r="F247" i="68"/>
  <c r="G247" i="68" s="1"/>
  <c r="M51" i="69"/>
  <c r="J17" i="88"/>
  <c r="J39" i="88" s="1"/>
  <c r="J59" i="88" s="1"/>
  <c r="J33" i="88"/>
  <c r="L51" i="88"/>
  <c r="L84" i="88"/>
  <c r="H19" i="74"/>
  <c r="D41" i="74"/>
  <c r="D60" i="74" s="1"/>
  <c r="G82" i="80"/>
  <c r="G84" i="80" s="1"/>
  <c r="O82" i="80"/>
  <c r="O84" i="80" s="1"/>
  <c r="W82" i="80"/>
  <c r="W84" i="80" s="1"/>
  <c r="AE82" i="80"/>
  <c r="AE84" i="80" s="1"/>
  <c r="E242" i="80"/>
  <c r="X33" i="110"/>
  <c r="T20" i="107"/>
  <c r="S20" i="107" s="1"/>
  <c r="R20" i="107" s="1"/>
  <c r="S20" i="59"/>
  <c r="R20" i="59" s="1"/>
  <c r="T35" i="59"/>
  <c r="U53" i="101"/>
  <c r="L83" i="68"/>
  <c r="L85" i="68" s="1"/>
  <c r="L188" i="68" s="1"/>
  <c r="H160" i="68"/>
  <c r="P160" i="68"/>
  <c r="L39" i="88"/>
  <c r="L59" i="88" s="1"/>
  <c r="M51" i="88"/>
  <c r="M84" i="88"/>
  <c r="H17" i="74"/>
  <c r="H30" i="74"/>
  <c r="J30" i="74" s="1"/>
  <c r="F85" i="74"/>
  <c r="H85" i="74" s="1"/>
  <c r="J81" i="74"/>
  <c r="H84" i="74"/>
  <c r="H40" i="92"/>
  <c r="H64" i="92"/>
  <c r="J64" i="92" s="1"/>
  <c r="D72" i="92"/>
  <c r="J90" i="85"/>
  <c r="T28" i="57"/>
  <c r="S28" i="57" s="1"/>
  <c r="U32" i="57"/>
  <c r="T32" i="59"/>
  <c r="U21" i="101"/>
  <c r="U28" i="101"/>
  <c r="U31" i="101"/>
  <c r="U55" i="101"/>
  <c r="U73" i="101"/>
  <c r="F68" i="92"/>
  <c r="H68" i="92" s="1"/>
  <c r="J68" i="92" s="1"/>
  <c r="K90" i="85"/>
  <c r="K23" i="101"/>
  <c r="Y23" i="101" s="1"/>
  <c r="X72" i="101"/>
  <c r="W72" i="101" s="1"/>
  <c r="M83" i="69"/>
  <c r="M39" i="87"/>
  <c r="M83" i="87"/>
  <c r="D81" i="80"/>
  <c r="U23" i="101"/>
  <c r="F111" i="66"/>
  <c r="M39" i="69"/>
  <c r="J25" i="88"/>
  <c r="J45" i="88"/>
  <c r="J51" i="88" s="1"/>
  <c r="J55" i="88"/>
  <c r="J57" i="88" s="1"/>
  <c r="M57" i="88"/>
  <c r="J66" i="88"/>
  <c r="H82" i="74"/>
  <c r="H38" i="92"/>
  <c r="J65" i="92"/>
  <c r="AI81" i="80"/>
  <c r="D132" i="80"/>
  <c r="G159" i="80"/>
  <c r="S15" i="110"/>
  <c r="R15" i="110" s="1"/>
  <c r="K38" i="57"/>
  <c r="K70" i="57" s="1"/>
  <c r="U34" i="57"/>
  <c r="S21" i="59"/>
  <c r="R21" i="59" s="1"/>
  <c r="I37" i="59"/>
  <c r="O37" i="59"/>
  <c r="U47" i="101"/>
  <c r="M66" i="69"/>
  <c r="M75" i="69"/>
  <c r="M66" i="87"/>
  <c r="L77" i="88"/>
  <c r="J82" i="88"/>
  <c r="J84" i="88" s="1"/>
  <c r="H50" i="74"/>
  <c r="H83" i="74"/>
  <c r="J83" i="74" s="1"/>
  <c r="H39" i="92"/>
  <c r="AI203" i="80"/>
  <c r="R17" i="82"/>
  <c r="D39" i="82"/>
  <c r="B39" i="82" s="1"/>
  <c r="D43" i="82"/>
  <c r="B43" i="82" s="1"/>
  <c r="D186" i="80"/>
  <c r="M51" i="87"/>
  <c r="F53" i="74"/>
  <c r="H53" i="74" s="1"/>
  <c r="J53" i="74" s="1"/>
  <c r="F72" i="92"/>
  <c r="H72" i="92" s="1"/>
  <c r="J72" i="92" s="1"/>
  <c r="D203" i="80"/>
  <c r="R15" i="82"/>
  <c r="D15" i="82" s="1"/>
  <c r="B15" i="82" s="1"/>
  <c r="D37" i="82"/>
  <c r="A37" i="82" s="1"/>
  <c r="F68" i="74"/>
  <c r="H68" i="74" s="1"/>
  <c r="J68" i="74" s="1"/>
  <c r="E278" i="80"/>
  <c r="E319" i="80"/>
  <c r="D44" i="82"/>
  <c r="A44" i="82" s="1"/>
  <c r="H57" i="74"/>
  <c r="J57" i="74" s="1"/>
  <c r="E159" i="80"/>
  <c r="R13" i="82"/>
  <c r="R21" i="82"/>
  <c r="U25" i="82"/>
  <c r="AI132" i="80"/>
  <c r="D26" i="82"/>
  <c r="B26" i="82" s="1"/>
  <c r="D45" i="82"/>
  <c r="B45" i="82" s="1"/>
  <c r="M39" i="88"/>
  <c r="D28" i="82"/>
  <c r="B28" i="82" s="1"/>
  <c r="D5" i="82"/>
  <c r="B5" i="82" s="1"/>
  <c r="G38" i="94"/>
  <c r="A42" i="94" s="1"/>
  <c r="G211" i="68"/>
  <c r="D3" i="82"/>
  <c r="A3" i="82" s="1"/>
  <c r="A24" i="100"/>
  <c r="M6" i="121"/>
  <c r="T25" i="82"/>
  <c r="U24" i="82"/>
  <c r="T24" i="82"/>
  <c r="S29" i="43"/>
  <c r="R29" i="43" s="1"/>
  <c r="Q29" i="43" s="1"/>
  <c r="S19" i="43"/>
  <c r="R19" i="43" s="1"/>
  <c r="Q19" i="43" s="1"/>
  <c r="S16" i="43"/>
  <c r="R16" i="43" s="1"/>
  <c r="Q16" i="43" s="1"/>
  <c r="S20" i="43"/>
  <c r="R20" i="43" s="1"/>
  <c r="Q20" i="43" s="1"/>
  <c r="S27" i="43"/>
  <c r="R27" i="43" s="1"/>
  <c r="Q27" i="43" s="1"/>
  <c r="S33" i="43"/>
  <c r="R33" i="43" s="1"/>
  <c r="Q33" i="43" s="1"/>
  <c r="S28" i="43"/>
  <c r="R28" i="43" s="1"/>
  <c r="Q28" i="43" s="1"/>
  <c r="D35" i="82"/>
  <c r="B35" i="82" s="1"/>
  <c r="F139" i="66"/>
  <c r="G139" i="66" s="1"/>
  <c r="F111" i="68"/>
  <c r="F110" i="90" s="1"/>
  <c r="D34" i="82"/>
  <c r="B34" i="82" s="1"/>
  <c r="F55" i="66"/>
  <c r="F55" i="72" s="1"/>
  <c r="D33" i="82"/>
  <c r="B33" i="82" s="1"/>
  <c r="F113" i="68"/>
  <c r="F112" i="90" s="1"/>
  <c r="D32" i="82"/>
  <c r="B32" i="82" s="1"/>
  <c r="F57" i="68"/>
  <c r="F56" i="90" s="1"/>
  <c r="D31" i="82"/>
  <c r="B31" i="82" s="1"/>
  <c r="F26" i="66"/>
  <c r="F26" i="72" s="1"/>
  <c r="D30" i="82"/>
  <c r="A30" i="82" s="1"/>
  <c r="D29" i="82"/>
  <c r="A29" i="82" s="1"/>
  <c r="Y34" i="106"/>
  <c r="R33" i="110"/>
  <c r="Q15" i="110"/>
  <c r="Q14" i="109"/>
  <c r="R28" i="109"/>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D33" i="11"/>
  <c r="C34" i="11"/>
  <c r="B2" i="4"/>
  <c r="B2" i="89"/>
  <c r="B2" i="13"/>
  <c r="B2" i="14"/>
  <c r="B2" i="115"/>
  <c r="B2" i="18"/>
  <c r="A2" i="19"/>
  <c r="A2" i="20"/>
  <c r="B2" i="24"/>
  <c r="A2" i="25"/>
  <c r="A2" i="119"/>
  <c r="A2" i="29"/>
  <c r="B2" i="38"/>
  <c r="B2" i="110"/>
  <c r="B2" i="117"/>
  <c r="A2" i="50"/>
  <c r="A2" i="105"/>
  <c r="B2" i="57"/>
  <c r="C2" i="63"/>
  <c r="B2" i="100"/>
  <c r="B2" i="87"/>
  <c r="B2" i="12"/>
  <c r="B2" i="15"/>
  <c r="A2" i="23"/>
  <c r="A2" i="26"/>
  <c r="A2" i="30"/>
  <c r="A2" i="34"/>
  <c r="A2" i="118"/>
  <c r="B2" i="43"/>
  <c r="B2" i="109"/>
  <c r="A2" i="107"/>
  <c r="B2" i="53"/>
  <c r="A2" i="104"/>
  <c r="B2" i="74"/>
  <c r="A2" i="75"/>
  <c r="A2" i="76"/>
  <c r="B2" i="80"/>
  <c r="A2" i="9"/>
  <c r="C2" i="11"/>
  <c r="A2" i="16"/>
  <c r="C2" i="17"/>
  <c r="B2" i="22"/>
  <c r="A2" i="31"/>
  <c r="A2" i="94"/>
  <c r="A2" i="98"/>
  <c r="B2" i="37"/>
  <c r="B2" i="41"/>
  <c r="B2" i="42"/>
  <c r="B2" i="47"/>
  <c r="B2" i="49"/>
  <c r="C2" i="56"/>
  <c r="C2" i="59"/>
  <c r="C2" i="60"/>
  <c r="C2" i="61"/>
  <c r="C2" i="64"/>
  <c r="C2" i="65"/>
  <c r="A2" i="99"/>
  <c r="A2" i="68"/>
  <c r="B2" i="69"/>
  <c r="B2" i="88"/>
  <c r="D47" i="82"/>
  <c r="A47" i="82" s="1"/>
  <c r="D8" i="82"/>
  <c r="A8" i="82" s="1"/>
  <c r="D17" i="82"/>
  <c r="B17" i="82" s="1"/>
  <c r="D20" i="82"/>
  <c r="B20" i="82" s="1"/>
  <c r="D23" i="82"/>
  <c r="B23" i="82" s="1"/>
  <c r="D19" i="82"/>
  <c r="B19" i="82" s="1"/>
  <c r="D16" i="82"/>
  <c r="A16" i="82" s="1"/>
  <c r="J242" i="68"/>
  <c r="J250" i="68" s="1"/>
  <c r="N219" i="68"/>
  <c r="N242" i="68" s="1"/>
  <c r="N250" i="68" s="1"/>
  <c r="K83" i="68"/>
  <c r="K85" i="68" s="1"/>
  <c r="S83" i="68"/>
  <c r="S85" i="68" s="1"/>
  <c r="M160" i="68"/>
  <c r="M83" i="68"/>
  <c r="M85" i="68" s="1"/>
  <c r="R33" i="36"/>
  <c r="N33" i="36" s="1"/>
  <c r="B42" i="82"/>
  <c r="A42" i="82"/>
  <c r="B40" i="82"/>
  <c r="A40" i="82"/>
  <c r="B41" i="82"/>
  <c r="A41" i="82"/>
  <c r="D13" i="82"/>
  <c r="A13" i="82" s="1"/>
  <c r="D21" i="82"/>
  <c r="B21" i="82" s="1"/>
  <c r="D10" i="82"/>
  <c r="A10" i="82" s="1"/>
  <c r="D11" i="82"/>
  <c r="A11" i="82" s="1"/>
  <c r="D14" i="82"/>
  <c r="B14" i="82" s="1"/>
  <c r="D22" i="82"/>
  <c r="A22" i="82" s="1"/>
  <c r="D48" i="82"/>
  <c r="A48" i="82" s="1"/>
  <c r="Q28" i="59"/>
  <c r="A21" i="77"/>
  <c r="A17" i="77"/>
  <c r="A25" i="77"/>
  <c r="A33" i="77"/>
  <c r="A14" i="77"/>
  <c r="A30" i="77"/>
  <c r="A18" i="77"/>
  <c r="A22" i="77"/>
  <c r="A13" i="77"/>
  <c r="A29" i="77"/>
  <c r="A12" i="77"/>
  <c r="A16" i="77"/>
  <c r="A20" i="77"/>
  <c r="A24" i="77"/>
  <c r="A28" i="77"/>
  <c r="A32" i="77"/>
  <c r="A11" i="77"/>
  <c r="A15" i="77"/>
  <c r="A19" i="77"/>
  <c r="A23" i="77"/>
  <c r="A27" i="77"/>
  <c r="A31" i="77"/>
  <c r="A3" i="77"/>
  <c r="A5" i="77"/>
  <c r="A7" i="77"/>
  <c r="L11" i="77"/>
  <c r="L12" i="77"/>
  <c r="L13" i="77"/>
  <c r="L14" i="77"/>
  <c r="L15" i="77"/>
  <c r="L16" i="77"/>
  <c r="L17" i="77"/>
  <c r="L18" i="77"/>
  <c r="L19" i="77"/>
  <c r="L20" i="77"/>
  <c r="L21" i="77"/>
  <c r="L22" i="77"/>
  <c r="L23" i="77"/>
  <c r="L24" i="77"/>
  <c r="L25" i="77"/>
  <c r="L26" i="77"/>
  <c r="L27" i="77"/>
  <c r="L28" i="77"/>
  <c r="L29" i="77"/>
  <c r="L30" i="77"/>
  <c r="L31" i="77"/>
  <c r="L32" i="77"/>
  <c r="A34" i="77"/>
  <c r="A36" i="77"/>
  <c r="A38" i="77"/>
  <c r="A40" i="77"/>
  <c r="A42" i="77"/>
  <c r="A44" i="77"/>
  <c r="A46" i="77"/>
  <c r="A48" i="77"/>
  <c r="A50" i="77"/>
  <c r="A52" i="77"/>
  <c r="A54" i="77"/>
  <c r="A56" i="77"/>
  <c r="A58" i="77"/>
  <c r="A60" i="77"/>
  <c r="A62" i="77"/>
  <c r="A64" i="77"/>
  <c r="A66" i="77"/>
  <c r="A68" i="77"/>
  <c r="A70" i="77"/>
  <c r="A72" i="77"/>
  <c r="A74" i="77"/>
  <c r="A76" i="77"/>
  <c r="L8" i="77"/>
  <c r="L9" i="77"/>
  <c r="L10" i="77"/>
  <c r="A4" i="77"/>
  <c r="A6" i="77"/>
  <c r="A8" i="77"/>
  <c r="A9" i="77"/>
  <c r="A10" i="77"/>
  <c r="A35" i="77"/>
  <c r="A37" i="77"/>
  <c r="A39" i="77"/>
  <c r="A41" i="77"/>
  <c r="A43" i="77"/>
  <c r="A45" i="77"/>
  <c r="A47" i="77"/>
  <c r="A49" i="77"/>
  <c r="A51" i="77"/>
  <c r="A53" i="77"/>
  <c r="A55" i="77"/>
  <c r="A57" i="77"/>
  <c r="A59" i="77"/>
  <c r="A61" i="77"/>
  <c r="A63" i="77"/>
  <c r="A65" i="77"/>
  <c r="A67" i="77"/>
  <c r="A69" i="77"/>
  <c r="A71" i="77"/>
  <c r="A73" i="77"/>
  <c r="A75" i="77"/>
  <c r="J5" i="16"/>
  <c r="A2" i="115"/>
  <c r="A5" i="115"/>
  <c r="A9" i="115"/>
  <c r="L5" i="19"/>
  <c r="F6" i="29"/>
  <c r="A12" i="57"/>
  <c r="A54" i="60"/>
  <c r="A58" i="61"/>
  <c r="A28" i="62"/>
  <c r="A9" i="63"/>
  <c r="A6" i="101"/>
  <c r="A21" i="3"/>
  <c r="A36" i="3"/>
  <c r="A40" i="3"/>
  <c r="A44" i="3"/>
  <c r="A48" i="3"/>
  <c r="A51" i="3"/>
  <c r="A54" i="3"/>
  <c r="A58" i="3"/>
  <c r="A61" i="3"/>
  <c r="A64" i="3"/>
  <c r="A4" i="89"/>
  <c r="A77" i="89"/>
  <c r="A2" i="97"/>
  <c r="A5" i="97"/>
  <c r="A7" i="97"/>
  <c r="A9" i="97"/>
  <c r="N6" i="5"/>
  <c r="P7" i="113"/>
  <c r="D5" i="10"/>
  <c r="A1" i="11"/>
  <c r="G5" i="11"/>
  <c r="A10" i="11"/>
  <c r="A17" i="11"/>
  <c r="A24" i="11"/>
  <c r="A28" i="11"/>
  <c r="A34" i="11"/>
  <c r="A38" i="11"/>
  <c r="A42" i="11"/>
  <c r="A49" i="11"/>
  <c r="K6" i="12"/>
  <c r="I7" i="15"/>
  <c r="A1" i="115"/>
  <c r="I5" i="115"/>
  <c r="A10" i="115"/>
  <c r="K5" i="18"/>
  <c r="H5" i="22"/>
  <c r="C6" i="119"/>
  <c r="E5" i="108"/>
  <c r="D5" i="52"/>
  <c r="A4" i="56"/>
  <c r="A12" i="56"/>
  <c r="A34" i="56"/>
  <c r="A35" i="56"/>
  <c r="A55" i="56"/>
  <c r="A17" i="57"/>
  <c r="A23" i="57"/>
  <c r="A24" i="57"/>
  <c r="A34" i="57"/>
  <c r="A51" i="57"/>
  <c r="A67" i="57"/>
  <c r="A74" i="57"/>
  <c r="A24" i="59"/>
  <c r="A25" i="59"/>
  <c r="A26" i="59"/>
  <c r="A36" i="59"/>
  <c r="A1" i="60"/>
  <c r="A6" i="60"/>
  <c r="A10" i="60"/>
  <c r="A26" i="60"/>
  <c r="A42" i="60"/>
  <c r="A58" i="60"/>
  <c r="A5" i="61"/>
  <c r="A9" i="61"/>
  <c r="A25" i="61"/>
  <c r="A46" i="61"/>
  <c r="A16" i="62"/>
  <c r="A32" i="62"/>
  <c r="A48" i="62"/>
  <c r="A7" i="63"/>
  <c r="A13" i="63"/>
  <c r="A29" i="63"/>
  <c r="A44" i="63"/>
  <c r="A23" i="11"/>
  <c r="I2" i="82"/>
  <c r="R2" i="82" s="1"/>
  <c r="D2" i="82" s="1"/>
  <c r="J5" i="76"/>
  <c r="C5" i="80"/>
  <c r="J5" i="75"/>
  <c r="D5" i="85"/>
  <c r="D7" i="85" s="1"/>
  <c r="C5" i="90"/>
  <c r="C6" i="70"/>
  <c r="A38" i="100"/>
  <c r="A34" i="100"/>
  <c r="A30" i="100"/>
  <c r="A27" i="100"/>
  <c r="A23" i="100"/>
  <c r="A19" i="100"/>
  <c r="A15" i="100"/>
  <c r="A6" i="100"/>
  <c r="A2" i="100"/>
  <c r="A44" i="58"/>
  <c r="A36" i="58"/>
  <c r="A28" i="58"/>
  <c r="A24" i="58"/>
  <c r="A89" i="101"/>
  <c r="A67" i="101"/>
  <c r="A63" i="101"/>
  <c r="A55" i="101"/>
  <c r="A53" i="101"/>
  <c r="A51" i="101"/>
  <c r="A48" i="101"/>
  <c r="A43" i="101"/>
  <c r="A41" i="101"/>
  <c r="A38" i="101"/>
  <c r="A36" i="101"/>
  <c r="A34" i="101"/>
  <c r="A32" i="101"/>
  <c r="A30" i="101"/>
  <c r="A27" i="101"/>
  <c r="A24" i="101"/>
  <c r="A22" i="101"/>
  <c r="A18" i="101"/>
  <c r="A14" i="101"/>
  <c r="A5" i="101"/>
  <c r="A2" i="101"/>
  <c r="A55" i="65"/>
  <c r="A51" i="65"/>
  <c r="A47" i="65"/>
  <c r="A43" i="65"/>
  <c r="A39" i="65"/>
  <c r="A35" i="65"/>
  <c r="A31" i="65"/>
  <c r="A27" i="65"/>
  <c r="A23" i="65"/>
  <c r="A19" i="65"/>
  <c r="A15" i="65"/>
  <c r="A11" i="65"/>
  <c r="A8" i="65"/>
  <c r="G6" i="65"/>
  <c r="A3" i="65"/>
  <c r="A68" i="64"/>
  <c r="A64" i="64"/>
  <c r="A60" i="64"/>
  <c r="A56" i="64"/>
  <c r="A53" i="64"/>
  <c r="A48" i="64"/>
  <c r="A44" i="64"/>
  <c r="A41" i="64"/>
  <c r="A37" i="64"/>
  <c r="A33" i="64"/>
  <c r="A29" i="64"/>
  <c r="A25" i="64"/>
  <c r="A21" i="64"/>
  <c r="A17" i="64"/>
  <c r="A13" i="64"/>
  <c r="A9" i="64"/>
  <c r="A7" i="64"/>
  <c r="A5" i="64"/>
  <c r="A2" i="64"/>
  <c r="A56" i="63"/>
  <c r="C5" i="72"/>
  <c r="H184" i="72" s="1"/>
  <c r="C5" i="68"/>
  <c r="C7" i="68" s="1"/>
  <c r="A37" i="100"/>
  <c r="A33" i="100"/>
  <c r="A26" i="100"/>
  <c r="A22" i="100"/>
  <c r="A18" i="100"/>
  <c r="A14" i="100"/>
  <c r="A11" i="100"/>
  <c r="A9" i="100"/>
  <c r="A4" i="100"/>
  <c r="A43" i="58"/>
  <c r="A35" i="58"/>
  <c r="A27" i="58"/>
  <c r="A23" i="58"/>
  <c r="A88" i="101"/>
  <c r="A83" i="101"/>
  <c r="A77" i="101"/>
  <c r="A70" i="101"/>
  <c r="A68" i="101"/>
  <c r="A61" i="101"/>
  <c r="A45" i="101"/>
  <c r="A40" i="101"/>
  <c r="A29" i="101"/>
  <c r="A21" i="101"/>
  <c r="A17" i="101"/>
  <c r="A12" i="101"/>
  <c r="A9" i="101"/>
  <c r="A7" i="101"/>
  <c r="A4" i="101"/>
  <c r="A54" i="65"/>
  <c r="A50" i="65"/>
  <c r="A46" i="65"/>
  <c r="A42" i="65"/>
  <c r="A38" i="65"/>
  <c r="A34" i="65"/>
  <c r="A30" i="65"/>
  <c r="A26" i="65"/>
  <c r="A22" i="65"/>
  <c r="A18" i="65"/>
  <c r="A14" i="65"/>
  <c r="A10" i="65"/>
  <c r="A6" i="65"/>
  <c r="A1" i="65"/>
  <c r="A67" i="64"/>
  <c r="A63" i="64"/>
  <c r="A59" i="64"/>
  <c r="A52" i="64"/>
  <c r="A47" i="64"/>
  <c r="A43" i="64"/>
  <c r="A40" i="64"/>
  <c r="A36" i="64"/>
  <c r="A32" i="64"/>
  <c r="A28" i="64"/>
  <c r="A24" i="64"/>
  <c r="A20" i="64"/>
  <c r="A16" i="64"/>
  <c r="A12" i="64"/>
  <c r="A4" i="64"/>
  <c r="A55" i="63"/>
  <c r="G8" i="99"/>
  <c r="A40" i="100"/>
  <c r="A36" i="100"/>
  <c r="A32" i="100"/>
  <c r="A29" i="100"/>
  <c r="A25" i="100"/>
  <c r="A21" i="100"/>
  <c r="A17" i="100"/>
  <c r="A13" i="100"/>
  <c r="M8" i="100"/>
  <c r="A3" i="100"/>
  <c r="A42" i="58"/>
  <c r="A34" i="58"/>
  <c r="A26" i="58"/>
  <c r="A12" i="58"/>
  <c r="M7" i="58"/>
  <c r="A84" i="101"/>
  <c r="A82" i="101"/>
  <c r="A80" i="101"/>
  <c r="A76" i="101"/>
  <c r="A66" i="101"/>
  <c r="A60" i="101"/>
  <c r="A54" i="101"/>
  <c r="A52" i="101"/>
  <c r="A50" i="101"/>
  <c r="A46" i="101"/>
  <c r="A42" i="101"/>
  <c r="A39" i="101"/>
  <c r="A37" i="101"/>
  <c r="A35" i="101"/>
  <c r="A33" i="101"/>
  <c r="A31" i="101"/>
  <c r="A28" i="101"/>
  <c r="A26" i="101"/>
  <c r="A23" i="101"/>
  <c r="A20" i="101"/>
  <c r="A16" i="101"/>
  <c r="A11" i="101"/>
  <c r="M6" i="101"/>
  <c r="A3" i="101"/>
  <c r="A53" i="65"/>
  <c r="A49" i="65"/>
  <c r="A45" i="65"/>
  <c r="A41" i="65"/>
  <c r="A37" i="65"/>
  <c r="A33" i="65"/>
  <c r="A29" i="65"/>
  <c r="A25" i="65"/>
  <c r="A21" i="65"/>
  <c r="A17" i="65"/>
  <c r="A13" i="65"/>
  <c r="A9" i="65"/>
  <c r="A7" i="65"/>
  <c r="A5" i="65"/>
  <c r="A2" i="65"/>
  <c r="A70" i="64"/>
  <c r="A66" i="64"/>
  <c r="A62" i="64"/>
  <c r="A58" i="64"/>
  <c r="A55" i="64"/>
  <c r="A46" i="64"/>
  <c r="A42" i="64"/>
  <c r="A39" i="64"/>
  <c r="A35" i="64"/>
  <c r="A31" i="64"/>
  <c r="A27" i="64"/>
  <c r="A23" i="64"/>
  <c r="A31" i="100"/>
  <c r="A20" i="100"/>
  <c r="A33" i="58"/>
  <c r="A90" i="101"/>
  <c r="A75" i="101"/>
  <c r="A73" i="101"/>
  <c r="A71" i="101"/>
  <c r="A52" i="65"/>
  <c r="A36" i="65"/>
  <c r="A20" i="65"/>
  <c r="A61" i="64"/>
  <c r="A38" i="64"/>
  <c r="A22" i="64"/>
  <c r="A14" i="64"/>
  <c r="A8" i="64"/>
  <c r="A3" i="64"/>
  <c r="A1" i="64"/>
  <c r="A51" i="63"/>
  <c r="A47" i="63"/>
  <c r="A43" i="63"/>
  <c r="A39" i="63"/>
  <c r="A35" i="63"/>
  <c r="A32" i="63"/>
  <c r="A28" i="63"/>
  <c r="A24" i="63"/>
  <c r="A20" i="63"/>
  <c r="A16" i="63"/>
  <c r="A12" i="63"/>
  <c r="A4" i="63"/>
  <c r="A55" i="62"/>
  <c r="A51" i="62"/>
  <c r="A47" i="62"/>
  <c r="A43" i="62"/>
  <c r="A39" i="62"/>
  <c r="A35" i="62"/>
  <c r="A31" i="62"/>
  <c r="A27" i="62"/>
  <c r="A23" i="62"/>
  <c r="A19" i="62"/>
  <c r="A15" i="62"/>
  <c r="A11" i="62"/>
  <c r="A8" i="62"/>
  <c r="E6" i="62"/>
  <c r="A3" i="62"/>
  <c r="A57" i="61"/>
  <c r="A53" i="61"/>
  <c r="A49" i="61"/>
  <c r="A45" i="61"/>
  <c r="A41" i="61"/>
  <c r="A37" i="61"/>
  <c r="A33" i="61"/>
  <c r="A28" i="61"/>
  <c r="A24" i="61"/>
  <c r="A20" i="61"/>
  <c r="A16" i="61"/>
  <c r="A12" i="61"/>
  <c r="A2" i="61"/>
  <c r="A57" i="60"/>
  <c r="A53" i="60"/>
  <c r="A49" i="60"/>
  <c r="A45" i="60"/>
  <c r="A41" i="60"/>
  <c r="A37" i="60"/>
  <c r="A33" i="60"/>
  <c r="A29" i="60"/>
  <c r="A25" i="60"/>
  <c r="A21" i="60"/>
  <c r="A17" i="60"/>
  <c r="A13" i="60"/>
  <c r="A5" i="60"/>
  <c r="A2" i="60"/>
  <c r="A38" i="59"/>
  <c r="A29" i="59"/>
  <c r="A16" i="59"/>
  <c r="A11" i="59"/>
  <c r="A8" i="59"/>
  <c r="E6" i="59"/>
  <c r="A3" i="59"/>
  <c r="A73" i="57"/>
  <c r="A66" i="57"/>
  <c r="A62" i="57"/>
  <c r="A58" i="57"/>
  <c r="A54" i="57"/>
  <c r="A50" i="57"/>
  <c r="A46" i="57"/>
  <c r="A42" i="57"/>
  <c r="A35" i="57"/>
  <c r="A32" i="57"/>
  <c r="A31" i="57"/>
  <c r="A29" i="57"/>
  <c r="A25" i="57"/>
  <c r="A20" i="57"/>
  <c r="A16" i="57"/>
  <c r="A11" i="57"/>
  <c r="M6" i="57"/>
  <c r="A3" i="57"/>
  <c r="A62" i="56"/>
  <c r="A58" i="56"/>
  <c r="A54" i="56"/>
  <c r="A50" i="56"/>
  <c r="A47" i="56"/>
  <c r="A36" i="56"/>
  <c r="A29" i="56"/>
  <c r="A27" i="56"/>
  <c r="A25" i="56"/>
  <c r="A24" i="56"/>
  <c r="A23" i="56"/>
  <c r="A22" i="56"/>
  <c r="A21" i="56"/>
  <c r="A20" i="56"/>
  <c r="A19" i="56"/>
  <c r="A15" i="56"/>
  <c r="A11" i="56"/>
  <c r="A8" i="56"/>
  <c r="E6" i="56"/>
  <c r="A3" i="56"/>
  <c r="B6" i="105"/>
  <c r="E6" i="50"/>
  <c r="E5" i="49"/>
  <c r="E5" i="117"/>
  <c r="D5" i="47"/>
  <c r="D6" i="110"/>
  <c r="D6" i="42"/>
  <c r="C5" i="66"/>
  <c r="I184" i="66" s="1"/>
  <c r="A16" i="100"/>
  <c r="A10" i="100"/>
  <c r="A25" i="58"/>
  <c r="A56" i="101"/>
  <c r="A19" i="101"/>
  <c r="A48" i="65"/>
  <c r="A32" i="65"/>
  <c r="A16" i="65"/>
  <c r="A57" i="64"/>
  <c r="A50" i="64"/>
  <c r="A34" i="64"/>
  <c r="A19" i="64"/>
  <c r="A11" i="64"/>
  <c r="A54" i="63"/>
  <c r="A50" i="63"/>
  <c r="A46" i="63"/>
  <c r="A42" i="63"/>
  <c r="A38" i="63"/>
  <c r="A34" i="63"/>
  <c r="A31" i="63"/>
  <c r="A27" i="63"/>
  <c r="A23" i="63"/>
  <c r="A19" i="63"/>
  <c r="A15" i="63"/>
  <c r="A11" i="63"/>
  <c r="A8" i="63"/>
  <c r="F6" i="63"/>
  <c r="A3" i="63"/>
  <c r="A54" i="62"/>
  <c r="A50" i="62"/>
  <c r="A46" i="62"/>
  <c r="A42" i="62"/>
  <c r="A38" i="62"/>
  <c r="A34" i="62"/>
  <c r="A30" i="62"/>
  <c r="A26" i="62"/>
  <c r="A22" i="62"/>
  <c r="A18" i="62"/>
  <c r="A14" i="62"/>
  <c r="A10" i="62"/>
  <c r="A6" i="62"/>
  <c r="A1" i="62"/>
  <c r="A56" i="61"/>
  <c r="A52" i="61"/>
  <c r="A48" i="61"/>
  <c r="A44" i="61"/>
  <c r="A40" i="61"/>
  <c r="A36" i="61"/>
  <c r="A32" i="61"/>
  <c r="A31" i="61"/>
  <c r="A27" i="61"/>
  <c r="A23" i="61"/>
  <c r="A19" i="61"/>
  <c r="A15" i="61"/>
  <c r="A11" i="61"/>
  <c r="A8" i="61"/>
  <c r="F6" i="61"/>
  <c r="A4" i="61"/>
  <c r="A56" i="60"/>
  <c r="A52" i="60"/>
  <c r="A48" i="60"/>
  <c r="A44" i="60"/>
  <c r="A40" i="60"/>
  <c r="A36" i="60"/>
  <c r="A32" i="60"/>
  <c r="A28" i="60"/>
  <c r="A24" i="60"/>
  <c r="A20" i="60"/>
  <c r="A16" i="60"/>
  <c r="A12" i="60"/>
  <c r="A9" i="60"/>
  <c r="A7" i="60"/>
  <c r="A4" i="60"/>
  <c r="A41" i="59"/>
  <c r="A32" i="59"/>
  <c r="A27" i="59"/>
  <c r="A23" i="59"/>
  <c r="A19" i="59"/>
  <c r="A15" i="59"/>
  <c r="A10" i="59"/>
  <c r="A6" i="59"/>
  <c r="A1" i="59"/>
  <c r="A70" i="57"/>
  <c r="A65" i="57"/>
  <c r="A61" i="57"/>
  <c r="A57" i="57"/>
  <c r="A53" i="57"/>
  <c r="A49" i="57"/>
  <c r="A45" i="57"/>
  <c r="A41" i="57"/>
  <c r="A33" i="57"/>
  <c r="A28" i="57"/>
  <c r="A22" i="57"/>
  <c r="A19" i="57"/>
  <c r="A15" i="57"/>
  <c r="A10" i="57"/>
  <c r="A8" i="57"/>
  <c r="A6" i="57"/>
  <c r="A1" i="57"/>
  <c r="A61" i="56"/>
  <c r="A57" i="56"/>
  <c r="A53" i="56"/>
  <c r="A46" i="56"/>
  <c r="A45" i="56"/>
  <c r="A44" i="56"/>
  <c r="A43" i="56"/>
  <c r="A42" i="56"/>
  <c r="A41" i="56"/>
  <c r="A40" i="56"/>
  <c r="A39" i="56"/>
  <c r="A33" i="56"/>
  <c r="A32" i="56"/>
  <c r="A31" i="56"/>
  <c r="A18" i="56"/>
  <c r="A14" i="56"/>
  <c r="A10" i="56"/>
  <c r="A6" i="56"/>
  <c r="A1" i="56"/>
  <c r="I5" i="104"/>
  <c r="D5" i="46"/>
  <c r="D5" i="109"/>
  <c r="D6" i="39"/>
  <c r="B6" i="35"/>
  <c r="I5" i="33"/>
  <c r="G6" i="32"/>
  <c r="F6" i="31"/>
  <c r="C6" i="26"/>
  <c r="L5" i="21"/>
  <c r="A39" i="100"/>
  <c r="A28" i="100"/>
  <c r="A12" i="100"/>
  <c r="A8" i="100"/>
  <c r="A1" i="100"/>
  <c r="A78" i="101"/>
  <c r="A47" i="101"/>
  <c r="A25" i="101"/>
  <c r="A15" i="101"/>
  <c r="A8" i="101"/>
  <c r="A44" i="65"/>
  <c r="A28" i="65"/>
  <c r="A12" i="65"/>
  <c r="A4" i="65"/>
  <c r="A69" i="64"/>
  <c r="A45" i="64"/>
  <c r="A30" i="64"/>
  <c r="A18" i="64"/>
  <c r="A10" i="64"/>
  <c r="F6" i="64"/>
  <c r="A53" i="63"/>
  <c r="A49" i="63"/>
  <c r="A45" i="63"/>
  <c r="A41" i="63"/>
  <c r="A37" i="63"/>
  <c r="A33" i="63"/>
  <c r="A30" i="63"/>
  <c r="A26" i="63"/>
  <c r="A22" i="63"/>
  <c r="A18" i="63"/>
  <c r="A14" i="63"/>
  <c r="A10" i="63"/>
  <c r="A6" i="63"/>
  <c r="A1" i="63"/>
  <c r="A53" i="62"/>
  <c r="A49" i="62"/>
  <c r="A45" i="62"/>
  <c r="A41" i="62"/>
  <c r="A37" i="62"/>
  <c r="A33" i="62"/>
  <c r="A29" i="62"/>
  <c r="A25" i="62"/>
  <c r="A21" i="62"/>
  <c r="A17" i="62"/>
  <c r="A13" i="62"/>
  <c r="A9" i="62"/>
  <c r="A7" i="62"/>
  <c r="A5" i="62"/>
  <c r="A2" i="62"/>
  <c r="A59" i="61"/>
  <c r="A55" i="61"/>
  <c r="A51" i="61"/>
  <c r="A47" i="61"/>
  <c r="A43" i="61"/>
  <c r="A39" i="61"/>
  <c r="A35" i="61"/>
  <c r="A30" i="61"/>
  <c r="A26" i="61"/>
  <c r="A22" i="61"/>
  <c r="A18" i="61"/>
  <c r="A14" i="61"/>
  <c r="A10" i="61"/>
  <c r="A6" i="61"/>
  <c r="A3" i="61"/>
  <c r="A1" i="61"/>
  <c r="A55" i="60"/>
  <c r="A51" i="60"/>
  <c r="A47" i="60"/>
  <c r="A43" i="60"/>
  <c r="A39" i="60"/>
  <c r="A35" i="60"/>
  <c r="A31" i="60"/>
  <c r="A27" i="60"/>
  <c r="A23" i="60"/>
  <c r="A19" i="60"/>
  <c r="A15" i="60"/>
  <c r="A11" i="60"/>
  <c r="M6" i="60"/>
  <c r="A3" i="60"/>
  <c r="A40" i="59"/>
  <c r="A37" i="59"/>
  <c r="A35" i="59"/>
  <c r="A34" i="59"/>
  <c r="A33" i="59"/>
  <c r="A31" i="59"/>
  <c r="A28" i="59"/>
  <c r="A22" i="59"/>
  <c r="A21" i="59"/>
  <c r="A20" i="59"/>
  <c r="A18" i="59"/>
  <c r="A14" i="59"/>
  <c r="A9" i="59"/>
  <c r="A7" i="59"/>
  <c r="A5" i="59"/>
  <c r="A2" i="59"/>
  <c r="A72" i="57"/>
  <c r="A69" i="57"/>
  <c r="A64" i="57"/>
  <c r="A60" i="57"/>
  <c r="A56" i="57"/>
  <c r="A52" i="57"/>
  <c r="A48" i="57"/>
  <c r="A44" i="57"/>
  <c r="A40" i="57"/>
  <c r="A37" i="57"/>
  <c r="A36" i="57"/>
  <c r="A30" i="57"/>
  <c r="A26" i="57"/>
  <c r="A18" i="57"/>
  <c r="A13" i="57"/>
  <c r="A5" i="57"/>
  <c r="A2" i="57"/>
  <c r="A64" i="56"/>
  <c r="A60" i="56"/>
  <c r="A56" i="56"/>
  <c r="A52" i="56"/>
  <c r="A49" i="56"/>
  <c r="A38" i="56"/>
  <c r="A30" i="56"/>
  <c r="A28" i="56"/>
  <c r="A26" i="56"/>
  <c r="A17" i="56"/>
  <c r="A13" i="56"/>
  <c r="A9" i="56"/>
  <c r="A7" i="56"/>
  <c r="A5" i="56"/>
  <c r="A2" i="56"/>
  <c r="D6" i="41"/>
  <c r="D6" i="38"/>
  <c r="D6" i="37"/>
  <c r="E6" i="36"/>
  <c r="F6" i="28"/>
  <c r="J5" i="24"/>
  <c r="L5" i="20"/>
  <c r="A2" i="3"/>
  <c r="A5" i="3"/>
  <c r="A7" i="3"/>
  <c r="A9" i="3"/>
  <c r="A13" i="3"/>
  <c r="A17" i="3"/>
  <c r="A20" i="3"/>
  <c r="A25" i="3"/>
  <c r="A35" i="3"/>
  <c r="A39" i="3"/>
  <c r="A43" i="3"/>
  <c r="A53" i="3"/>
  <c r="A57" i="3"/>
  <c r="A60" i="3"/>
  <c r="A63" i="3"/>
  <c r="A67" i="3"/>
  <c r="I5" i="4"/>
  <c r="A1" i="89"/>
  <c r="A6" i="89"/>
  <c r="J5" i="9"/>
  <c r="A5" i="11"/>
  <c r="A16" i="11"/>
  <c r="A32" i="11"/>
  <c r="A39" i="11"/>
  <c r="A47" i="11"/>
  <c r="A37" i="56"/>
  <c r="A51" i="56"/>
  <c r="A63" i="57"/>
  <c r="A38" i="60"/>
  <c r="A21" i="61"/>
  <c r="A12" i="62"/>
  <c r="A5" i="63"/>
  <c r="A40" i="63"/>
  <c r="A1" i="101"/>
  <c r="I5" i="3"/>
  <c r="A14" i="3"/>
  <c r="A3" i="3"/>
  <c r="A6" i="3"/>
  <c r="A8" i="3"/>
  <c r="A11" i="3"/>
  <c r="A15" i="3"/>
  <c r="A18" i="3"/>
  <c r="A22" i="3"/>
  <c r="A26" i="3"/>
  <c r="A37" i="3"/>
  <c r="A41" i="3"/>
  <c r="A45" i="3"/>
  <c r="A49" i="3"/>
  <c r="A52" i="3"/>
  <c r="A55" i="3"/>
  <c r="A62" i="3"/>
  <c r="A65" i="3"/>
  <c r="A68" i="3"/>
  <c r="A2" i="89"/>
  <c r="A5" i="89"/>
  <c r="A7" i="89"/>
  <c r="A9" i="89"/>
  <c r="H5" i="97"/>
  <c r="A10" i="97"/>
  <c r="A3" i="11"/>
  <c r="A6" i="11"/>
  <c r="A8" i="11"/>
  <c r="A18" i="11"/>
  <c r="A25" i="11"/>
  <c r="A29" i="11"/>
  <c r="A31" i="11"/>
  <c r="A33" i="11"/>
  <c r="A37" i="11"/>
  <c r="A41" i="11"/>
  <c r="A44" i="11"/>
  <c r="A45" i="11"/>
  <c r="K6" i="13"/>
  <c r="E22" i="13" s="1"/>
  <c r="M22" i="13" s="1"/>
  <c r="I7" i="14"/>
  <c r="A3" i="115"/>
  <c r="A6" i="115"/>
  <c r="A8" i="115"/>
  <c r="A110" i="115"/>
  <c r="G9" i="95"/>
  <c r="G5" i="23"/>
  <c r="J5" i="25"/>
  <c r="F6" i="30"/>
  <c r="B6" i="98"/>
  <c r="C6" i="107"/>
  <c r="A16" i="56"/>
  <c r="A48" i="56"/>
  <c r="A59" i="56"/>
  <c r="A9" i="57"/>
  <c r="A21" i="57"/>
  <c r="A38" i="57"/>
  <c r="A39" i="57"/>
  <c r="A55" i="57"/>
  <c r="A4" i="59"/>
  <c r="A13" i="59"/>
  <c r="A30" i="59"/>
  <c r="A8" i="60"/>
  <c r="A14" i="60"/>
  <c r="A30" i="60"/>
  <c r="A46" i="60"/>
  <c r="A7" i="61"/>
  <c r="A13" i="61"/>
  <c r="A29" i="61"/>
  <c r="A34" i="61"/>
  <c r="A50" i="61"/>
  <c r="A20" i="62"/>
  <c r="A36" i="62"/>
  <c r="A52" i="62"/>
  <c r="A2" i="63"/>
  <c r="A17" i="63"/>
  <c r="A48" i="63"/>
  <c r="A15" i="64"/>
  <c r="A54" i="64"/>
  <c r="A24" i="65"/>
  <c r="A69" i="101"/>
  <c r="A81" i="101"/>
  <c r="A3" i="89"/>
  <c r="A8" i="89"/>
  <c r="A4" i="97"/>
  <c r="A78" i="97"/>
  <c r="A2" i="11"/>
  <c r="A7" i="11"/>
  <c r="A9" i="11"/>
  <c r="A22" i="11"/>
  <c r="A27" i="11"/>
  <c r="A30" i="11"/>
  <c r="A35" i="11"/>
  <c r="A43" i="11"/>
  <c r="A48" i="11"/>
  <c r="A7" i="115"/>
  <c r="C5" i="53"/>
  <c r="A7" i="57"/>
  <c r="A47" i="57"/>
  <c r="A22" i="60"/>
  <c r="A42" i="61"/>
  <c r="A4" i="62"/>
  <c r="A44" i="62"/>
  <c r="A25" i="63"/>
  <c r="A65" i="64"/>
  <c r="E11" i="2"/>
  <c r="A1" i="3"/>
  <c r="A10" i="3"/>
  <c r="A4" i="3"/>
  <c r="A12" i="3"/>
  <c r="A16" i="3"/>
  <c r="A19" i="3"/>
  <c r="A23" i="3"/>
  <c r="A34" i="3"/>
  <c r="A38" i="3"/>
  <c r="A42" i="3"/>
  <c r="A46" i="3"/>
  <c r="A50" i="3"/>
  <c r="A56" i="3"/>
  <c r="A59" i="3"/>
  <c r="A66" i="3"/>
  <c r="A70" i="3"/>
  <c r="H5" i="89"/>
  <c r="A10" i="89"/>
  <c r="A1" i="97"/>
  <c r="A3" i="97"/>
  <c r="A6" i="97"/>
  <c r="A8" i="97"/>
  <c r="O7" i="112"/>
  <c r="I5" i="8"/>
  <c r="A4" i="11"/>
  <c r="A15" i="11"/>
  <c r="A19" i="11"/>
  <c r="A26" i="11"/>
  <c r="A36" i="11"/>
  <c r="A40" i="11"/>
  <c r="A53" i="11"/>
  <c r="A4" i="115"/>
  <c r="K5" i="17"/>
  <c r="A25" i="17" s="1"/>
  <c r="D6" i="34"/>
  <c r="D6" i="94"/>
  <c r="D6" i="118"/>
  <c r="D6" i="40"/>
  <c r="D5" i="43"/>
  <c r="C6" i="106"/>
  <c r="B5" i="51"/>
  <c r="G5" i="55"/>
  <c r="A63" i="56"/>
  <c r="A4" i="57"/>
  <c r="A27" i="57"/>
  <c r="A43" i="57"/>
  <c r="A59" i="57"/>
  <c r="A71" i="57"/>
  <c r="A17" i="59"/>
  <c r="A39" i="59"/>
  <c r="A18" i="60"/>
  <c r="A34" i="60"/>
  <c r="A50" i="60"/>
  <c r="A17" i="61"/>
  <c r="A38" i="61"/>
  <c r="A54" i="61"/>
  <c r="A24" i="62"/>
  <c r="A40" i="62"/>
  <c r="A56" i="62"/>
  <c r="A21" i="63"/>
  <c r="A36" i="63"/>
  <c r="A52" i="63"/>
  <c r="A6" i="64"/>
  <c r="A26" i="64"/>
  <c r="A40" i="65"/>
  <c r="A10" i="101"/>
  <c r="A49" i="101"/>
  <c r="A37" i="58"/>
  <c r="A35" i="100"/>
  <c r="T128" i="68"/>
  <c r="I83" i="68"/>
  <c r="I85" i="68" s="1"/>
  <c r="I188" i="68" s="1"/>
  <c r="Q83" i="68"/>
  <c r="Q85" i="68" s="1"/>
  <c r="Q188" i="68" s="1"/>
  <c r="H219" i="68"/>
  <c r="H242" i="68" s="1"/>
  <c r="H250" i="68" s="1"/>
  <c r="H253" i="68" s="1"/>
  <c r="H255" i="68" s="1"/>
  <c r="P219" i="68"/>
  <c r="P242" i="68" s="1"/>
  <c r="P250" i="68" s="1"/>
  <c r="T123" i="68"/>
  <c r="O160" i="68"/>
  <c r="G120" i="68"/>
  <c r="T120" i="68"/>
  <c r="O83" i="68"/>
  <c r="O85" i="68" s="1"/>
  <c r="O219" i="68"/>
  <c r="O242" i="68" s="1"/>
  <c r="O250" i="68" s="1"/>
  <c r="F230" i="90"/>
  <c r="P85" i="68"/>
  <c r="F95" i="68"/>
  <c r="G248" i="68"/>
  <c r="F239" i="90"/>
  <c r="T27" i="68"/>
  <c r="G140" i="68"/>
  <c r="F241" i="68"/>
  <c r="T241" i="68" s="1"/>
  <c r="G122" i="68"/>
  <c r="G128" i="68"/>
  <c r="J160" i="68"/>
  <c r="R160" i="68"/>
  <c r="F172" i="90"/>
  <c r="T56" i="68"/>
  <c r="F94" i="90"/>
  <c r="T124" i="68"/>
  <c r="T130" i="68"/>
  <c r="G130" i="68"/>
  <c r="G184" i="68"/>
  <c r="F183" i="90"/>
  <c r="F202" i="90"/>
  <c r="F218" i="68"/>
  <c r="T218" i="68" s="1"/>
  <c r="F126" i="90"/>
  <c r="T127" i="68"/>
  <c r="G127" i="68"/>
  <c r="F203" i="68"/>
  <c r="G123" i="68"/>
  <c r="G179" i="68"/>
  <c r="F178" i="90"/>
  <c r="R255" i="68"/>
  <c r="F173" i="68"/>
  <c r="G178" i="68"/>
  <c r="G183" i="68"/>
  <c r="G236" i="68"/>
  <c r="F175" i="90"/>
  <c r="F181" i="90"/>
  <c r="T140" i="68"/>
  <c r="F205" i="90"/>
  <c r="G232" i="68"/>
  <c r="G239" i="68"/>
  <c r="G249" i="68"/>
  <c r="F130" i="90"/>
  <c r="F210" i="90"/>
  <c r="G180" i="68"/>
  <c r="F186" i="68"/>
  <c r="F229" i="90"/>
  <c r="G131" i="68"/>
  <c r="G24" i="66"/>
  <c r="G124" i="66"/>
  <c r="F241" i="72"/>
  <c r="F221" i="66"/>
  <c r="F244" i="66" s="1"/>
  <c r="F252" i="66" s="1"/>
  <c r="G56" i="66"/>
  <c r="G127" i="66"/>
  <c r="F203" i="72"/>
  <c r="F172" i="72"/>
  <c r="G25" i="66"/>
  <c r="F112" i="72"/>
  <c r="G112" i="66"/>
  <c r="F121" i="72"/>
  <c r="G121" i="66"/>
  <c r="F37" i="66"/>
  <c r="F23" i="72"/>
  <c r="F37" i="72" s="1"/>
  <c r="F128" i="72"/>
  <c r="G128" i="66"/>
  <c r="G110" i="66"/>
  <c r="G119" i="66"/>
  <c r="F125" i="72"/>
  <c r="G125" i="66"/>
  <c r="F94" i="72"/>
  <c r="F186" i="72"/>
  <c r="F218" i="72"/>
  <c r="G249" i="66"/>
  <c r="G129" i="66"/>
  <c r="G120" i="66"/>
  <c r="F126"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T28" i="59"/>
  <c r="Q37" i="59"/>
  <c r="T37" i="59" s="1"/>
  <c r="S19" i="59"/>
  <c r="S26" i="59"/>
  <c r="R26" i="59" s="1"/>
  <c r="S23" i="59"/>
  <c r="R23" i="59" s="1"/>
  <c r="X21" i="101"/>
  <c r="W21" i="101" s="1"/>
  <c r="Y21" i="101"/>
  <c r="X24" i="101"/>
  <c r="W24" i="101" s="1"/>
  <c r="Y24" i="101"/>
  <c r="X40" i="101"/>
  <c r="W40" i="101" s="1"/>
  <c r="Y40" i="101"/>
  <c r="K73" i="57"/>
  <c r="H49" i="82"/>
  <c r="R49" i="82" s="1"/>
  <c r="D49" i="82" s="1"/>
  <c r="X29" i="101"/>
  <c r="W29" i="101" s="1"/>
  <c r="Y29" i="101"/>
  <c r="T25" i="57"/>
  <c r="S25" i="57" s="1"/>
  <c r="T33" i="57"/>
  <c r="S33" i="57" s="1"/>
  <c r="K39" i="101"/>
  <c r="T22" i="57"/>
  <c r="S22" i="57" s="1"/>
  <c r="U25" i="57"/>
  <c r="T30" i="57"/>
  <c r="S30" i="57" s="1"/>
  <c r="U33" i="57"/>
  <c r="X22" i="101"/>
  <c r="W22" i="101" s="1"/>
  <c r="X26" i="101"/>
  <c r="W26" i="101" s="1"/>
  <c r="X30" i="101"/>
  <c r="W30" i="101" s="1"/>
  <c r="X34" i="101"/>
  <c r="W34" i="101" s="1"/>
  <c r="X38" i="101"/>
  <c r="W38" i="101" s="1"/>
  <c r="X42" i="101"/>
  <c r="W42" i="101" s="1"/>
  <c r="U22" i="57"/>
  <c r="T27" i="57"/>
  <c r="S27" i="57" s="1"/>
  <c r="U30" i="57"/>
  <c r="T35" i="57"/>
  <c r="S35" i="57" s="1"/>
  <c r="K20" i="101"/>
  <c r="K28" i="101"/>
  <c r="X23" i="101"/>
  <c r="W23" i="101" s="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V32" i="15"/>
  <c r="U39" i="15"/>
  <c r="U36" i="15"/>
  <c r="U44" i="15"/>
  <c r="U40" i="15"/>
  <c r="A13" i="14"/>
  <c r="T36" i="14"/>
  <c r="T40" i="14"/>
  <c r="T44" i="14"/>
  <c r="T12" i="82"/>
  <c r="R12" i="82" s="1"/>
  <c r="D12" i="82" s="1"/>
  <c r="B12" i="82" s="1"/>
  <c r="S42" i="14"/>
  <c r="S35" i="14"/>
  <c r="T38" i="14"/>
  <c r="S43" i="14"/>
  <c r="E34" i="14"/>
  <c r="P12" i="82"/>
  <c r="S39" i="14"/>
  <c r="G123" i="66"/>
  <c r="G131" i="66"/>
  <c r="G126" i="68"/>
  <c r="G121" i="68"/>
  <c r="T126" i="68"/>
  <c r="G129" i="68"/>
  <c r="F124" i="90"/>
  <c r="T121" i="68"/>
  <c r="G124" i="68"/>
  <c r="T129" i="68"/>
  <c r="G132" i="68"/>
  <c r="F121" i="90"/>
  <c r="F129" i="90"/>
  <c r="T132" i="68"/>
  <c r="F122" i="72"/>
  <c r="F130" i="72"/>
  <c r="G125" i="68"/>
  <c r="U7" i="82"/>
  <c r="T7" i="82"/>
  <c r="R7" i="82" s="1"/>
  <c r="D7" i="82" s="1"/>
  <c r="F139" i="72" l="1"/>
  <c r="A45" i="82"/>
  <c r="D29" i="5"/>
  <c r="D28" i="5"/>
  <c r="D40" i="5"/>
  <c r="D27" i="5"/>
  <c r="D39" i="5"/>
  <c r="D35" i="5"/>
  <c r="D24" i="5"/>
  <c r="D34" i="5"/>
  <c r="D23" i="5"/>
  <c r="D30" i="5"/>
  <c r="D20" i="5"/>
  <c r="D25" i="5"/>
  <c r="D38" i="5"/>
  <c r="D33" i="5"/>
  <c r="D22" i="5"/>
  <c r="D21" i="5"/>
  <c r="G25" i="8"/>
  <c r="G24" i="8"/>
  <c r="G30" i="8"/>
  <c r="G23" i="8"/>
  <c r="G29" i="8"/>
  <c r="G28" i="8"/>
  <c r="Q28" i="8" s="1"/>
  <c r="G27" i="8"/>
  <c r="L184" i="72"/>
  <c r="J184" i="72"/>
  <c r="A46" i="82"/>
  <c r="A43" i="82"/>
  <c r="A31" i="82"/>
  <c r="B37" i="82"/>
  <c r="T188" i="80"/>
  <c r="V188" i="80"/>
  <c r="K188" i="80"/>
  <c r="I188" i="80"/>
  <c r="G111" i="66"/>
  <c r="C10" i="79"/>
  <c r="M251" i="68" s="1"/>
  <c r="M253" i="68" s="1"/>
  <c r="M255" i="68" s="1"/>
  <c r="J255" i="80"/>
  <c r="J253" i="68"/>
  <c r="J255" i="68" s="1"/>
  <c r="W255" i="80"/>
  <c r="J90" i="69"/>
  <c r="C27" i="79"/>
  <c r="Z255" i="80"/>
  <c r="R255" i="80"/>
  <c r="AB188" i="80"/>
  <c r="Q255" i="80"/>
  <c r="Q188" i="80"/>
  <c r="O188" i="80"/>
  <c r="C23" i="79"/>
  <c r="V255" i="80"/>
  <c r="O255" i="80"/>
  <c r="AE188" i="80"/>
  <c r="J188" i="80"/>
  <c r="AA188" i="80"/>
  <c r="S188" i="80"/>
  <c r="AD188" i="80"/>
  <c r="AG188" i="80"/>
  <c r="N188" i="80"/>
  <c r="N253" i="68"/>
  <c r="N255" i="68" s="1"/>
  <c r="AE255" i="80"/>
  <c r="K255" i="80"/>
  <c r="J86" i="88"/>
  <c r="U188" i="80"/>
  <c r="Q253" i="68"/>
  <c r="Q255" i="68" s="1"/>
  <c r="Z188" i="80"/>
  <c r="O253" i="68"/>
  <c r="O255" i="68" s="1"/>
  <c r="L255" i="80"/>
  <c r="Y255" i="80"/>
  <c r="AA255" i="80"/>
  <c r="AI159" i="80"/>
  <c r="M188" i="80"/>
  <c r="P253" i="68"/>
  <c r="P255" i="68" s="1"/>
  <c r="R188" i="80"/>
  <c r="W188" i="80"/>
  <c r="N255" i="80"/>
  <c r="AB255" i="80"/>
  <c r="L253" i="68"/>
  <c r="L255" i="68" s="1"/>
  <c r="G255" i="80"/>
  <c r="S255" i="80"/>
  <c r="I255" i="80"/>
  <c r="K253" i="68"/>
  <c r="K255" i="68" s="1"/>
  <c r="P188" i="80"/>
  <c r="AC255" i="80"/>
  <c r="H188" i="80"/>
  <c r="U255" i="80"/>
  <c r="T255" i="80"/>
  <c r="AF188" i="80"/>
  <c r="D219" i="80"/>
  <c r="X188" i="80"/>
  <c r="D159" i="80"/>
  <c r="X255" i="80"/>
  <c r="AI219" i="80"/>
  <c r="M255" i="80"/>
  <c r="AF255" i="80"/>
  <c r="J90" i="87"/>
  <c r="H255" i="80"/>
  <c r="AC188" i="80"/>
  <c r="P255" i="80"/>
  <c r="B44" i="82"/>
  <c r="A39" i="82"/>
  <c r="A21" i="82"/>
  <c r="A34" i="82"/>
  <c r="H170" i="90"/>
  <c r="L170" i="90" s="1"/>
  <c r="H237" i="90"/>
  <c r="I170" i="66"/>
  <c r="I240" i="66"/>
  <c r="H170" i="72"/>
  <c r="J170" i="72" s="1"/>
  <c r="H238" i="72"/>
  <c r="H48" i="90"/>
  <c r="J48" i="90" s="1"/>
  <c r="H76" i="90"/>
  <c r="H73" i="90"/>
  <c r="H74" i="90"/>
  <c r="H75" i="90"/>
  <c r="H228" i="90"/>
  <c r="H30" i="90"/>
  <c r="F37" i="90"/>
  <c r="H48" i="72"/>
  <c r="L48" i="72" s="1"/>
  <c r="H74" i="72"/>
  <c r="H76" i="72"/>
  <c r="H73" i="72"/>
  <c r="H75" i="72"/>
  <c r="H229" i="72"/>
  <c r="H30" i="72"/>
  <c r="F38" i="68"/>
  <c r="T38" i="68" s="1"/>
  <c r="T25" i="68"/>
  <c r="T26" i="68"/>
  <c r="G111" i="68"/>
  <c r="T111" i="68"/>
  <c r="T113" i="68"/>
  <c r="P188" i="68"/>
  <c r="N188" i="68"/>
  <c r="F246" i="90"/>
  <c r="K188" i="68"/>
  <c r="S188" i="68"/>
  <c r="H188" i="68"/>
  <c r="G113" i="68"/>
  <c r="M188" i="68"/>
  <c r="O188" i="68"/>
  <c r="J188" i="68"/>
  <c r="S34" i="106"/>
  <c r="I48" i="66"/>
  <c r="I74" i="66"/>
  <c r="I75" i="66"/>
  <c r="I76" i="66"/>
  <c r="I73" i="66"/>
  <c r="G26" i="66"/>
  <c r="I31" i="66"/>
  <c r="I65" i="66"/>
  <c r="I229" i="66"/>
  <c r="F111" i="72"/>
  <c r="I52" i="66"/>
  <c r="I233" i="66"/>
  <c r="I154" i="66"/>
  <c r="I91" i="66"/>
  <c r="I41" i="66"/>
  <c r="I110" i="66"/>
  <c r="I15" i="66"/>
  <c r="I23" i="66"/>
  <c r="I183" i="66"/>
  <c r="I120" i="66"/>
  <c r="C7" i="66"/>
  <c r="G115" i="66" s="1"/>
  <c r="I30" i="66"/>
  <c r="I165" i="66"/>
  <c r="I25" i="66"/>
  <c r="I116" i="66"/>
  <c r="I210" i="66"/>
  <c r="I103" i="66"/>
  <c r="I16" i="66"/>
  <c r="I212" i="66"/>
  <c r="I13" i="66"/>
  <c r="I53" i="66"/>
  <c r="I224" i="66"/>
  <c r="I59" i="66"/>
  <c r="I19" i="66"/>
  <c r="I167" i="66"/>
  <c r="I164" i="66"/>
  <c r="I228" i="66"/>
  <c r="I14" i="66"/>
  <c r="I130" i="66"/>
  <c r="I87" i="66"/>
  <c r="I253" i="66"/>
  <c r="I215" i="66"/>
  <c r="I151" i="66"/>
  <c r="I150" i="66"/>
  <c r="I185" i="66"/>
  <c r="I147" i="66"/>
  <c r="I219" i="66"/>
  <c r="I127" i="66"/>
  <c r="I202" i="66"/>
  <c r="I49" i="66"/>
  <c r="I249" i="66"/>
  <c r="I208" i="66"/>
  <c r="C7" i="90"/>
  <c r="I171" i="66"/>
  <c r="I139" i="66"/>
  <c r="I137" i="66"/>
  <c r="I136" i="66"/>
  <c r="I107" i="66"/>
  <c r="I109" i="66"/>
  <c r="I194" i="66"/>
  <c r="I238" i="66"/>
  <c r="I149" i="66"/>
  <c r="I106" i="66"/>
  <c r="I123" i="66"/>
  <c r="I113" i="66"/>
  <c r="I112" i="66"/>
  <c r="I121" i="66"/>
  <c r="I236" i="66"/>
  <c r="I217" i="66"/>
  <c r="I122" i="66"/>
  <c r="I237" i="66"/>
  <c r="I90" i="66"/>
  <c r="I105" i="66"/>
  <c r="I66" i="66"/>
  <c r="I79" i="66"/>
  <c r="I162" i="66"/>
  <c r="I56" i="66"/>
  <c r="I254" i="66"/>
  <c r="I51" i="66"/>
  <c r="I152" i="66"/>
  <c r="I239" i="66"/>
  <c r="I200" i="66"/>
  <c r="I119" i="66"/>
  <c r="I156" i="66"/>
  <c r="I58" i="66"/>
  <c r="I64" i="66"/>
  <c r="I47" i="66"/>
  <c r="I63" i="66"/>
  <c r="I155" i="66"/>
  <c r="G55" i="66"/>
  <c r="U6" i="82"/>
  <c r="F60" i="74"/>
  <c r="M76" i="87"/>
  <c r="M84" i="87" s="1"/>
  <c r="M87" i="87" s="1"/>
  <c r="M90" i="87" s="1"/>
  <c r="M76" i="69"/>
  <c r="M84" i="69" s="1"/>
  <c r="M87" i="69" s="1"/>
  <c r="M90" i="69" s="1"/>
  <c r="F78" i="92"/>
  <c r="M58" i="69"/>
  <c r="A26" i="82"/>
  <c r="Q30" i="8"/>
  <c r="Q29" i="8"/>
  <c r="Q27" i="8"/>
  <c r="T39" i="5"/>
  <c r="T38" i="5"/>
  <c r="D37" i="5"/>
  <c r="T40" i="5"/>
  <c r="I235" i="66"/>
  <c r="I124" i="66"/>
  <c r="I22" i="66"/>
  <c r="I163" i="66"/>
  <c r="I77" i="66"/>
  <c r="I218" i="66"/>
  <c r="I209" i="66"/>
  <c r="I168" i="66"/>
  <c r="I92" i="66"/>
  <c r="I197" i="66"/>
  <c r="I213" i="66"/>
  <c r="I34" i="66"/>
  <c r="I88" i="66"/>
  <c r="I46" i="66"/>
  <c r="I99" i="66"/>
  <c r="I246" i="66"/>
  <c r="I182" i="66"/>
  <c r="R188" i="68"/>
  <c r="X28" i="109"/>
  <c r="T32" i="14"/>
  <c r="U32" i="15"/>
  <c r="A28" i="82"/>
  <c r="I204" i="66"/>
  <c r="I100" i="66"/>
  <c r="I245" i="66"/>
  <c r="I144" i="66"/>
  <c r="I29" i="66"/>
  <c r="I201" i="66"/>
  <c r="I141" i="66"/>
  <c r="I45" i="66"/>
  <c r="I93" i="66"/>
  <c r="I153" i="66"/>
  <c r="I50" i="66"/>
  <c r="I102" i="66"/>
  <c r="I177" i="66"/>
  <c r="I44" i="66"/>
  <c r="I131" i="66"/>
  <c r="J85" i="74"/>
  <c r="M58" i="87"/>
  <c r="F188" i="80"/>
  <c r="AI84" i="80"/>
  <c r="I179" i="66"/>
  <c r="I89" i="66"/>
  <c r="I227" i="66"/>
  <c r="I129" i="66"/>
  <c r="I20" i="66"/>
  <c r="F253" i="66"/>
  <c r="F251" i="72" s="1"/>
  <c r="I125" i="66"/>
  <c r="I35" i="66"/>
  <c r="I78" i="66"/>
  <c r="I117" i="66"/>
  <c r="I242" i="66"/>
  <c r="I33" i="66"/>
  <c r="I80" i="66"/>
  <c r="I148" i="66"/>
  <c r="I230" i="66"/>
  <c r="I27" i="66"/>
  <c r="S33" i="107"/>
  <c r="D84" i="80"/>
  <c r="E188" i="80"/>
  <c r="T6" i="82"/>
  <c r="R6" i="82" s="1"/>
  <c r="D6" i="82" s="1"/>
  <c r="I198" i="66"/>
  <c r="R25" i="82"/>
  <c r="D25" i="82" s="1"/>
  <c r="B25" i="82" s="1"/>
  <c r="L85" i="88"/>
  <c r="L88" i="88" s="1"/>
  <c r="L91" i="88" s="1"/>
  <c r="D242" i="80"/>
  <c r="E250" i="80"/>
  <c r="D82" i="80"/>
  <c r="J67" i="88"/>
  <c r="J77" i="88" s="1"/>
  <c r="J85" i="88" s="1"/>
  <c r="S29" i="108"/>
  <c r="F250" i="80"/>
  <c r="AI242" i="80"/>
  <c r="P29" i="46"/>
  <c r="H38" i="82" s="1"/>
  <c r="R38" i="82" s="1"/>
  <c r="D38" i="82" s="1"/>
  <c r="M85" i="88"/>
  <c r="M88" i="88" s="1"/>
  <c r="M91" i="88" s="1"/>
  <c r="F60" i="92"/>
  <c r="M59" i="88"/>
  <c r="G188" i="80"/>
  <c r="D78" i="92"/>
  <c r="D86" i="92" s="1"/>
  <c r="D89" i="92" s="1"/>
  <c r="D91" i="92" s="1"/>
  <c r="A35" i="82"/>
  <c r="A32" i="82"/>
  <c r="A33" i="82"/>
  <c r="B30" i="82"/>
  <c r="A5" i="82"/>
  <c r="B3" i="82"/>
  <c r="B4" i="82"/>
  <c r="I145" i="66"/>
  <c r="I231" i="66"/>
  <c r="R24" i="82"/>
  <c r="D24" i="82" s="1"/>
  <c r="B24" i="82" s="1"/>
  <c r="R34" i="43"/>
  <c r="R21" i="43"/>
  <c r="T57" i="68"/>
  <c r="B29" i="82"/>
  <c r="H72" i="74"/>
  <c r="J72" i="74" s="1"/>
  <c r="H53" i="92"/>
  <c r="J53" i="92" s="1"/>
  <c r="H85" i="92"/>
  <c r="J85" i="92" s="1"/>
  <c r="F78" i="74"/>
  <c r="H78" i="92"/>
  <c r="J78" i="92" s="1"/>
  <c r="F86" i="92"/>
  <c r="C35" i="11"/>
  <c r="D34" i="11"/>
  <c r="A17" i="82"/>
  <c r="B13" i="82"/>
  <c r="A23" i="82"/>
  <c r="A20" i="82"/>
  <c r="B47" i="82"/>
  <c r="B8" i="82"/>
  <c r="A19" i="82"/>
  <c r="B10" i="82"/>
  <c r="A14" i="82"/>
  <c r="B16" i="82"/>
  <c r="B11" i="82"/>
  <c r="B22" i="82"/>
  <c r="A15" i="82"/>
  <c r="I142" i="66"/>
  <c r="I17" i="66"/>
  <c r="I214" i="66"/>
  <c r="I175" i="66"/>
  <c r="H27" i="82"/>
  <c r="R27" i="82" s="1"/>
  <c r="D27" i="82" s="1"/>
  <c r="A27" i="82" s="1"/>
  <c r="B48" i="82"/>
  <c r="T23" i="5"/>
  <c r="T22" i="5"/>
  <c r="T30" i="5"/>
  <c r="T21" i="5"/>
  <c r="T29" i="5"/>
  <c r="T28" i="5"/>
  <c r="T33" i="5"/>
  <c r="T27" i="5"/>
  <c r="T25" i="5"/>
  <c r="T35" i="5"/>
  <c r="T24" i="5"/>
  <c r="E37" i="13"/>
  <c r="M37" i="13" s="1"/>
  <c r="F105" i="66" s="1"/>
  <c r="A28" i="17"/>
  <c r="A40" i="17"/>
  <c r="A27" i="17"/>
  <c r="A37" i="17"/>
  <c r="A20" i="17"/>
  <c r="A72" i="17"/>
  <c r="E34" i="13"/>
  <c r="M34" i="13" s="1"/>
  <c r="F154" i="66" s="1"/>
  <c r="F154" i="72" s="1"/>
  <c r="A67" i="17"/>
  <c r="A62" i="17"/>
  <c r="A51" i="17"/>
  <c r="A65" i="17"/>
  <c r="A49" i="17"/>
  <c r="A47" i="17"/>
  <c r="A56" i="17"/>
  <c r="E39" i="13"/>
  <c r="M39" i="13" s="1"/>
  <c r="F107" i="66" s="1"/>
  <c r="A73" i="17"/>
  <c r="A50" i="17"/>
  <c r="A43" i="17"/>
  <c r="A42" i="17"/>
  <c r="A4" i="17"/>
  <c r="E21" i="13"/>
  <c r="M21" i="13" s="1"/>
  <c r="A21" i="17"/>
  <c r="A70" i="17"/>
  <c r="A11" i="17"/>
  <c r="E23" i="13"/>
  <c r="M23" i="13" s="1"/>
  <c r="A66" i="17"/>
  <c r="A44" i="17"/>
  <c r="A38" i="17"/>
  <c r="A33" i="17"/>
  <c r="A45" i="17"/>
  <c r="A39" i="17"/>
  <c r="A35" i="17"/>
  <c r="A16" i="17"/>
  <c r="A59" i="17"/>
  <c r="A58" i="17"/>
  <c r="A29" i="17"/>
  <c r="A57" i="17"/>
  <c r="A36" i="17"/>
  <c r="A64" i="17"/>
  <c r="A41" i="17"/>
  <c r="A19" i="17"/>
  <c r="A54" i="17"/>
  <c r="I247" i="66"/>
  <c r="I196" i="66"/>
  <c r="I146" i="66"/>
  <c r="I118" i="66"/>
  <c r="I71" i="66"/>
  <c r="I32" i="66"/>
  <c r="I250" i="66"/>
  <c r="I211" i="66"/>
  <c r="I178" i="66"/>
  <c r="I138" i="66"/>
  <c r="I111" i="66"/>
  <c r="I61" i="66"/>
  <c r="I226" i="66"/>
  <c r="I225" i="66"/>
  <c r="I232" i="66"/>
  <c r="I199" i="66"/>
  <c r="I128" i="66"/>
  <c r="I114" i="66"/>
  <c r="I72" i="66"/>
  <c r="I26" i="66"/>
  <c r="I248" i="66"/>
  <c r="I143" i="66"/>
  <c r="I40" i="66"/>
  <c r="I234" i="66"/>
  <c r="I140" i="66"/>
  <c r="I69" i="66"/>
  <c r="I24" i="66"/>
  <c r="I169" i="66"/>
  <c r="I115" i="66"/>
  <c r="I57" i="66"/>
  <c r="C7" i="72"/>
  <c r="I241" i="66"/>
  <c r="I166" i="66"/>
  <c r="I101" i="66"/>
  <c r="I28" i="66"/>
  <c r="I203" i="66"/>
  <c r="I126" i="66"/>
  <c r="I55" i="66"/>
  <c r="I181" i="66"/>
  <c r="I21" i="66"/>
  <c r="A2" i="82"/>
  <c r="K10" i="2"/>
  <c r="K11" i="2" s="1"/>
  <c r="B2" i="82"/>
  <c r="E33" i="13"/>
  <c r="M33" i="13" s="1"/>
  <c r="F153" i="66" s="1"/>
  <c r="F153" i="72" s="1"/>
  <c r="E17" i="13"/>
  <c r="M17" i="13" s="1"/>
  <c r="E35" i="13"/>
  <c r="M35" i="13" s="1"/>
  <c r="F156" i="68" s="1"/>
  <c r="E19" i="13"/>
  <c r="M19" i="13" s="1"/>
  <c r="E26" i="13"/>
  <c r="M26" i="13" s="1"/>
  <c r="F144" i="66" s="1"/>
  <c r="A74" i="17"/>
  <c r="A71" i="17"/>
  <c r="A61" i="17"/>
  <c r="A52" i="17"/>
  <c r="A34" i="17"/>
  <c r="A26" i="17"/>
  <c r="A9" i="17"/>
  <c r="A7" i="17"/>
  <c r="A69" i="17"/>
  <c r="A55" i="17"/>
  <c r="A24" i="17"/>
  <c r="A14" i="17"/>
  <c r="A8" i="17"/>
  <c r="A2" i="17"/>
  <c r="A68" i="17"/>
  <c r="A53" i="17"/>
  <c r="A32" i="17"/>
  <c r="A23" i="17"/>
  <c r="A18" i="17"/>
  <c r="A13" i="17"/>
  <c r="A5" i="17"/>
  <c r="A75" i="17"/>
  <c r="A63" i="17"/>
  <c r="A48" i="17"/>
  <c r="A31" i="17"/>
  <c r="A22" i="17"/>
  <c r="A17" i="17"/>
  <c r="A12" i="17"/>
  <c r="A3" i="17"/>
  <c r="A60" i="17"/>
  <c r="A46" i="17"/>
  <c r="A30" i="17"/>
  <c r="A6" i="17"/>
  <c r="A1" i="17"/>
  <c r="G17" i="8"/>
  <c r="Q25" i="8"/>
  <c r="Q23" i="8"/>
  <c r="G20" i="8"/>
  <c r="Q20" i="8" s="1"/>
  <c r="G18" i="8"/>
  <c r="Q18" i="8" s="1"/>
  <c r="Q24" i="8"/>
  <c r="G19" i="8"/>
  <c r="Q19" i="8" s="1"/>
  <c r="I251" i="66"/>
  <c r="P1" i="66"/>
  <c r="M8" i="121" s="1"/>
  <c r="P2" i="66"/>
  <c r="M10" i="121" s="1"/>
  <c r="I43" i="66"/>
  <c r="I36" i="66"/>
  <c r="I195" i="66"/>
  <c r="I108" i="66"/>
  <c r="I70" i="66"/>
  <c r="I62" i="66"/>
  <c r="E29" i="13"/>
  <c r="M29" i="13" s="1"/>
  <c r="E31" i="13"/>
  <c r="M31" i="13" s="1"/>
  <c r="F151" i="66" s="1"/>
  <c r="F151" i="72" s="1"/>
  <c r="E30" i="13"/>
  <c r="M30" i="13" s="1"/>
  <c r="F151" i="68" s="1"/>
  <c r="C6" i="80"/>
  <c r="D6" i="85"/>
  <c r="J6" i="75"/>
  <c r="C6" i="90"/>
  <c r="J6" i="76"/>
  <c r="M9" i="100"/>
  <c r="M7" i="101"/>
  <c r="C6" i="66"/>
  <c r="G9" i="99"/>
  <c r="M8" i="58"/>
  <c r="K6" i="64"/>
  <c r="C7" i="70"/>
  <c r="C6" i="68"/>
  <c r="K6" i="63"/>
  <c r="N6" i="61"/>
  <c r="M7" i="60"/>
  <c r="I6" i="104"/>
  <c r="N6" i="65"/>
  <c r="D6" i="52"/>
  <c r="E6" i="108"/>
  <c r="C7" i="107"/>
  <c r="C7" i="106"/>
  <c r="D6" i="43"/>
  <c r="D7" i="40"/>
  <c r="F7" i="28"/>
  <c r="J6" i="24"/>
  <c r="L6" i="20"/>
  <c r="M7" i="57"/>
  <c r="L5" i="55"/>
  <c r="O5" i="53"/>
  <c r="G5" i="51"/>
  <c r="D7" i="110"/>
  <c r="D7" i="42"/>
  <c r="F7" i="29"/>
  <c r="G6" i="23"/>
  <c r="G10" i="95"/>
  <c r="L6" i="59"/>
  <c r="E7" i="50"/>
  <c r="D6" i="46"/>
  <c r="D7" i="39"/>
  <c r="D7" i="38"/>
  <c r="F6" i="98"/>
  <c r="I6" i="33"/>
  <c r="F7" i="30"/>
  <c r="J6" i="25"/>
  <c r="I6" i="115"/>
  <c r="I8" i="14"/>
  <c r="K7" i="13"/>
  <c r="G6" i="11"/>
  <c r="I6" i="3"/>
  <c r="O8" i="112"/>
  <c r="C6" i="72"/>
  <c r="L6" i="56"/>
  <c r="J5" i="47"/>
  <c r="F6" i="35"/>
  <c r="I6" i="119"/>
  <c r="H6" i="22"/>
  <c r="K6" i="18"/>
  <c r="I8" i="15"/>
  <c r="K7" i="12"/>
  <c r="D6" i="10"/>
  <c r="P8" i="113"/>
  <c r="N7" i="5"/>
  <c r="D7" i="41"/>
  <c r="N6" i="118"/>
  <c r="L6" i="34"/>
  <c r="I6" i="8"/>
  <c r="H6" i="97"/>
  <c r="L6" i="62"/>
  <c r="G6" i="105"/>
  <c r="M5" i="117"/>
  <c r="D6" i="109"/>
  <c r="E7" i="36"/>
  <c r="G7" i="32"/>
  <c r="F7" i="31"/>
  <c r="G6" i="26"/>
  <c r="L6" i="21"/>
  <c r="L6" i="19"/>
  <c r="K6" i="17"/>
  <c r="J6" i="16"/>
  <c r="J6" i="9"/>
  <c r="H6" i="89"/>
  <c r="I6" i="4"/>
  <c r="M5" i="49"/>
  <c r="D7" i="37"/>
  <c r="L6" i="94"/>
  <c r="I120" i="2"/>
  <c r="H183" i="90"/>
  <c r="H181" i="90"/>
  <c r="H178" i="90"/>
  <c r="H175" i="90"/>
  <c r="J175" i="90" s="1"/>
  <c r="H171" i="90"/>
  <c r="H168" i="90"/>
  <c r="H166" i="90"/>
  <c r="H164" i="90"/>
  <c r="H162" i="90"/>
  <c r="H155" i="90"/>
  <c r="H153" i="90"/>
  <c r="H151" i="90"/>
  <c r="L151" i="90" s="1"/>
  <c r="H149" i="90"/>
  <c r="H147" i="90"/>
  <c r="L147" i="90" s="1"/>
  <c r="H145" i="90"/>
  <c r="H143" i="90"/>
  <c r="H141" i="90"/>
  <c r="H139" i="90"/>
  <c r="H137" i="90"/>
  <c r="H130" i="90"/>
  <c r="H128" i="90"/>
  <c r="H126" i="90"/>
  <c r="L126" i="90" s="1"/>
  <c r="H124" i="90"/>
  <c r="J124" i="90" s="1"/>
  <c r="H122" i="90"/>
  <c r="H120" i="90"/>
  <c r="H118" i="90"/>
  <c r="H116" i="90"/>
  <c r="H114" i="90"/>
  <c r="H112" i="90"/>
  <c r="H110" i="90"/>
  <c r="H108" i="90"/>
  <c r="L108" i="90" s="1"/>
  <c r="H106" i="90"/>
  <c r="H103" i="90"/>
  <c r="H101" i="90"/>
  <c r="H99" i="90"/>
  <c r="H93" i="90"/>
  <c r="H91" i="90"/>
  <c r="H89" i="90"/>
  <c r="H87" i="90"/>
  <c r="H80" i="90"/>
  <c r="H78" i="90"/>
  <c r="H72" i="90"/>
  <c r="H70" i="90"/>
  <c r="H251" i="90"/>
  <c r="H247" i="90"/>
  <c r="H245" i="90"/>
  <c r="H243" i="90"/>
  <c r="H239" i="90"/>
  <c r="H236" i="90"/>
  <c r="H234" i="90"/>
  <c r="H232" i="90"/>
  <c r="H230" i="90"/>
  <c r="H184" i="90"/>
  <c r="H182" i="90"/>
  <c r="H179" i="90"/>
  <c r="H177" i="90"/>
  <c r="H169" i="90"/>
  <c r="H167" i="90"/>
  <c r="H165" i="90"/>
  <c r="H163" i="90"/>
  <c r="H156" i="90"/>
  <c r="L156" i="90" s="1"/>
  <c r="H154" i="90"/>
  <c r="H152" i="90"/>
  <c r="H150" i="90"/>
  <c r="L150" i="90" s="1"/>
  <c r="H148" i="90"/>
  <c r="H146" i="90"/>
  <c r="H144" i="90"/>
  <c r="H142" i="90"/>
  <c r="H140" i="90"/>
  <c r="H138" i="90"/>
  <c r="H136" i="90"/>
  <c r="H131" i="90"/>
  <c r="H129" i="90"/>
  <c r="L129" i="90" s="1"/>
  <c r="H127" i="90"/>
  <c r="H125" i="90"/>
  <c r="H123" i="90"/>
  <c r="H121" i="90"/>
  <c r="J121" i="90" s="1"/>
  <c r="H119" i="90"/>
  <c r="H117" i="90"/>
  <c r="H115" i="90"/>
  <c r="H113" i="90"/>
  <c r="H111" i="90"/>
  <c r="H109" i="90"/>
  <c r="L109" i="90" s="1"/>
  <c r="H107" i="90"/>
  <c r="L107" i="90" s="1"/>
  <c r="H105" i="90"/>
  <c r="L105" i="90" s="1"/>
  <c r="H102" i="90"/>
  <c r="H100" i="90"/>
  <c r="H92" i="90"/>
  <c r="H90" i="90"/>
  <c r="H88" i="90"/>
  <c r="H79" i="90"/>
  <c r="H77" i="90"/>
  <c r="H71" i="90"/>
  <c r="H69" i="90"/>
  <c r="H66" i="90"/>
  <c r="H64" i="90"/>
  <c r="H62" i="90"/>
  <c r="H59" i="90"/>
  <c r="H57" i="90"/>
  <c r="H55" i="90"/>
  <c r="H248" i="90"/>
  <c r="H231" i="90"/>
  <c r="H225" i="90"/>
  <c r="H221" i="90"/>
  <c r="H215" i="90"/>
  <c r="H210" i="90"/>
  <c r="H206" i="90"/>
  <c r="H200" i="90"/>
  <c r="H196" i="90"/>
  <c r="H192" i="90"/>
  <c r="H61" i="90"/>
  <c r="H246" i="90"/>
  <c r="H238" i="90"/>
  <c r="H229" i="90"/>
  <c r="H224" i="90"/>
  <c r="H214" i="90"/>
  <c r="H209" i="90"/>
  <c r="H205" i="90"/>
  <c r="J205" i="90" s="1"/>
  <c r="H199" i="90"/>
  <c r="H195" i="90"/>
  <c r="H191" i="90"/>
  <c r="H63" i="90"/>
  <c r="H51" i="90"/>
  <c r="H49" i="90"/>
  <c r="H46" i="90"/>
  <c r="H44" i="90"/>
  <c r="H41" i="90"/>
  <c r="H35" i="90"/>
  <c r="H33" i="90"/>
  <c r="H31" i="90"/>
  <c r="H28" i="90"/>
  <c r="H26" i="90"/>
  <c r="H24" i="90"/>
  <c r="H22" i="90"/>
  <c r="H20" i="90"/>
  <c r="H17" i="90"/>
  <c r="H15" i="90"/>
  <c r="H13" i="90"/>
  <c r="H244" i="90"/>
  <c r="H235" i="90"/>
  <c r="H227" i="90"/>
  <c r="H223" i="90"/>
  <c r="H212" i="90"/>
  <c r="H208" i="90"/>
  <c r="H198" i="90"/>
  <c r="H194" i="90"/>
  <c r="H65" i="90"/>
  <c r="H56" i="90"/>
  <c r="H53" i="90"/>
  <c r="H250" i="90"/>
  <c r="H222" i="90"/>
  <c r="H201" i="90"/>
  <c r="H47" i="90"/>
  <c r="H36" i="90"/>
  <c r="H27" i="90"/>
  <c r="H19" i="90"/>
  <c r="H242" i="90"/>
  <c r="H216" i="90"/>
  <c r="H197" i="90"/>
  <c r="H45" i="90"/>
  <c r="H34" i="90"/>
  <c r="H25" i="90"/>
  <c r="H16" i="90"/>
  <c r="H233" i="90"/>
  <c r="H211" i="90"/>
  <c r="H193" i="90"/>
  <c r="H52" i="90"/>
  <c r="H43" i="90"/>
  <c r="H32" i="90"/>
  <c r="H23" i="90"/>
  <c r="H14" i="90"/>
  <c r="H226" i="90"/>
  <c r="H50" i="90"/>
  <c r="H207" i="90"/>
  <c r="H40" i="90"/>
  <c r="H58" i="90"/>
  <c r="H29" i="90"/>
  <c r="H21" i="90"/>
  <c r="M28" i="11"/>
  <c r="M29" i="11" s="1"/>
  <c r="T34" i="5"/>
  <c r="E41" i="13"/>
  <c r="M41" i="13" s="1"/>
  <c r="E32" i="13"/>
  <c r="E36" i="13"/>
  <c r="M36" i="13" s="1"/>
  <c r="E28" i="13"/>
  <c r="M28" i="13" s="1"/>
  <c r="E20" i="13"/>
  <c r="M20" i="13" s="1"/>
  <c r="E40" i="13"/>
  <c r="M40" i="13" s="1"/>
  <c r="E24" i="13"/>
  <c r="M24" i="13" s="1"/>
  <c r="E25" i="13"/>
  <c r="M25" i="13" s="1"/>
  <c r="F149" i="68" s="1"/>
  <c r="E27" i="13"/>
  <c r="M27" i="13" s="1"/>
  <c r="F145" i="66" s="1"/>
  <c r="F145" i="72" s="1"/>
  <c r="E38" i="13"/>
  <c r="M38" i="13" s="1"/>
  <c r="F106" i="66" s="1"/>
  <c r="E18" i="13"/>
  <c r="M18" i="13" s="1"/>
  <c r="H248" i="72"/>
  <c r="H245" i="72"/>
  <c r="H239" i="72"/>
  <c r="H234" i="72"/>
  <c r="H230" i="72"/>
  <c r="H228" i="72"/>
  <c r="H224" i="72"/>
  <c r="H216" i="72"/>
  <c r="H215" i="72"/>
  <c r="H210" i="72"/>
  <c r="H251" i="72"/>
  <c r="H249" i="72"/>
  <c r="H246" i="72"/>
  <c r="H240" i="72"/>
  <c r="H235" i="72"/>
  <c r="H231" i="72"/>
  <c r="H225" i="72"/>
  <c r="H217" i="72"/>
  <c r="H211" i="72"/>
  <c r="H252" i="72"/>
  <c r="H243" i="72"/>
  <c r="H236" i="72"/>
  <c r="H232" i="72"/>
  <c r="H226" i="72"/>
  <c r="H222" i="72"/>
  <c r="H237" i="72"/>
  <c r="H223" i="72"/>
  <c r="H212" i="72"/>
  <c r="H207" i="72"/>
  <c r="H202" i="72"/>
  <c r="H198" i="72"/>
  <c r="H193" i="72"/>
  <c r="H181" i="72"/>
  <c r="H175" i="72"/>
  <c r="H169" i="72"/>
  <c r="H165" i="72"/>
  <c r="H156" i="72"/>
  <c r="L156" i="72" s="1"/>
  <c r="H154" i="72"/>
  <c r="H152" i="72"/>
  <c r="H150" i="72"/>
  <c r="L150" i="72" s="1"/>
  <c r="H148" i="72"/>
  <c r="H146" i="72"/>
  <c r="H144" i="72"/>
  <c r="H141" i="72"/>
  <c r="H138" i="72"/>
  <c r="H117" i="72"/>
  <c r="H113" i="72"/>
  <c r="H100" i="72"/>
  <c r="H93" i="72"/>
  <c r="H89" i="72"/>
  <c r="H247" i="72"/>
  <c r="H244" i="72"/>
  <c r="H208" i="72"/>
  <c r="H199" i="72"/>
  <c r="H194" i="72"/>
  <c r="H182" i="72"/>
  <c r="H177" i="72"/>
  <c r="H171" i="72"/>
  <c r="H166" i="72"/>
  <c r="H162" i="72"/>
  <c r="H142" i="72"/>
  <c r="H130" i="72"/>
  <c r="H128" i="72"/>
  <c r="L128" i="72" s="1"/>
  <c r="H126" i="72"/>
  <c r="L126" i="72" s="1"/>
  <c r="H124" i="72"/>
  <c r="H122" i="72"/>
  <c r="L122" i="72" s="1"/>
  <c r="H120" i="72"/>
  <c r="H118" i="72"/>
  <c r="H114" i="72"/>
  <c r="H111" i="72"/>
  <c r="H109" i="72"/>
  <c r="L109" i="72" s="1"/>
  <c r="H107" i="72"/>
  <c r="L107" i="72" s="1"/>
  <c r="H105" i="72"/>
  <c r="L105" i="72" s="1"/>
  <c r="H101" i="72"/>
  <c r="H90" i="72"/>
  <c r="H233" i="72"/>
  <c r="H227" i="72"/>
  <c r="H213" i="72"/>
  <c r="H209" i="72"/>
  <c r="H200" i="72"/>
  <c r="H195" i="72"/>
  <c r="H183" i="72"/>
  <c r="H178" i="72"/>
  <c r="H167" i="72"/>
  <c r="H163" i="72"/>
  <c r="H155" i="72"/>
  <c r="H153" i="72"/>
  <c r="H151" i="72"/>
  <c r="L151" i="72" s="1"/>
  <c r="H149" i="72"/>
  <c r="H147" i="72"/>
  <c r="L147" i="72" s="1"/>
  <c r="H145" i="72"/>
  <c r="H143" i="72"/>
  <c r="H139" i="72"/>
  <c r="L139" i="72" s="1"/>
  <c r="H136" i="72"/>
  <c r="H115" i="72"/>
  <c r="H102" i="72"/>
  <c r="H91" i="72"/>
  <c r="H87" i="72"/>
  <c r="H185" i="72"/>
  <c r="H168" i="72"/>
  <c r="H125" i="72"/>
  <c r="L125" i="72" s="1"/>
  <c r="H106" i="72"/>
  <c r="H50" i="72"/>
  <c r="H45" i="72"/>
  <c r="H34" i="72"/>
  <c r="H28" i="72"/>
  <c r="H25" i="72"/>
  <c r="H23" i="72"/>
  <c r="H20" i="72"/>
  <c r="H15" i="72"/>
  <c r="H206" i="72"/>
  <c r="H201" i="72"/>
  <c r="H196" i="72"/>
  <c r="H131" i="72"/>
  <c r="H123" i="72"/>
  <c r="H112" i="72"/>
  <c r="H103" i="72"/>
  <c r="H88" i="72"/>
  <c r="H80" i="72"/>
  <c r="H78" i="72"/>
  <c r="H72" i="72"/>
  <c r="H70" i="72"/>
  <c r="H65" i="72"/>
  <c r="H63" i="72"/>
  <c r="H61" i="72"/>
  <c r="H56" i="72"/>
  <c r="H51" i="72"/>
  <c r="H46" i="72"/>
  <c r="H41" i="72"/>
  <c r="H40" i="72"/>
  <c r="H35" i="72"/>
  <c r="H31" i="72"/>
  <c r="H29" i="72"/>
  <c r="H21" i="72"/>
  <c r="H16" i="72"/>
  <c r="H179" i="72"/>
  <c r="H164" i="72"/>
  <c r="H140" i="72"/>
  <c r="H137" i="72"/>
  <c r="H129" i="72"/>
  <c r="H121" i="72"/>
  <c r="H110" i="72"/>
  <c r="H57" i="72"/>
  <c r="H52" i="72"/>
  <c r="H47" i="72"/>
  <c r="H43" i="72"/>
  <c r="H36" i="72"/>
  <c r="H32" i="72"/>
  <c r="H26" i="72"/>
  <c r="H24" i="72"/>
  <c r="H22" i="72"/>
  <c r="H17" i="72"/>
  <c r="H13" i="72"/>
  <c r="L3" i="72"/>
  <c r="H108" i="72"/>
  <c r="L108" i="72" s="1"/>
  <c r="H92" i="72"/>
  <c r="H69" i="72"/>
  <c r="H59" i="72"/>
  <c r="H53" i="72"/>
  <c r="H44" i="72"/>
  <c r="H197" i="72"/>
  <c r="H99" i="72"/>
  <c r="H79" i="72"/>
  <c r="H66" i="72"/>
  <c r="H55" i="72"/>
  <c r="H14" i="72"/>
  <c r="H127" i="72"/>
  <c r="H116" i="72"/>
  <c r="H77" i="72"/>
  <c r="H64" i="72"/>
  <c r="H58" i="72"/>
  <c r="H49" i="72"/>
  <c r="H192" i="72"/>
  <c r="H71" i="72"/>
  <c r="H119" i="72"/>
  <c r="H62" i="72"/>
  <c r="H27" i="72"/>
  <c r="H33" i="72"/>
  <c r="H19" i="72"/>
  <c r="T203" i="68"/>
  <c r="F219" i="68"/>
  <c r="F185" i="90"/>
  <c r="F240" i="90"/>
  <c r="T186" i="68"/>
  <c r="F217" i="90"/>
  <c r="G17" i="66"/>
  <c r="F219" i="72"/>
  <c r="R19" i="59"/>
  <c r="S37" i="59"/>
  <c r="H50" i="82" s="1"/>
  <c r="R50" i="82" s="1"/>
  <c r="D50" i="82" s="1"/>
  <c r="Y39" i="101"/>
  <c r="X39" i="101"/>
  <c r="W39" i="101" s="1"/>
  <c r="X25" i="101"/>
  <c r="W25" i="101" s="1"/>
  <c r="Y25" i="101"/>
  <c r="X20" i="101"/>
  <c r="W20" i="101" s="1"/>
  <c r="Y20" i="101"/>
  <c r="X41" i="101"/>
  <c r="W41" i="101" s="1"/>
  <c r="Y41" i="101"/>
  <c r="X28" i="101"/>
  <c r="W28" i="101" s="1"/>
  <c r="Y28" i="101"/>
  <c r="B49" i="82"/>
  <c r="A49" i="82"/>
  <c r="B18" i="82"/>
  <c r="E36" i="15"/>
  <c r="D35" i="15"/>
  <c r="A12" i="82"/>
  <c r="S32" i="14"/>
  <c r="E35" i="14"/>
  <c r="D34" i="14"/>
  <c r="B7" i="82"/>
  <c r="A7" i="82"/>
  <c r="H36" i="82" l="1"/>
  <c r="R36" i="82" s="1"/>
  <c r="D36" i="82" s="1"/>
  <c r="B36" i="82" s="1"/>
  <c r="J88" i="88"/>
  <c r="I94" i="66"/>
  <c r="L170" i="72"/>
  <c r="F106" i="68"/>
  <c r="G106" i="68" s="1"/>
  <c r="J170" i="90"/>
  <c r="J48" i="72"/>
  <c r="I220" i="66"/>
  <c r="F77" i="68"/>
  <c r="F76" i="66"/>
  <c r="F75" i="68"/>
  <c r="F74" i="66"/>
  <c r="J238" i="72"/>
  <c r="L238" i="72"/>
  <c r="L237" i="90"/>
  <c r="J237" i="90"/>
  <c r="F146" i="66"/>
  <c r="F146" i="72" s="1"/>
  <c r="J146" i="72" s="1"/>
  <c r="F76" i="68"/>
  <c r="F75" i="66"/>
  <c r="L48" i="90"/>
  <c r="J228" i="90"/>
  <c r="L228" i="90" s="1"/>
  <c r="L30" i="90"/>
  <c r="J30" i="90"/>
  <c r="J111" i="72"/>
  <c r="J229" i="72"/>
  <c r="L229" i="72" s="1"/>
  <c r="L30" i="72"/>
  <c r="J30" i="72"/>
  <c r="J251" i="72"/>
  <c r="L251" i="72" s="1"/>
  <c r="F255" i="66"/>
  <c r="F257" i="66" s="1"/>
  <c r="G31" i="8"/>
  <c r="D41" i="5"/>
  <c r="T37" i="5"/>
  <c r="AI250" i="80"/>
  <c r="F253" i="80"/>
  <c r="A25" i="82"/>
  <c r="B6" i="82"/>
  <c r="A6" i="82"/>
  <c r="A38" i="82"/>
  <c r="B38" i="82"/>
  <c r="E253" i="80"/>
  <c r="C5" i="79" s="1"/>
  <c r="D250" i="80"/>
  <c r="B43" i="8"/>
  <c r="F155" i="66"/>
  <c r="F155" i="72" s="1"/>
  <c r="J155" i="72" s="1"/>
  <c r="A24" i="82"/>
  <c r="F154" i="68"/>
  <c r="T154" i="68" s="1"/>
  <c r="H86" i="92"/>
  <c r="J86" i="92" s="1"/>
  <c r="F89" i="92"/>
  <c r="F91" i="92" s="1"/>
  <c r="H78" i="74"/>
  <c r="J78" i="74" s="1"/>
  <c r="F86" i="74"/>
  <c r="D35" i="11"/>
  <c r="C36" i="11"/>
  <c r="B27" i="82"/>
  <c r="L155" i="72"/>
  <c r="L130" i="90"/>
  <c r="I67" i="66"/>
  <c r="F108" i="68"/>
  <c r="F107" i="90" s="1"/>
  <c r="J107" i="90" s="1"/>
  <c r="F155" i="68"/>
  <c r="F154" i="90" s="1"/>
  <c r="J154" i="90" s="1"/>
  <c r="L154" i="90" s="1"/>
  <c r="J154" i="72"/>
  <c r="L154" i="72" s="1"/>
  <c r="F107" i="68"/>
  <c r="T107" i="68" s="1"/>
  <c r="I172" i="66"/>
  <c r="I157" i="66"/>
  <c r="I205" i="66"/>
  <c r="F145" i="68"/>
  <c r="F144" i="90" s="1"/>
  <c r="I132" i="66"/>
  <c r="I186" i="66"/>
  <c r="I243" i="66"/>
  <c r="F148" i="66"/>
  <c r="F148" i="72" s="1"/>
  <c r="J148" i="72" s="1"/>
  <c r="L148" i="72" s="1"/>
  <c r="F152" i="68"/>
  <c r="T152" i="68" s="1"/>
  <c r="I37" i="66"/>
  <c r="I81" i="66"/>
  <c r="F146" i="68"/>
  <c r="F145" i="90" s="1"/>
  <c r="J145" i="90" s="1"/>
  <c r="L145" i="90" s="1"/>
  <c r="F150" i="66"/>
  <c r="F150" i="72" s="1"/>
  <c r="J150" i="72" s="1"/>
  <c r="J151" i="72"/>
  <c r="J153" i="72"/>
  <c r="L153" i="72" s="1"/>
  <c r="B57" i="5"/>
  <c r="J23" i="72"/>
  <c r="L23" i="72" s="1"/>
  <c r="J178" i="90"/>
  <c r="L178" i="90" s="1"/>
  <c r="J145" i="72"/>
  <c r="L145" i="72" s="1"/>
  <c r="H203" i="72"/>
  <c r="J192" i="72"/>
  <c r="L192" i="72" s="1"/>
  <c r="J197" i="72"/>
  <c r="L197" i="72" s="1"/>
  <c r="H37" i="72"/>
  <c r="J13" i="72"/>
  <c r="L13" i="72" s="1"/>
  <c r="J26" i="72"/>
  <c r="L26" i="72" s="1"/>
  <c r="L164" i="72"/>
  <c r="J164" i="72"/>
  <c r="L41" i="72"/>
  <c r="J41" i="72"/>
  <c r="J103" i="72"/>
  <c r="L103" i="72" s="1"/>
  <c r="J20" i="72"/>
  <c r="L20" i="72" s="1"/>
  <c r="L34" i="72"/>
  <c r="J34" i="72"/>
  <c r="L195" i="72"/>
  <c r="J195" i="72"/>
  <c r="J124" i="72"/>
  <c r="L124" i="72" s="1"/>
  <c r="J177" i="72"/>
  <c r="L177" i="72" s="1"/>
  <c r="L93" i="72"/>
  <c r="J93" i="72"/>
  <c r="J181" i="72"/>
  <c r="L181" i="72" s="1"/>
  <c r="H241" i="72"/>
  <c r="J222" i="72"/>
  <c r="L222" i="72" s="1"/>
  <c r="J225" i="72"/>
  <c r="L225" i="72" s="1"/>
  <c r="J215" i="72"/>
  <c r="L215" i="72" s="1"/>
  <c r="L248" i="72"/>
  <c r="J248" i="72"/>
  <c r="F150" i="68"/>
  <c r="F149" i="66"/>
  <c r="F149" i="72" s="1"/>
  <c r="J149" i="72" s="1"/>
  <c r="L149" i="72" s="1"/>
  <c r="F71" i="68"/>
  <c r="F70" i="66"/>
  <c r="J226" i="90"/>
  <c r="L226" i="90" s="1"/>
  <c r="J43" i="90"/>
  <c r="L43" i="90" s="1"/>
  <c r="J233" i="90"/>
  <c r="L233" i="90" s="1"/>
  <c r="L45" i="90"/>
  <c r="J45" i="90"/>
  <c r="J19" i="90"/>
  <c r="L19" i="90" s="1"/>
  <c r="J201" i="90"/>
  <c r="L201" i="90" s="1"/>
  <c r="L56" i="90"/>
  <c r="J56" i="90"/>
  <c r="J208" i="90"/>
  <c r="L208" i="90" s="1"/>
  <c r="J235" i="90"/>
  <c r="L235" i="90" s="1"/>
  <c r="J17" i="90"/>
  <c r="L17" i="90" s="1"/>
  <c r="L26" i="90"/>
  <c r="J26" i="90"/>
  <c r="L35" i="90"/>
  <c r="J35" i="90"/>
  <c r="J49" i="90"/>
  <c r="L49" i="90" s="1"/>
  <c r="J195" i="90"/>
  <c r="L195" i="90" s="1"/>
  <c r="J214" i="90"/>
  <c r="L214" i="90" s="1"/>
  <c r="J200" i="90"/>
  <c r="L200" i="90" s="1"/>
  <c r="H240" i="90"/>
  <c r="J240" i="90" s="1"/>
  <c r="J221" i="90"/>
  <c r="L221" i="90" s="1"/>
  <c r="L55" i="90"/>
  <c r="J55" i="90"/>
  <c r="L92" i="90"/>
  <c r="J92" i="90"/>
  <c r="J115" i="90"/>
  <c r="L115" i="90" s="1"/>
  <c r="J123" i="90"/>
  <c r="L123" i="90" s="1"/>
  <c r="L131" i="90"/>
  <c r="J131" i="90"/>
  <c r="J142" i="90"/>
  <c r="L142" i="90" s="1"/>
  <c r="L163" i="90"/>
  <c r="J163" i="90"/>
  <c r="J177" i="90"/>
  <c r="L177" i="90" s="1"/>
  <c r="J251" i="90"/>
  <c r="L251" i="90" s="1"/>
  <c r="L93" i="90"/>
  <c r="J93" i="90"/>
  <c r="J114" i="90"/>
  <c r="L114" i="90" s="1"/>
  <c r="L122" i="90"/>
  <c r="J122" i="90"/>
  <c r="J143" i="90"/>
  <c r="L143" i="90" s="1"/>
  <c r="J164" i="90"/>
  <c r="L164" i="90" s="1"/>
  <c r="H185" i="90"/>
  <c r="J185" i="90" s="1"/>
  <c r="L175" i="90"/>
  <c r="J246" i="90"/>
  <c r="L246" i="90" s="1"/>
  <c r="J139" i="72"/>
  <c r="J49" i="72"/>
  <c r="L49" i="72" s="1"/>
  <c r="J116" i="72"/>
  <c r="L116" i="72" s="1"/>
  <c r="L44" i="72"/>
  <c r="J44" i="72"/>
  <c r="L92" i="72"/>
  <c r="J92" i="72"/>
  <c r="J17" i="72"/>
  <c r="L17" i="72" s="1"/>
  <c r="J32" i="72"/>
  <c r="L32" i="72" s="1"/>
  <c r="J52" i="72"/>
  <c r="L52" i="72" s="1"/>
  <c r="L129" i="72"/>
  <c r="J129" i="72"/>
  <c r="L179" i="72"/>
  <c r="J179" i="72"/>
  <c r="J31" i="72"/>
  <c r="L31" i="72" s="1"/>
  <c r="J46" i="72"/>
  <c r="L46" i="72" s="1"/>
  <c r="J201" i="72"/>
  <c r="L201" i="72" s="1"/>
  <c r="L45" i="72"/>
  <c r="J45" i="72"/>
  <c r="J168" i="72"/>
  <c r="L168" i="72" s="1"/>
  <c r="J102" i="72"/>
  <c r="L102" i="72" s="1"/>
  <c r="J143" i="72"/>
  <c r="L143" i="72" s="1"/>
  <c r="J167" i="72"/>
  <c r="L167" i="72" s="1"/>
  <c r="J200" i="72"/>
  <c r="L200" i="72" s="1"/>
  <c r="L233" i="72"/>
  <c r="J233" i="72"/>
  <c r="L118" i="72"/>
  <c r="J118" i="72"/>
  <c r="L162" i="72"/>
  <c r="H172" i="72"/>
  <c r="J162" i="72"/>
  <c r="J182" i="72"/>
  <c r="L182" i="72" s="1"/>
  <c r="J244" i="72"/>
  <c r="L244" i="72" s="1"/>
  <c r="J100" i="72"/>
  <c r="L100" i="72" s="1"/>
  <c r="J141" i="72"/>
  <c r="L141" i="72" s="1"/>
  <c r="L165" i="72"/>
  <c r="J165" i="72"/>
  <c r="J193" i="72"/>
  <c r="L193" i="72" s="1"/>
  <c r="J212" i="72"/>
  <c r="L212" i="72" s="1"/>
  <c r="J226" i="72"/>
  <c r="L226" i="72" s="1"/>
  <c r="J252" i="72"/>
  <c r="L252" i="72" s="1"/>
  <c r="J231" i="72"/>
  <c r="L231" i="72" s="1"/>
  <c r="L249" i="72"/>
  <c r="J249" i="72"/>
  <c r="J216" i="72"/>
  <c r="L216" i="72" s="1"/>
  <c r="J234" i="72"/>
  <c r="L234" i="72" s="1"/>
  <c r="J230" i="90"/>
  <c r="L230" i="90" s="1"/>
  <c r="F147" i="66"/>
  <c r="F147" i="72" s="1"/>
  <c r="J147" i="72" s="1"/>
  <c r="F148" i="68"/>
  <c r="F156" i="66"/>
  <c r="F156" i="72" s="1"/>
  <c r="J156" i="72" s="1"/>
  <c r="F157" i="68"/>
  <c r="F63" i="68"/>
  <c r="F62" i="66"/>
  <c r="F73" i="68"/>
  <c r="F72" i="66"/>
  <c r="F69" i="66"/>
  <c r="F70" i="68"/>
  <c r="J40" i="90"/>
  <c r="L40" i="90" s="1"/>
  <c r="J14" i="90"/>
  <c r="L14" i="90" s="1"/>
  <c r="J52" i="90"/>
  <c r="L52" i="90" s="1"/>
  <c r="L16" i="90"/>
  <c r="J16" i="90"/>
  <c r="J197" i="90"/>
  <c r="L197" i="90" s="1"/>
  <c r="J27" i="90"/>
  <c r="L27" i="90" s="1"/>
  <c r="L222" i="90"/>
  <c r="J222" i="90"/>
  <c r="J212" i="90"/>
  <c r="L212" i="90" s="1"/>
  <c r="J244" i="90"/>
  <c r="L244" i="90" s="1"/>
  <c r="J20" i="90"/>
  <c r="L20" i="90" s="1"/>
  <c r="J28" i="90"/>
  <c r="L28" i="90" s="1"/>
  <c r="L41" i="90"/>
  <c r="J41" i="90"/>
  <c r="J51" i="90"/>
  <c r="L51" i="90" s="1"/>
  <c r="J199" i="90"/>
  <c r="L199" i="90" s="1"/>
  <c r="J224" i="90"/>
  <c r="L224" i="90" s="1"/>
  <c r="H67" i="90"/>
  <c r="J206" i="90"/>
  <c r="L206" i="90" s="1"/>
  <c r="J225" i="90"/>
  <c r="L225" i="90" s="1"/>
  <c r="L57" i="90"/>
  <c r="J57" i="90"/>
  <c r="J100" i="90"/>
  <c r="L100" i="90" s="1"/>
  <c r="J117" i="90"/>
  <c r="L117" i="90" s="1"/>
  <c r="L125" i="90"/>
  <c r="J125" i="90"/>
  <c r="H157" i="90"/>
  <c r="J136" i="90"/>
  <c r="L136" i="90" s="1"/>
  <c r="L165" i="90"/>
  <c r="J165" i="90"/>
  <c r="L179" i="90"/>
  <c r="J179" i="90"/>
  <c r="L232" i="90"/>
  <c r="J232" i="90"/>
  <c r="J243" i="90"/>
  <c r="L243" i="90" s="1"/>
  <c r="H94" i="90"/>
  <c r="J87" i="90"/>
  <c r="L87" i="90" s="1"/>
  <c r="H132" i="90"/>
  <c r="J99" i="90"/>
  <c r="L99" i="90" s="1"/>
  <c r="J116" i="90"/>
  <c r="L116" i="90" s="1"/>
  <c r="L124" i="90"/>
  <c r="J137" i="90"/>
  <c r="L137" i="90" s="1"/>
  <c r="J166" i="90"/>
  <c r="L166" i="90" s="1"/>
  <c r="J130" i="90"/>
  <c r="J129" i="90"/>
  <c r="Q17" i="8"/>
  <c r="Q31" i="8" s="1"/>
  <c r="J183" i="90"/>
  <c r="L183" i="90" s="1"/>
  <c r="J128" i="72"/>
  <c r="F108" i="66"/>
  <c r="F109" i="68"/>
  <c r="M32" i="13"/>
  <c r="H9" i="82"/>
  <c r="T20" i="5"/>
  <c r="F64" i="66"/>
  <c r="F65" i="68"/>
  <c r="F78" i="68"/>
  <c r="F77" i="66"/>
  <c r="F79" i="68"/>
  <c r="F78" i="66"/>
  <c r="J21" i="90"/>
  <c r="L21" i="90" s="1"/>
  <c r="J207" i="90"/>
  <c r="L207" i="90" s="1"/>
  <c r="J23" i="90"/>
  <c r="L23" i="90" s="1"/>
  <c r="J193" i="90"/>
  <c r="L193" i="90" s="1"/>
  <c r="J25" i="90"/>
  <c r="L25" i="90" s="1"/>
  <c r="J216" i="90"/>
  <c r="L216" i="90" s="1"/>
  <c r="L36" i="90"/>
  <c r="J36" i="90"/>
  <c r="L194" i="90"/>
  <c r="J194" i="90"/>
  <c r="L223" i="90"/>
  <c r="J223" i="90"/>
  <c r="H37" i="90"/>
  <c r="J13" i="90"/>
  <c r="L13" i="90" s="1"/>
  <c r="J22" i="90"/>
  <c r="L22" i="90" s="1"/>
  <c r="J31" i="90"/>
  <c r="L31" i="90" s="1"/>
  <c r="L44" i="90"/>
  <c r="J44" i="90"/>
  <c r="L205" i="90"/>
  <c r="H217" i="90"/>
  <c r="J217" i="90" s="1"/>
  <c r="J192" i="90"/>
  <c r="L192" i="90" s="1"/>
  <c r="J231" i="90"/>
  <c r="L231" i="90" s="1"/>
  <c r="J59" i="90"/>
  <c r="L59" i="90" s="1"/>
  <c r="H81" i="90"/>
  <c r="J88" i="90"/>
  <c r="L88" i="90" s="1"/>
  <c r="J102" i="90"/>
  <c r="L102" i="90" s="1"/>
  <c r="J111" i="90"/>
  <c r="L111" i="90" s="1"/>
  <c r="J119" i="90"/>
  <c r="L119" i="90" s="1"/>
  <c r="J127" i="90"/>
  <c r="L127" i="90" s="1"/>
  <c r="L138" i="90"/>
  <c r="J138" i="90"/>
  <c r="J167" i="90"/>
  <c r="L167" i="90" s="1"/>
  <c r="J182" i="90"/>
  <c r="L182" i="90" s="1"/>
  <c r="J234" i="90"/>
  <c r="L234" i="90" s="1"/>
  <c r="J245" i="90"/>
  <c r="L245" i="90" s="1"/>
  <c r="L89" i="90"/>
  <c r="J89" i="90"/>
  <c r="J101" i="90"/>
  <c r="L101" i="90" s="1"/>
  <c r="J110" i="90"/>
  <c r="L110" i="90" s="1"/>
  <c r="L118" i="90"/>
  <c r="J118" i="90"/>
  <c r="L139" i="90"/>
  <c r="J139" i="90"/>
  <c r="J168" i="90"/>
  <c r="L168" i="90" s="1"/>
  <c r="J229" i="90"/>
  <c r="L229" i="90" s="1"/>
  <c r="J181" i="90"/>
  <c r="L181" i="90" s="1"/>
  <c r="J125" i="72"/>
  <c r="J27" i="72"/>
  <c r="L27" i="72" s="1"/>
  <c r="L55" i="72"/>
  <c r="J55" i="72"/>
  <c r="H81" i="72"/>
  <c r="J47" i="72"/>
  <c r="L47" i="72" s="1"/>
  <c r="J29" i="72"/>
  <c r="L29" i="72" s="1"/>
  <c r="H67" i="72"/>
  <c r="J196" i="72"/>
  <c r="L196" i="72" s="1"/>
  <c r="J91" i="72"/>
  <c r="L91" i="72" s="1"/>
  <c r="J163" i="72"/>
  <c r="L163" i="72" s="1"/>
  <c r="J227" i="72"/>
  <c r="L227" i="72" s="1"/>
  <c r="J114" i="72"/>
  <c r="L114" i="72" s="1"/>
  <c r="J142" i="72"/>
  <c r="L142" i="72" s="1"/>
  <c r="J208" i="72"/>
  <c r="L208" i="72" s="1"/>
  <c r="L138" i="72"/>
  <c r="J138" i="72"/>
  <c r="J207" i="72"/>
  <c r="L207" i="72" s="1"/>
  <c r="J243" i="72"/>
  <c r="L243" i="72" s="1"/>
  <c r="J246" i="72"/>
  <c r="L246" i="72" s="1"/>
  <c r="J230" i="72"/>
  <c r="L230" i="72" s="1"/>
  <c r="F72" i="68"/>
  <c r="F71" i="66"/>
  <c r="F63" i="66"/>
  <c r="F64" i="68"/>
  <c r="J58" i="90"/>
  <c r="L58" i="90" s="1"/>
  <c r="F147" i="68"/>
  <c r="T147" i="68" s="1"/>
  <c r="J19" i="72"/>
  <c r="L19" i="72" s="1"/>
  <c r="J119" i="72"/>
  <c r="L119" i="72" s="1"/>
  <c r="J58" i="72"/>
  <c r="L58" i="72" s="1"/>
  <c r="J127" i="72"/>
  <c r="L127" i="72" s="1"/>
  <c r="J53" i="72"/>
  <c r="L53" i="72" s="1"/>
  <c r="J22" i="72"/>
  <c r="L22" i="72" s="1"/>
  <c r="L36" i="72"/>
  <c r="J36" i="72"/>
  <c r="L57" i="72"/>
  <c r="J57" i="72"/>
  <c r="J137" i="72"/>
  <c r="L137" i="72" s="1"/>
  <c r="L16" i="72"/>
  <c r="J16" i="72"/>
  <c r="L35" i="72"/>
  <c r="J35" i="72"/>
  <c r="L51" i="72"/>
  <c r="J51" i="72"/>
  <c r="J123" i="72"/>
  <c r="L123" i="72" s="1"/>
  <c r="H218" i="72"/>
  <c r="J206" i="72"/>
  <c r="L206" i="72" s="1"/>
  <c r="J25" i="72"/>
  <c r="L25" i="72" s="1"/>
  <c r="J50" i="72"/>
  <c r="L50" i="72" s="1"/>
  <c r="J185" i="72"/>
  <c r="L185" i="72" s="1"/>
  <c r="J115" i="72"/>
  <c r="L115" i="72" s="1"/>
  <c r="L178" i="72"/>
  <c r="J178" i="72"/>
  <c r="J209" i="72"/>
  <c r="L209" i="72" s="1"/>
  <c r="J90" i="72"/>
  <c r="L90" i="72" s="1"/>
  <c r="J120" i="72"/>
  <c r="L120" i="72" s="1"/>
  <c r="J166" i="72"/>
  <c r="L166" i="72" s="1"/>
  <c r="J194" i="72"/>
  <c r="L194" i="72" s="1"/>
  <c r="J247" i="72"/>
  <c r="L247" i="72" s="1"/>
  <c r="J113" i="72"/>
  <c r="L113" i="72" s="1"/>
  <c r="J169" i="72"/>
  <c r="L169" i="72" s="1"/>
  <c r="J198" i="72"/>
  <c r="L198" i="72" s="1"/>
  <c r="L223" i="72"/>
  <c r="J223" i="72"/>
  <c r="J232" i="72"/>
  <c r="L232" i="72" s="1"/>
  <c r="J211" i="72"/>
  <c r="L211" i="72" s="1"/>
  <c r="J235" i="72"/>
  <c r="L235" i="72" s="1"/>
  <c r="L224" i="72"/>
  <c r="J224" i="72"/>
  <c r="J239" i="72"/>
  <c r="L239" i="72" s="1"/>
  <c r="J239" i="90"/>
  <c r="L239" i="90" s="1"/>
  <c r="J121" i="72"/>
  <c r="L121" i="72" s="1"/>
  <c r="J33" i="72"/>
  <c r="L33" i="72" s="1"/>
  <c r="J14" i="72"/>
  <c r="L14" i="72" s="1"/>
  <c r="H132" i="72"/>
  <c r="J99" i="72"/>
  <c r="L99" i="72" s="1"/>
  <c r="J59" i="72"/>
  <c r="L59" i="72" s="1"/>
  <c r="J24" i="72"/>
  <c r="L24" i="72" s="1"/>
  <c r="J43" i="72"/>
  <c r="L43" i="72" s="1"/>
  <c r="J110" i="72"/>
  <c r="L110" i="72" s="1"/>
  <c r="J140" i="72"/>
  <c r="L140" i="72" s="1"/>
  <c r="J21" i="72"/>
  <c r="L21" i="72" s="1"/>
  <c r="J40" i="72"/>
  <c r="L40" i="72" s="1"/>
  <c r="J56" i="72"/>
  <c r="L56" i="72" s="1"/>
  <c r="J88" i="72"/>
  <c r="L88" i="72" s="1"/>
  <c r="L131" i="72"/>
  <c r="J131" i="72"/>
  <c r="J15" i="72"/>
  <c r="L15" i="72" s="1"/>
  <c r="J28" i="72"/>
  <c r="L28" i="72" s="1"/>
  <c r="H94" i="72"/>
  <c r="J87" i="72"/>
  <c r="L87" i="72" s="1"/>
  <c r="H157" i="72"/>
  <c r="J136" i="72"/>
  <c r="L136" i="72" s="1"/>
  <c r="J183" i="72"/>
  <c r="L183" i="72" s="1"/>
  <c r="J213" i="72"/>
  <c r="L213" i="72" s="1"/>
  <c r="J101" i="72"/>
  <c r="L101" i="72" s="1"/>
  <c r="L111" i="72"/>
  <c r="J171" i="72"/>
  <c r="L171" i="72" s="1"/>
  <c r="J199" i="72"/>
  <c r="L199" i="72" s="1"/>
  <c r="L89" i="72"/>
  <c r="J89" i="72"/>
  <c r="J117" i="72"/>
  <c r="L117" i="72" s="1"/>
  <c r="L146" i="72"/>
  <c r="H186" i="72"/>
  <c r="J175" i="72"/>
  <c r="L175" i="72" s="1"/>
  <c r="J202" i="72"/>
  <c r="L202" i="72" s="1"/>
  <c r="J237" i="72"/>
  <c r="L237" i="72" s="1"/>
  <c r="J236" i="72"/>
  <c r="L236" i="72" s="1"/>
  <c r="J217" i="72"/>
  <c r="L217" i="72" s="1"/>
  <c r="J240" i="72"/>
  <c r="L240" i="72" s="1"/>
  <c r="J210" i="72"/>
  <c r="L210" i="72" s="1"/>
  <c r="J228" i="72"/>
  <c r="L228" i="72" s="1"/>
  <c r="J245" i="72"/>
  <c r="L245" i="72" s="1"/>
  <c r="J130" i="72"/>
  <c r="L130" i="72" s="1"/>
  <c r="F109" i="66"/>
  <c r="F110" i="68"/>
  <c r="F66" i="68"/>
  <c r="F65" i="66"/>
  <c r="F67" i="68"/>
  <c r="F66" i="66"/>
  <c r="F80" i="68"/>
  <c r="F79" i="66"/>
  <c r="J29" i="90"/>
  <c r="L29" i="90" s="1"/>
  <c r="J50" i="90"/>
  <c r="L50" i="90" s="1"/>
  <c r="J32" i="90"/>
  <c r="L32" i="90" s="1"/>
  <c r="J211" i="90"/>
  <c r="L211" i="90" s="1"/>
  <c r="L34" i="90"/>
  <c r="J34" i="90"/>
  <c r="J242" i="90"/>
  <c r="L242" i="90" s="1"/>
  <c r="J47" i="90"/>
  <c r="L47" i="90" s="1"/>
  <c r="J53" i="90"/>
  <c r="L53" i="90" s="1"/>
  <c r="J198" i="90"/>
  <c r="L198" i="90" s="1"/>
  <c r="J227" i="90"/>
  <c r="L227" i="90" s="1"/>
  <c r="J15" i="90"/>
  <c r="L15" i="90" s="1"/>
  <c r="J24" i="90"/>
  <c r="L24" i="90" s="1"/>
  <c r="J33" i="90"/>
  <c r="L33" i="90" s="1"/>
  <c r="J46" i="90"/>
  <c r="L46" i="90" s="1"/>
  <c r="H202" i="90"/>
  <c r="J191" i="90"/>
  <c r="L191" i="90" s="1"/>
  <c r="J209" i="90"/>
  <c r="L209" i="90" s="1"/>
  <c r="J238" i="90"/>
  <c r="L238" i="90" s="1"/>
  <c r="J196" i="90"/>
  <c r="L196" i="90" s="1"/>
  <c r="J215" i="90"/>
  <c r="L215" i="90" s="1"/>
  <c r="L248" i="90"/>
  <c r="J248" i="90"/>
  <c r="J90" i="90"/>
  <c r="L90" i="90" s="1"/>
  <c r="J113" i="90"/>
  <c r="L113" i="90" s="1"/>
  <c r="L121" i="90"/>
  <c r="J140" i="90"/>
  <c r="L140" i="90" s="1"/>
  <c r="J169" i="90"/>
  <c r="L169" i="90" s="1"/>
  <c r="J184" i="90"/>
  <c r="L184" i="90" s="1"/>
  <c r="J236" i="90"/>
  <c r="L236" i="90" s="1"/>
  <c r="L247" i="90"/>
  <c r="J247" i="90"/>
  <c r="J91" i="90"/>
  <c r="L91" i="90" s="1"/>
  <c r="J103" i="90"/>
  <c r="L103" i="90" s="1"/>
  <c r="J112" i="90"/>
  <c r="L112" i="90" s="1"/>
  <c r="J120" i="90"/>
  <c r="L120" i="90" s="1"/>
  <c r="L128" i="90"/>
  <c r="J128" i="90"/>
  <c r="J141" i="90"/>
  <c r="L141" i="90" s="1"/>
  <c r="H172" i="90"/>
  <c r="L162" i="90"/>
  <c r="J162" i="90"/>
  <c r="J171" i="90"/>
  <c r="L171" i="90" s="1"/>
  <c r="J126" i="90"/>
  <c r="J210" i="90"/>
  <c r="L210" i="90" s="1"/>
  <c r="J112" i="72"/>
  <c r="L112" i="72" s="1"/>
  <c r="J126" i="72"/>
  <c r="J122" i="72"/>
  <c r="F218" i="90"/>
  <c r="F241" i="90" s="1"/>
  <c r="T219" i="68"/>
  <c r="F242" i="68"/>
  <c r="F242" i="72"/>
  <c r="B50" i="82"/>
  <c r="A50" i="82"/>
  <c r="D36" i="15"/>
  <c r="E37" i="15"/>
  <c r="D35" i="14"/>
  <c r="E36" i="14"/>
  <c r="F105" i="72"/>
  <c r="G105" i="66"/>
  <c r="F144" i="72"/>
  <c r="T149" i="68"/>
  <c r="F148" i="90"/>
  <c r="J148" i="90" s="1"/>
  <c r="L148" i="90" s="1"/>
  <c r="F155" i="90"/>
  <c r="J155" i="90" s="1"/>
  <c r="L155" i="90" s="1"/>
  <c r="T156" i="68"/>
  <c r="G107" i="66"/>
  <c r="F107" i="72"/>
  <c r="J107" i="72" s="1"/>
  <c r="F106" i="72"/>
  <c r="J106" i="72" s="1"/>
  <c r="L106" i="72" s="1"/>
  <c r="G106" i="66"/>
  <c r="F150" i="90"/>
  <c r="J150" i="90" s="1"/>
  <c r="T151" i="68"/>
  <c r="A36" i="82" l="1"/>
  <c r="J91" i="88"/>
  <c r="T106" i="68"/>
  <c r="F105" i="90"/>
  <c r="J105" i="90" s="1"/>
  <c r="I221" i="66"/>
  <c r="I244" i="66" s="1"/>
  <c r="I252" i="66" s="1"/>
  <c r="I255" i="66" s="1"/>
  <c r="I257" i="66" s="1"/>
  <c r="G75" i="66"/>
  <c r="F75" i="72"/>
  <c r="J75" i="72" s="1"/>
  <c r="L75" i="72" s="1"/>
  <c r="T75" i="68"/>
  <c r="F74" i="90"/>
  <c r="J74" i="90" s="1"/>
  <c r="L74" i="90" s="1"/>
  <c r="T76" i="68"/>
  <c r="F75" i="90"/>
  <c r="J75" i="90" s="1"/>
  <c r="L75" i="90" s="1"/>
  <c r="G76" i="66"/>
  <c r="F76" i="72"/>
  <c r="J76" i="72" s="1"/>
  <c r="L76" i="72" s="1"/>
  <c r="T77" i="68"/>
  <c r="F76" i="90"/>
  <c r="J76" i="90" s="1"/>
  <c r="L76" i="90" s="1"/>
  <c r="F74" i="68"/>
  <c r="F73" i="66"/>
  <c r="G74" i="66"/>
  <c r="F74" i="72"/>
  <c r="J74" i="72" s="1"/>
  <c r="L74" i="72" s="1"/>
  <c r="F151" i="90"/>
  <c r="J151" i="90" s="1"/>
  <c r="F153" i="90"/>
  <c r="J153" i="90" s="1"/>
  <c r="L153" i="90" s="1"/>
  <c r="T108" i="68"/>
  <c r="G108" i="68"/>
  <c r="T41" i="5"/>
  <c r="AI253" i="80"/>
  <c r="C6" i="79"/>
  <c r="F255" i="80"/>
  <c r="D253" i="80"/>
  <c r="E255" i="80"/>
  <c r="T145" i="68"/>
  <c r="H86" i="74"/>
  <c r="J86" i="74" s="1"/>
  <c r="F89" i="74"/>
  <c r="F91" i="74" s="1"/>
  <c r="C37" i="11"/>
  <c r="D36" i="11"/>
  <c r="F106" i="90"/>
  <c r="J106" i="90" s="1"/>
  <c r="L106" i="90" s="1"/>
  <c r="G107" i="68"/>
  <c r="I82" i="66"/>
  <c r="I84" i="66" s="1"/>
  <c r="T155" i="68"/>
  <c r="I159" i="66"/>
  <c r="T146" i="68"/>
  <c r="F146" i="90"/>
  <c r="J146" i="90" s="1"/>
  <c r="L146" i="90" s="1"/>
  <c r="F133" i="68"/>
  <c r="T133" i="68" s="1"/>
  <c r="F132" i="66"/>
  <c r="F66" i="90"/>
  <c r="J66" i="90" s="1"/>
  <c r="L66" i="90" s="1"/>
  <c r="G67" i="68"/>
  <c r="T67" i="68"/>
  <c r="F109" i="72"/>
  <c r="J109" i="72" s="1"/>
  <c r="G109" i="66"/>
  <c r="J186" i="72"/>
  <c r="L186" i="72" s="1"/>
  <c r="H159" i="72"/>
  <c r="G63" i="66"/>
  <c r="F63" i="72"/>
  <c r="J63" i="72" s="1"/>
  <c r="L63" i="72" s="1"/>
  <c r="F77" i="72"/>
  <c r="J77" i="72" s="1"/>
  <c r="L77" i="72" s="1"/>
  <c r="G77" i="66"/>
  <c r="F61" i="66"/>
  <c r="F62" i="68"/>
  <c r="G109" i="68"/>
  <c r="F108" i="90"/>
  <c r="J108" i="90" s="1"/>
  <c r="T109" i="68"/>
  <c r="F81" i="68"/>
  <c r="F80" i="66"/>
  <c r="F72" i="72"/>
  <c r="J72" i="72" s="1"/>
  <c r="L72" i="72" s="1"/>
  <c r="G72" i="66"/>
  <c r="T157" i="68"/>
  <c r="F156" i="90"/>
  <c r="J156" i="90" s="1"/>
  <c r="J172" i="90"/>
  <c r="L172" i="90" s="1"/>
  <c r="F79" i="72"/>
  <c r="J79" i="72" s="1"/>
  <c r="L79" i="72" s="1"/>
  <c r="G79" i="66"/>
  <c r="F65" i="72"/>
  <c r="J65" i="72" s="1"/>
  <c r="L65" i="72" s="1"/>
  <c r="G65" i="66"/>
  <c r="F71" i="72"/>
  <c r="J71" i="72" s="1"/>
  <c r="L71" i="72" s="1"/>
  <c r="G71" i="66"/>
  <c r="J37" i="90"/>
  <c r="L37" i="90" s="1"/>
  <c r="F77" i="90"/>
  <c r="J77" i="90" s="1"/>
  <c r="L77" i="90" s="1"/>
  <c r="G78" i="68"/>
  <c r="T78" i="68"/>
  <c r="G108" i="66"/>
  <c r="F108" i="72"/>
  <c r="J108" i="72" s="1"/>
  <c r="F72" i="90"/>
  <c r="J72" i="90" s="1"/>
  <c r="L72" i="90" s="1"/>
  <c r="T73" i="68"/>
  <c r="G73" i="68"/>
  <c r="J172" i="72"/>
  <c r="L172" i="72" s="1"/>
  <c r="L185" i="90"/>
  <c r="T150" i="68"/>
  <c r="F149" i="90"/>
  <c r="J149" i="90" s="1"/>
  <c r="L149" i="90" s="1"/>
  <c r="J241" i="72"/>
  <c r="L241" i="72" s="1"/>
  <c r="F79" i="90"/>
  <c r="J79" i="90" s="1"/>
  <c r="L79" i="90" s="1"/>
  <c r="G80" i="68"/>
  <c r="T80" i="68"/>
  <c r="F65" i="90"/>
  <c r="J65" i="90" s="1"/>
  <c r="L65" i="90" s="1"/>
  <c r="G66" i="68"/>
  <c r="T66" i="68"/>
  <c r="J94" i="72"/>
  <c r="L94" i="72" s="1"/>
  <c r="F71" i="90"/>
  <c r="J71" i="90" s="1"/>
  <c r="L71" i="90" s="1"/>
  <c r="G72" i="68"/>
  <c r="T72" i="68"/>
  <c r="F78" i="72"/>
  <c r="J78" i="72" s="1"/>
  <c r="L78" i="72" s="1"/>
  <c r="G78" i="66"/>
  <c r="F64" i="90"/>
  <c r="J64" i="90" s="1"/>
  <c r="L64" i="90" s="1"/>
  <c r="G65" i="68"/>
  <c r="T65" i="68"/>
  <c r="J94" i="90"/>
  <c r="L94" i="90" s="1"/>
  <c r="F69" i="90"/>
  <c r="T70" i="68"/>
  <c r="G70" i="68"/>
  <c r="G62" i="66"/>
  <c r="F62" i="72"/>
  <c r="J62" i="72" s="1"/>
  <c r="L62" i="72" s="1"/>
  <c r="F147" i="90"/>
  <c r="J147" i="90" s="1"/>
  <c r="T148" i="68"/>
  <c r="F70" i="72"/>
  <c r="J70" i="72" s="1"/>
  <c r="L70" i="72" s="1"/>
  <c r="G70" i="66"/>
  <c r="J37" i="72"/>
  <c r="L37" i="72" s="1"/>
  <c r="H218" i="90"/>
  <c r="J202" i="90"/>
  <c r="L202" i="90" s="1"/>
  <c r="F66" i="72"/>
  <c r="J66" i="72" s="1"/>
  <c r="L66" i="72" s="1"/>
  <c r="G66" i="66"/>
  <c r="F109" i="90"/>
  <c r="J109" i="90" s="1"/>
  <c r="G110" i="68"/>
  <c r="T110" i="68"/>
  <c r="J218" i="72"/>
  <c r="L218" i="72" s="1"/>
  <c r="F63" i="90"/>
  <c r="J63" i="90" s="1"/>
  <c r="L63" i="90" s="1"/>
  <c r="G64" i="68"/>
  <c r="T64" i="68"/>
  <c r="H82" i="72"/>
  <c r="L217" i="90"/>
  <c r="F78" i="90"/>
  <c r="J78" i="90" s="1"/>
  <c r="L78" i="90" s="1"/>
  <c r="T79" i="68"/>
  <c r="G79" i="68"/>
  <c r="F64" i="72"/>
  <c r="J64" i="72" s="1"/>
  <c r="L64" i="72" s="1"/>
  <c r="G64" i="66"/>
  <c r="F153" i="68"/>
  <c r="F152" i="66"/>
  <c r="I9" i="82"/>
  <c r="U9" i="82" s="1"/>
  <c r="H159" i="90"/>
  <c r="H82" i="90"/>
  <c r="F69" i="72"/>
  <c r="G69" i="66"/>
  <c r="F62" i="90"/>
  <c r="J62" i="90" s="1"/>
  <c r="L62" i="90" s="1"/>
  <c r="T63" i="68"/>
  <c r="G63" i="68"/>
  <c r="L240" i="90"/>
  <c r="F70" i="90"/>
  <c r="J70" i="90" s="1"/>
  <c r="L70" i="90" s="1"/>
  <c r="T71" i="68"/>
  <c r="G71" i="68"/>
  <c r="H219" i="72"/>
  <c r="J203" i="72"/>
  <c r="L203" i="72" s="1"/>
  <c r="F249" i="90"/>
  <c r="F250" i="68"/>
  <c r="T242" i="68"/>
  <c r="F250" i="72"/>
  <c r="D37" i="15"/>
  <c r="D38" i="15"/>
  <c r="D36" i="14"/>
  <c r="E37" i="14"/>
  <c r="J144" i="90"/>
  <c r="L144" i="90" s="1"/>
  <c r="J144" i="72"/>
  <c r="L144" i="72" s="1"/>
  <c r="J105" i="72"/>
  <c r="F82" i="68" l="1"/>
  <c r="T82" i="68" s="1"/>
  <c r="F81" i="66"/>
  <c r="G73" i="66"/>
  <c r="F73" i="72"/>
  <c r="J73" i="72" s="1"/>
  <c r="L73" i="72" s="1"/>
  <c r="T74" i="68"/>
  <c r="F73" i="90"/>
  <c r="J73" i="90" s="1"/>
  <c r="L73" i="90" s="1"/>
  <c r="C38" i="79"/>
  <c r="F38" i="79" s="1"/>
  <c r="I251" i="68"/>
  <c r="F5" i="79"/>
  <c r="D37" i="11"/>
  <c r="C38" i="11"/>
  <c r="I188" i="66"/>
  <c r="I190" i="66"/>
  <c r="F132" i="72"/>
  <c r="J132" i="72" s="1"/>
  <c r="L132" i="72" s="1"/>
  <c r="F132" i="90"/>
  <c r="J132" i="90" s="1"/>
  <c r="L132" i="90" s="1"/>
  <c r="T9" i="82"/>
  <c r="R9" i="82" s="1"/>
  <c r="D9" i="82" s="1"/>
  <c r="F61" i="90"/>
  <c r="T62" i="68"/>
  <c r="G62" i="68"/>
  <c r="F68" i="68"/>
  <c r="H242" i="72"/>
  <c r="J219" i="72"/>
  <c r="L219" i="72" s="1"/>
  <c r="F152" i="72"/>
  <c r="F157" i="66"/>
  <c r="F159" i="66" s="1"/>
  <c r="J69" i="90"/>
  <c r="L69" i="90" s="1"/>
  <c r="G61" i="66"/>
  <c r="F61" i="72"/>
  <c r="F67" i="66"/>
  <c r="T153" i="68"/>
  <c r="F152" i="90"/>
  <c r="F158" i="68"/>
  <c r="H84" i="90"/>
  <c r="G80" i="66"/>
  <c r="F80" i="72"/>
  <c r="J80" i="72" s="1"/>
  <c r="L80" i="72" s="1"/>
  <c r="J69" i="72"/>
  <c r="L69" i="72" s="1"/>
  <c r="H241" i="90"/>
  <c r="J218" i="90"/>
  <c r="L218" i="90" s="1"/>
  <c r="H84" i="72"/>
  <c r="F80" i="90"/>
  <c r="J80" i="90" s="1"/>
  <c r="L80" i="90" s="1"/>
  <c r="T81" i="68"/>
  <c r="G81" i="68"/>
  <c r="F253" i="72"/>
  <c r="F255" i="72" s="1"/>
  <c r="D39" i="15"/>
  <c r="E38" i="15"/>
  <c r="D38" i="14"/>
  <c r="D37" i="14"/>
  <c r="F251" i="68" l="1"/>
  <c r="I253" i="68"/>
  <c r="I255" i="68" s="1"/>
  <c r="C39" i="11"/>
  <c r="D38" i="11"/>
  <c r="T158" i="68"/>
  <c r="F160" i="68"/>
  <c r="T160" i="68" s="1"/>
  <c r="J61" i="72"/>
  <c r="L61" i="72" s="1"/>
  <c r="F67" i="72"/>
  <c r="H249" i="90"/>
  <c r="J241" i="90"/>
  <c r="L241" i="90" s="1"/>
  <c r="J152" i="90"/>
  <c r="L152" i="90" s="1"/>
  <c r="F157" i="90"/>
  <c r="H250" i="72"/>
  <c r="J242" i="72"/>
  <c r="L242" i="72" s="1"/>
  <c r="H188" i="72"/>
  <c r="F81" i="90"/>
  <c r="J81" i="90" s="1"/>
  <c r="L81" i="90" s="1"/>
  <c r="J152" i="72"/>
  <c r="L152" i="72" s="1"/>
  <c r="F157" i="72"/>
  <c r="F67" i="90"/>
  <c r="J61" i="90"/>
  <c r="L61" i="90" s="1"/>
  <c r="F81" i="72"/>
  <c r="J81" i="72" s="1"/>
  <c r="L81" i="72" s="1"/>
  <c r="H187" i="90"/>
  <c r="G176" i="66"/>
  <c r="F82" i="66"/>
  <c r="F84" i="66" s="1"/>
  <c r="G175" i="66"/>
  <c r="G176" i="68"/>
  <c r="T68" i="68"/>
  <c r="F83" i="68"/>
  <c r="B9" i="82"/>
  <c r="A9" i="82"/>
  <c r="E39" i="15"/>
  <c r="D40" i="15"/>
  <c r="E38" i="14"/>
  <c r="D39" i="14"/>
  <c r="F250" i="90" l="1"/>
  <c r="T251" i="68"/>
  <c r="F257" i="68"/>
  <c r="F253" i="68"/>
  <c r="D39" i="11"/>
  <c r="C40" i="11"/>
  <c r="F85" i="68"/>
  <c r="T83" i="68"/>
  <c r="F190" i="66"/>
  <c r="F188" i="66"/>
  <c r="F82" i="72"/>
  <c r="J67" i="72"/>
  <c r="L67" i="72" s="1"/>
  <c r="H253" i="72"/>
  <c r="H255" i="72" s="1"/>
  <c r="J250" i="72"/>
  <c r="L250" i="72" s="1"/>
  <c r="J67" i="90"/>
  <c r="L67" i="90" s="1"/>
  <c r="F82" i="90"/>
  <c r="H252" i="90"/>
  <c r="H254" i="90" s="1"/>
  <c r="J249" i="90"/>
  <c r="L249" i="90" s="1"/>
  <c r="B46" i="41"/>
  <c r="B54" i="24"/>
  <c r="B126" i="110"/>
  <c r="B39" i="53"/>
  <c r="B45" i="36"/>
  <c r="B77" i="3"/>
  <c r="B42" i="36"/>
  <c r="B91" i="55"/>
  <c r="B85" i="97"/>
  <c r="B55" i="24"/>
  <c r="B55" i="12"/>
  <c r="B50" i="13"/>
  <c r="B40" i="43"/>
  <c r="B120" i="110"/>
  <c r="B53" i="24"/>
  <c r="B34" i="53"/>
  <c r="B113" i="115"/>
  <c r="B84" i="57"/>
  <c r="B62" i="22"/>
  <c r="B111" i="115"/>
  <c r="B56" i="49"/>
  <c r="B52" i="8"/>
  <c r="B125" i="110"/>
  <c r="B43" i="37"/>
  <c r="C55" i="56"/>
  <c r="B94" i="55"/>
  <c r="B38" i="39"/>
  <c r="B40" i="36"/>
  <c r="C100" i="11"/>
  <c r="B45" i="8"/>
  <c r="B112" i="115"/>
  <c r="B39" i="37"/>
  <c r="C44" i="59"/>
  <c r="B36" i="53"/>
  <c r="B79" i="3"/>
  <c r="B40" i="38"/>
  <c r="C78" i="17"/>
  <c r="B119" i="110"/>
  <c r="B58" i="22"/>
  <c r="B87" i="89"/>
  <c r="C42" i="59"/>
  <c r="B34" i="37"/>
  <c r="B78" i="89"/>
  <c r="B79" i="97"/>
  <c r="B35" i="53"/>
  <c r="B73" i="3"/>
  <c r="B47" i="12"/>
  <c r="B59" i="22"/>
  <c r="B43" i="40"/>
  <c r="C45" i="59"/>
  <c r="B88" i="97"/>
  <c r="B47" i="41"/>
  <c r="B46" i="40"/>
  <c r="B32" i="47"/>
  <c r="C102" i="11"/>
  <c r="B49" i="13"/>
  <c r="B41" i="41"/>
  <c r="B84" i="14"/>
  <c r="B72" i="3"/>
  <c r="B61" i="22"/>
  <c r="B41" i="53"/>
  <c r="B118" i="110"/>
  <c r="B39" i="42"/>
  <c r="C98" i="11"/>
  <c r="B76" i="57"/>
  <c r="C75" i="17"/>
  <c r="B74" i="3"/>
  <c r="B40" i="40"/>
  <c r="B67" i="22"/>
  <c r="C49" i="59"/>
  <c r="B81" i="3"/>
  <c r="B92" i="55"/>
  <c r="B44" i="8"/>
  <c r="B116" i="115"/>
  <c r="B123" i="110"/>
  <c r="B43" i="41"/>
  <c r="B40" i="47"/>
  <c r="C94" i="11"/>
  <c r="B44" i="46"/>
  <c r="B45" i="43"/>
  <c r="B85" i="57"/>
  <c r="B76" i="14"/>
  <c r="C80" i="17"/>
  <c r="B44" i="38"/>
  <c r="B56" i="12"/>
  <c r="B51" i="13"/>
  <c r="B58" i="49"/>
  <c r="C81" i="17"/>
  <c r="B43" i="42"/>
  <c r="B77" i="14"/>
  <c r="B57" i="13"/>
  <c r="B82" i="97"/>
  <c r="B52" i="24"/>
  <c r="B44" i="42"/>
  <c r="B74" i="15"/>
  <c r="B78" i="14"/>
  <c r="B122" i="110"/>
  <c r="B78" i="3"/>
  <c r="B40" i="37"/>
  <c r="B38" i="40"/>
  <c r="B37" i="46"/>
  <c r="B51" i="8"/>
  <c r="C103" i="11"/>
  <c r="B82" i="14"/>
  <c r="B98" i="55"/>
  <c r="C53" i="56"/>
  <c r="B81" i="15"/>
  <c r="B40" i="42"/>
  <c r="B55" i="13"/>
  <c r="B96" i="55"/>
  <c r="B39" i="36"/>
  <c r="B38" i="47"/>
  <c r="B60" i="5"/>
  <c r="B48" i="41"/>
  <c r="B118" i="115"/>
  <c r="B75" i="3"/>
  <c r="B87" i="97"/>
  <c r="C51" i="56"/>
  <c r="C54" i="56"/>
  <c r="B124" i="110"/>
  <c r="B115" i="115"/>
  <c r="B78" i="15"/>
  <c r="B120" i="115"/>
  <c r="B43" i="46"/>
  <c r="B78" i="57"/>
  <c r="B58" i="13"/>
  <c r="B66" i="5"/>
  <c r="B84" i="89"/>
  <c r="B47" i="39"/>
  <c r="C52" i="56"/>
  <c r="B54" i="49"/>
  <c r="B49" i="12"/>
  <c r="B54" i="13"/>
  <c r="B50" i="49"/>
  <c r="B41" i="47"/>
  <c r="B47" i="36"/>
  <c r="B80" i="3"/>
  <c r="B119" i="115"/>
  <c r="B93" i="55"/>
  <c r="B42" i="42"/>
  <c r="C58" i="56"/>
  <c r="C57" i="56"/>
  <c r="B56" i="24"/>
  <c r="B38" i="38"/>
  <c r="B60" i="22"/>
  <c r="B36" i="37"/>
  <c r="B52" i="13"/>
  <c r="B121" i="110"/>
  <c r="C66" i="17"/>
  <c r="B40" i="53"/>
  <c r="B85" i="89"/>
  <c r="B39" i="39"/>
  <c r="B76" i="3"/>
  <c r="B57" i="49"/>
  <c r="C48" i="59"/>
  <c r="B57" i="24"/>
  <c r="B66" i="22"/>
  <c r="B45" i="41"/>
  <c r="B37" i="47"/>
  <c r="B45" i="38"/>
  <c r="B44" i="39"/>
  <c r="B65" i="5"/>
  <c r="C79" i="17"/>
  <c r="C43" i="59"/>
  <c r="B64" i="22"/>
  <c r="B42" i="37"/>
  <c r="B82" i="89"/>
  <c r="B48" i="12"/>
  <c r="B61" i="24"/>
  <c r="B80" i="97"/>
  <c r="B83" i="89"/>
  <c r="C73" i="17"/>
  <c r="B73" i="15"/>
  <c r="B81" i="89"/>
  <c r="C99" i="11"/>
  <c r="C50" i="59"/>
  <c r="B43" i="38"/>
  <c r="B47" i="8"/>
  <c r="B48" i="36"/>
  <c r="B44" i="41"/>
  <c r="B58" i="5"/>
  <c r="B82" i="15"/>
  <c r="B55" i="49"/>
  <c r="B53" i="13"/>
  <c r="B32" i="53"/>
  <c r="B65" i="22"/>
  <c r="C95" i="11"/>
  <c r="B49" i="43"/>
  <c r="B51" i="49"/>
  <c r="B35" i="47"/>
  <c r="B33" i="47"/>
  <c r="B47" i="38"/>
  <c r="B54" i="12"/>
  <c r="B64" i="5"/>
  <c r="B52" i="49"/>
  <c r="B59" i="5"/>
  <c r="B39" i="47"/>
  <c r="C51" i="59"/>
  <c r="B43" i="36"/>
  <c r="B44" i="40"/>
  <c r="B56" i="13"/>
  <c r="B51" i="12"/>
  <c r="B34" i="47"/>
  <c r="B46" i="42"/>
  <c r="B45" i="42"/>
  <c r="B50" i="8"/>
  <c r="B48" i="43"/>
  <c r="B41" i="46"/>
  <c r="B39" i="40"/>
  <c r="B42" i="41"/>
  <c r="C46" i="59"/>
  <c r="B97" i="55"/>
  <c r="B62" i="5"/>
  <c r="B114" i="115"/>
  <c r="C59" i="56"/>
  <c r="B38" i="53"/>
  <c r="B59" i="24"/>
  <c r="B42" i="38"/>
  <c r="B41" i="40"/>
  <c r="B53" i="49"/>
  <c r="B39" i="46"/>
  <c r="B81" i="97"/>
  <c r="C101" i="11"/>
  <c r="B42" i="39"/>
  <c r="B79" i="15"/>
  <c r="B45" i="39"/>
  <c r="B61" i="5"/>
  <c r="B49" i="8"/>
  <c r="B37" i="53"/>
  <c r="B80" i="14"/>
  <c r="C47" i="59"/>
  <c r="B33" i="53"/>
  <c r="B83" i="57"/>
  <c r="B42" i="46"/>
  <c r="C77" i="17"/>
  <c r="B36" i="47"/>
  <c r="B40" i="46"/>
  <c r="B38" i="46"/>
  <c r="B41" i="37"/>
  <c r="B43" i="43"/>
  <c r="C76" i="17"/>
  <c r="B80" i="57"/>
  <c r="B40" i="39"/>
  <c r="B77" i="15"/>
  <c r="B42" i="43"/>
  <c r="B44" i="43"/>
  <c r="B37" i="37"/>
  <c r="B41" i="38"/>
  <c r="B46" i="8"/>
  <c r="B79" i="89"/>
  <c r="B75" i="15"/>
  <c r="B58" i="24"/>
  <c r="B35" i="46"/>
  <c r="B39" i="38"/>
  <c r="B46" i="43"/>
  <c r="B41" i="42"/>
  <c r="B63" i="5"/>
  <c r="C56" i="56"/>
  <c r="B77" i="57"/>
  <c r="B42" i="40"/>
  <c r="B79" i="14"/>
  <c r="B85" i="14"/>
  <c r="B117" i="115"/>
  <c r="B46" i="38"/>
  <c r="B41" i="39"/>
  <c r="B60" i="24"/>
  <c r="B38" i="42"/>
  <c r="B86" i="89"/>
  <c r="B95" i="55"/>
  <c r="C74" i="17"/>
  <c r="B81" i="14"/>
  <c r="B41" i="43"/>
  <c r="B81" i="57"/>
  <c r="B46" i="36"/>
  <c r="B79" i="57"/>
  <c r="B47" i="40"/>
  <c r="B39" i="41"/>
  <c r="C97" i="11"/>
  <c r="B44" i="36"/>
  <c r="B80" i="89"/>
  <c r="B36" i="46"/>
  <c r="B50" i="12"/>
  <c r="B47" i="42"/>
  <c r="B45" i="40"/>
  <c r="C50" i="56"/>
  <c r="B40" i="41"/>
  <c r="C96" i="11"/>
  <c r="B49" i="49"/>
  <c r="B82" i="57"/>
  <c r="B76" i="15"/>
  <c r="B80" i="15"/>
  <c r="B46" i="39"/>
  <c r="B52" i="12"/>
  <c r="B53" i="12"/>
  <c r="B90" i="55"/>
  <c r="B127" i="110"/>
  <c r="B47" i="43"/>
  <c r="B38" i="37"/>
  <c r="B48" i="8"/>
  <c r="B35" i="37"/>
  <c r="B99" i="55"/>
  <c r="B43" i="39"/>
  <c r="B84" i="97"/>
  <c r="B63" i="22"/>
  <c r="B41" i="36"/>
  <c r="B86" i="97"/>
  <c r="B83" i="14"/>
  <c r="B83" i="97"/>
  <c r="J157" i="72"/>
  <c r="L157" i="72" s="1"/>
  <c r="F159" i="72"/>
  <c r="J159" i="72" s="1"/>
  <c r="L159" i="72" s="1"/>
  <c r="J157" i="90"/>
  <c r="L157" i="90" s="1"/>
  <c r="F159" i="90"/>
  <c r="J159" i="90" s="1"/>
  <c r="L159" i="90" s="1"/>
  <c r="E40" i="15"/>
  <c r="D41" i="15"/>
  <c r="E39" i="14"/>
  <c r="D40" i="14"/>
  <c r="F255" i="68" l="1"/>
  <c r="T253" i="68"/>
  <c r="J250" i="90"/>
  <c r="L250" i="90" s="1"/>
  <c r="F252" i="90"/>
  <c r="F254" i="90" s="1"/>
  <c r="C41" i="11"/>
  <c r="D40" i="1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2" i="90"/>
  <c r="L82" i="90" s="1"/>
  <c r="F84" i="90"/>
  <c r="J82" i="72"/>
  <c r="L82" i="72" s="1"/>
  <c r="F84" i="72"/>
  <c r="T85" i="68"/>
  <c r="F188" i="68"/>
  <c r="D42" i="15"/>
  <c r="E41" i="15"/>
  <c r="D41" i="14"/>
  <c r="E40" i="14"/>
  <c r="N170" i="90" l="1"/>
  <c r="N237" i="90"/>
  <c r="N170" i="72"/>
  <c r="N238" i="72"/>
  <c r="N48" i="90"/>
  <c r="N73" i="90"/>
  <c r="N74" i="90"/>
  <c r="N75" i="90"/>
  <c r="N76" i="90"/>
  <c r="N228" i="90"/>
  <c r="N30" i="90"/>
  <c r="N48" i="72"/>
  <c r="N73" i="72"/>
  <c r="N74" i="72"/>
  <c r="N75" i="72"/>
  <c r="N76" i="72"/>
  <c r="N229" i="72"/>
  <c r="N30" i="72"/>
  <c r="D41" i="11"/>
  <c r="C42" i="11"/>
  <c r="D42" i="11" s="1"/>
  <c r="S25" i="60"/>
  <c r="S21" i="61"/>
  <c r="N210" i="90"/>
  <c r="N147" i="90"/>
  <c r="N105" i="90"/>
  <c r="N62" i="90"/>
  <c r="N13" i="90"/>
  <c r="N214" i="90"/>
  <c r="N152" i="90"/>
  <c r="N125" i="90"/>
  <c r="N93" i="90"/>
  <c r="N51" i="90"/>
  <c r="N16" i="90"/>
  <c r="N208" i="90"/>
  <c r="N149" i="90"/>
  <c r="N107" i="90"/>
  <c r="N45" i="90"/>
  <c r="N233" i="90"/>
  <c r="N167" i="90"/>
  <c r="N127" i="90"/>
  <c r="N91" i="90"/>
  <c r="N49" i="90"/>
  <c r="N247" i="90"/>
  <c r="N206" i="90"/>
  <c r="N162" i="90"/>
  <c r="N119" i="90"/>
  <c r="N72" i="90"/>
  <c r="N43" i="90"/>
  <c r="N242" i="90"/>
  <c r="N194" i="90"/>
  <c r="N138" i="90"/>
  <c r="N89" i="90"/>
  <c r="N46" i="90"/>
  <c r="N238" i="90"/>
  <c r="N200" i="90"/>
  <c r="N136" i="90"/>
  <c r="N108" i="90"/>
  <c r="N53" i="90"/>
  <c r="N19" i="90"/>
  <c r="N153" i="90"/>
  <c r="N225" i="90"/>
  <c r="N55" i="90"/>
  <c r="N15" i="90"/>
  <c r="N33" i="90"/>
  <c r="N243" i="90"/>
  <c r="N195" i="90"/>
  <c r="N139" i="90"/>
  <c r="N99" i="90"/>
  <c r="N47" i="90"/>
  <c r="N246" i="90"/>
  <c r="N205" i="90"/>
  <c r="N144" i="90"/>
  <c r="N120" i="90"/>
  <c r="N71" i="90"/>
  <c r="N41" i="90"/>
  <c r="N239" i="90"/>
  <c r="N201" i="90"/>
  <c r="N137" i="90"/>
  <c r="N88" i="90"/>
  <c r="N28" i="90"/>
  <c r="N224" i="90"/>
  <c r="N154" i="90"/>
  <c r="N114" i="90"/>
  <c r="N69" i="90"/>
  <c r="N32" i="90"/>
  <c r="N236" i="90"/>
  <c r="N199" i="90"/>
  <c r="N151" i="90"/>
  <c r="N117" i="90"/>
  <c r="N66" i="90"/>
  <c r="N35" i="90"/>
  <c r="N231" i="90"/>
  <c r="N165" i="90"/>
  <c r="N129" i="90"/>
  <c r="J84" i="90"/>
  <c r="L84" i="90" s="1"/>
  <c r="N29" i="90"/>
  <c r="N229" i="90"/>
  <c r="N192" i="90"/>
  <c r="N123" i="90"/>
  <c r="N87" i="90"/>
  <c r="N44" i="90"/>
  <c r="N245" i="90"/>
  <c r="N92" i="90"/>
  <c r="N212" i="90"/>
  <c r="N70" i="90"/>
  <c r="N101" i="90"/>
  <c r="N234" i="90"/>
  <c r="N232" i="90"/>
  <c r="N166" i="90"/>
  <c r="N128" i="90"/>
  <c r="N90" i="90"/>
  <c r="N31" i="90"/>
  <c r="N235" i="90"/>
  <c r="N198" i="90"/>
  <c r="N142" i="90"/>
  <c r="N116" i="90"/>
  <c r="N65" i="90"/>
  <c r="N34" i="90"/>
  <c r="N230" i="90"/>
  <c r="N193" i="90"/>
  <c r="N122" i="90"/>
  <c r="N78" i="90"/>
  <c r="N20" i="90"/>
  <c r="N211" i="90"/>
  <c r="N146" i="90"/>
  <c r="N104" i="90"/>
  <c r="N63" i="90"/>
  <c r="N23" i="90"/>
  <c r="N227" i="90"/>
  <c r="N191" i="90"/>
  <c r="N143" i="90"/>
  <c r="N109" i="90"/>
  <c r="N57" i="90"/>
  <c r="N26" i="90"/>
  <c r="N222" i="90"/>
  <c r="N156" i="90"/>
  <c r="N112" i="90"/>
  <c r="N79" i="90"/>
  <c r="N21" i="90"/>
  <c r="N216" i="90"/>
  <c r="N163" i="90"/>
  <c r="N118" i="90"/>
  <c r="N77" i="90"/>
  <c r="N36" i="90"/>
  <c r="N115" i="90"/>
  <c r="N40" i="90"/>
  <c r="N145" i="90"/>
  <c r="N141" i="90"/>
  <c r="N168" i="90"/>
  <c r="N126" i="90"/>
  <c r="N223" i="90"/>
  <c r="N155" i="90"/>
  <c r="N113" i="90"/>
  <c r="N80" i="90"/>
  <c r="N22" i="90"/>
  <c r="N226" i="90"/>
  <c r="N169" i="90"/>
  <c r="N130" i="90"/>
  <c r="N102" i="90"/>
  <c r="N56" i="90"/>
  <c r="N25" i="90"/>
  <c r="N221" i="90"/>
  <c r="N164" i="90"/>
  <c r="N111" i="90"/>
  <c r="N59" i="90"/>
  <c r="N244" i="90"/>
  <c r="N196" i="90"/>
  <c r="N140" i="90"/>
  <c r="N100" i="90"/>
  <c r="N54" i="90"/>
  <c r="N14" i="90"/>
  <c r="N215" i="90"/>
  <c r="N171" i="90"/>
  <c r="N124" i="90"/>
  <c r="N103" i="90"/>
  <c r="N52" i="90"/>
  <c r="N17" i="90"/>
  <c r="N209" i="90"/>
  <c r="N148" i="90"/>
  <c r="N106" i="90"/>
  <c r="N61" i="90"/>
  <c r="N248" i="90"/>
  <c r="N207" i="90"/>
  <c r="N150" i="90"/>
  <c r="N110" i="90"/>
  <c r="N58" i="90"/>
  <c r="N27" i="90"/>
  <c r="N197" i="90"/>
  <c r="N24" i="90"/>
  <c r="N121" i="90"/>
  <c r="N131" i="90"/>
  <c r="N50" i="90"/>
  <c r="N64" i="90"/>
  <c r="F187" i="90"/>
  <c r="S17" i="61"/>
  <c r="S21" i="60"/>
  <c r="S32" i="60"/>
  <c r="S28" i="61"/>
  <c r="S22" i="61"/>
  <c r="S26" i="60"/>
  <c r="S30" i="60"/>
  <c r="S26" i="61"/>
  <c r="S20" i="61"/>
  <c r="S24" i="60"/>
  <c r="S15" i="61"/>
  <c r="S19" i="60"/>
  <c r="S16" i="61"/>
  <c r="S20" i="60"/>
  <c r="S24" i="61"/>
  <c r="S28" i="60"/>
  <c r="S30" i="61"/>
  <c r="S34" i="60"/>
  <c r="N211" i="72"/>
  <c r="N147" i="72"/>
  <c r="N102" i="72"/>
  <c r="N56" i="72"/>
  <c r="N25" i="72"/>
  <c r="N227" i="72"/>
  <c r="N169" i="72"/>
  <c r="N130" i="72"/>
  <c r="N88" i="72"/>
  <c r="N28" i="72"/>
  <c r="N222" i="72"/>
  <c r="N164" i="72"/>
  <c r="N122" i="72"/>
  <c r="N91" i="72"/>
  <c r="N49" i="72"/>
  <c r="N245" i="72"/>
  <c r="N197" i="72"/>
  <c r="N140" i="72"/>
  <c r="N103" i="72"/>
  <c r="N52" i="72"/>
  <c r="N17" i="72"/>
  <c r="N216" i="72"/>
  <c r="N171" i="72"/>
  <c r="N129" i="72"/>
  <c r="N89" i="72"/>
  <c r="N46" i="72"/>
  <c r="N232" i="72"/>
  <c r="N165" i="72"/>
  <c r="N126" i="72"/>
  <c r="N92" i="72"/>
  <c r="N50" i="72"/>
  <c r="N15" i="72"/>
  <c r="N213" i="72"/>
  <c r="N145" i="72"/>
  <c r="N110" i="72"/>
  <c r="N58" i="72"/>
  <c r="N27" i="72"/>
  <c r="N230" i="72"/>
  <c r="N193" i="72"/>
  <c r="N128" i="72"/>
  <c r="N99" i="72"/>
  <c r="N47" i="72"/>
  <c r="N244" i="72"/>
  <c r="N196" i="72"/>
  <c r="N139" i="72"/>
  <c r="N93" i="72"/>
  <c r="N51" i="72"/>
  <c r="N16" i="72"/>
  <c r="N215" i="72"/>
  <c r="N152" i="72"/>
  <c r="N125" i="72"/>
  <c r="N78" i="72"/>
  <c r="N20" i="72"/>
  <c r="N209" i="72"/>
  <c r="N149" i="72"/>
  <c r="N114" i="72"/>
  <c r="N69" i="72"/>
  <c r="N32" i="72"/>
  <c r="N234" i="72"/>
  <c r="N167" i="72"/>
  <c r="N119" i="72"/>
  <c r="N72" i="72"/>
  <c r="N43" i="72"/>
  <c r="N248" i="72"/>
  <c r="N207" i="72"/>
  <c r="N162" i="72"/>
  <c r="N124" i="72"/>
  <c r="J84" i="72"/>
  <c r="L84" i="72" s="1"/>
  <c r="N29" i="72"/>
  <c r="N223" i="72"/>
  <c r="N156" i="72"/>
  <c r="N121" i="72"/>
  <c r="N70" i="72"/>
  <c r="N40" i="72"/>
  <c r="N246" i="72"/>
  <c r="N198" i="72"/>
  <c r="N141" i="72"/>
  <c r="N108" i="72"/>
  <c r="N53" i="72"/>
  <c r="N19" i="72"/>
  <c r="N217" i="72"/>
  <c r="N163" i="72"/>
  <c r="N123" i="72"/>
  <c r="N90" i="72"/>
  <c r="N31" i="72"/>
  <c r="N233" i="72"/>
  <c r="N166" i="72"/>
  <c r="N120" i="72"/>
  <c r="N71" i="72"/>
  <c r="N41" i="72"/>
  <c r="N247" i="72"/>
  <c r="N206" i="72"/>
  <c r="N144" i="72"/>
  <c r="N111" i="72"/>
  <c r="N59" i="72"/>
  <c r="N240" i="72"/>
  <c r="N202" i="72"/>
  <c r="N137" i="72"/>
  <c r="N104" i="72"/>
  <c r="N63" i="72"/>
  <c r="N23" i="72"/>
  <c r="N225" i="72"/>
  <c r="N154" i="72"/>
  <c r="N117" i="72"/>
  <c r="N66" i="72"/>
  <c r="N35" i="72"/>
  <c r="N237" i="72"/>
  <c r="N200" i="72"/>
  <c r="N151" i="72"/>
  <c r="N112" i="72"/>
  <c r="N79" i="72"/>
  <c r="N21" i="72"/>
  <c r="N210" i="72"/>
  <c r="N148" i="72"/>
  <c r="N115" i="72"/>
  <c r="N64" i="72"/>
  <c r="N33" i="72"/>
  <c r="N235" i="72"/>
  <c r="N168" i="72"/>
  <c r="N131" i="72"/>
  <c r="N87" i="72"/>
  <c r="N44" i="72"/>
  <c r="N249" i="72"/>
  <c r="N208" i="72"/>
  <c r="N150" i="72"/>
  <c r="N113" i="72"/>
  <c r="N80" i="72"/>
  <c r="N22" i="72"/>
  <c r="N224" i="72"/>
  <c r="N155" i="72"/>
  <c r="N116" i="72"/>
  <c r="N65" i="72"/>
  <c r="N34" i="72"/>
  <c r="N236" i="72"/>
  <c r="N199" i="72"/>
  <c r="N142" i="72"/>
  <c r="N107" i="72"/>
  <c r="N45" i="72"/>
  <c r="N231" i="72"/>
  <c r="N194" i="72"/>
  <c r="N127" i="72"/>
  <c r="N100" i="72"/>
  <c r="N54" i="72"/>
  <c r="N14" i="72"/>
  <c r="N212" i="72"/>
  <c r="N146" i="72"/>
  <c r="N109" i="72"/>
  <c r="N57" i="72"/>
  <c r="N26" i="72"/>
  <c r="N228" i="72"/>
  <c r="N192" i="72"/>
  <c r="N143" i="72"/>
  <c r="N106" i="72"/>
  <c r="N61" i="72"/>
  <c r="N243" i="72"/>
  <c r="N195" i="72"/>
  <c r="N138" i="72"/>
  <c r="N101" i="72"/>
  <c r="N55" i="72"/>
  <c r="N24" i="72"/>
  <c r="N226" i="72"/>
  <c r="N153" i="72"/>
  <c r="N118" i="72"/>
  <c r="N77" i="72"/>
  <c r="N36" i="72"/>
  <c r="N239" i="72"/>
  <c r="N201" i="72"/>
  <c r="N136" i="72"/>
  <c r="N105" i="72"/>
  <c r="N62" i="72"/>
  <c r="N13" i="72"/>
  <c r="F188" i="72"/>
  <c r="S18" i="61"/>
  <c r="S22" i="60"/>
  <c r="S14" i="61"/>
  <c r="S18" i="60"/>
  <c r="S29" i="60"/>
  <c r="S25" i="61"/>
  <c r="S27" i="60"/>
  <c r="S23" i="61"/>
  <c r="S16" i="60"/>
  <c r="I35" i="60"/>
  <c r="M88" i="121" s="1"/>
  <c r="S23" i="60"/>
  <c r="S19" i="61"/>
  <c r="S31" i="60"/>
  <c r="S27" i="61"/>
  <c r="S29" i="61"/>
  <c r="S33" i="60"/>
  <c r="E42" i="15"/>
  <c r="D43" i="15"/>
  <c r="E41" i="14"/>
  <c r="D42" i="14"/>
  <c r="I56" i="60" l="1"/>
  <c r="I58" i="60" s="1"/>
  <c r="K58" i="60" s="1"/>
  <c r="S35" i="60"/>
  <c r="S31" i="61"/>
  <c r="S32" i="61" s="1"/>
  <c r="L4" i="72"/>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F86" authorId="1" shapeId="0" xr:uid="{00000000-0006-0000-5200-000002000000}">
      <text>
        <r>
          <rPr>
            <sz val="9"/>
            <color indexed="81"/>
            <rFont val="Tahoma"/>
            <family val="2"/>
          </rPr>
          <t xml:space="preserve">New F/S element starting FY 2013 w/ implementation of GASB 63
</t>
        </r>
      </text>
    </comment>
    <comment ref="B87" authorId="1"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1"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2" authorId="1"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3" authorId="1"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7" authorId="1"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28" authorId="1"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1"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1" shapeId="0" xr:uid="{00000000-0006-0000-5200-00000B000000}">
      <text>
        <r>
          <rPr>
            <sz val="8"/>
            <color indexed="81"/>
            <rFont val="Tahoma"/>
            <family val="2"/>
          </rPr>
          <t>Starting FY15 with implementation of GASB68 for NCAS acct 229150 Net pension liability-noncurrent</t>
        </r>
      </text>
    </comment>
    <comment ref="F161" authorId="1" shapeId="0" xr:uid="{00000000-0006-0000-5200-00000C000000}">
      <text>
        <r>
          <rPr>
            <sz val="9"/>
            <color indexed="81"/>
            <rFont val="Tahoma"/>
            <family val="2"/>
          </rPr>
          <t xml:space="preserve">New F/S element starting FY 2013 w/ implementation of GASB 63
</t>
        </r>
      </text>
    </comment>
    <comment ref="B162" authorId="1"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63" authorId="1" shapeId="0" xr:uid="{00000000-0006-0000-5200-00000E000000}">
      <text>
        <r>
          <rPr>
            <sz val="7"/>
            <color indexed="81"/>
            <rFont val="Tahoma"/>
            <family val="2"/>
          </rPr>
          <t>For FY13, new NCAS acct 229202 added for implementation of GASB60 Service Concession Arrangements</t>
        </r>
      </text>
    </comment>
    <comment ref="B164" authorId="1"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1"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66" authorId="1"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1"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1"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05" authorId="1" shapeId="0" xr:uid="{00000000-0006-0000-5200-000014000000}">
      <text>
        <r>
          <rPr>
            <sz val="9"/>
            <color indexed="81"/>
            <rFont val="Tahoma"/>
            <family val="2"/>
          </rPr>
          <t xml:space="preserve">FY15-Includes new acct for GASB 68 - NCAS acct 531595 Pension expense .
</t>
        </r>
      </text>
    </comment>
    <comment ref="B221"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2"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3"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2"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B222"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3"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D7" authorId="0" shapeId="0" xr:uid="{00000000-0006-0000-5B00-000001000000}">
      <text>
        <r>
          <rPr>
            <sz val="8"/>
            <color indexed="81"/>
            <rFont val="Tahoma"/>
            <family val="2"/>
          </rPr>
          <t>Complete the Index sheet first. This cell uses the agency number from the Index Sheet to populate the GASB fund number from the NetAssets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Helen K. Vozzo</author>
    <author>Sisson, Virginia P</author>
    <author>Debbie Dryer</author>
    <author>tc={A615783C-1191-4045-98F6-5DA93EB3548F}</author>
    <author>tc={E88BAAE7-59B6-49B2-BFA5-5FE8C4DBA888}</author>
    <author>tc={0665821F-2F78-4D93-BB0F-0CF65F131A8B}</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44"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2"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4"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0" authorId="0" shapeId="0" xr:uid="{00000000-0006-0000-4A00-000007000000}">
      <text>
        <r>
          <rPr>
            <sz val="8"/>
            <color indexed="81"/>
            <rFont val="Tahoma"/>
            <family val="2"/>
          </rPr>
          <t xml:space="preserve">Complete the 201 worksheet first and the totals will populate here.
</t>
        </r>
      </text>
    </comment>
    <comment ref="B66" authorId="2" shapeId="0" xr:uid="{00000000-0006-0000-4A00-000008000000}">
      <text>
        <r>
          <rPr>
            <sz val="9"/>
            <color indexed="81"/>
            <rFont val="Tahoma"/>
            <family val="2"/>
          </rPr>
          <t>Added to template in 2012</t>
        </r>
      </text>
    </comment>
    <comment ref="B68" authorId="0" shapeId="0" xr:uid="{00000000-0006-0000-4A00-000009000000}">
      <text>
        <r>
          <rPr>
            <sz val="8"/>
            <color indexed="81"/>
            <rFont val="Tahoma"/>
            <family val="2"/>
          </rPr>
          <t xml:space="preserve">Complete ws 201 first and totals will populate from 201
</t>
        </r>
      </text>
    </comment>
    <comment ref="B80" authorId="0" shapeId="0" xr:uid="{00000000-0006-0000-4A00-00000A000000}">
      <text>
        <r>
          <rPr>
            <sz val="8"/>
            <color indexed="81"/>
            <rFont val="Tahoma"/>
            <family val="2"/>
          </rPr>
          <t>Removed amortization in 2012</t>
        </r>
      </text>
    </comment>
    <comment ref="D86" authorId="2" shapeId="0" xr:uid="{00000000-0006-0000-4A00-00000B000000}">
      <text>
        <r>
          <rPr>
            <sz val="9"/>
            <color indexed="81"/>
            <rFont val="Tahoma"/>
            <family val="2"/>
          </rPr>
          <t xml:space="preserve">New F/S element starting FY 2013 w/ implementation of GASB 63
</t>
        </r>
      </text>
    </comment>
    <comment ref="B87" authorId="2"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2"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89" authorId="3" shapeId="0" xr:uid="{2A661E8B-9782-4660-AA0E-0252D714E2BF}">
      <text>
        <r>
          <rPr>
            <sz val="9"/>
            <color indexed="81"/>
            <rFont val="Tahoma"/>
            <family val="2"/>
          </rPr>
          <t>New caption for 2019 - GASB 83</t>
        </r>
      </text>
    </comment>
    <comment ref="B90" authorId="2" shapeId="0" xr:uid="{00000000-0006-0000-4A00-00000E000000}">
      <text>
        <r>
          <rPr>
            <sz val="8"/>
            <color indexed="81"/>
            <rFont val="Tahoma"/>
            <family val="2"/>
          </rPr>
          <t xml:space="preserve">Added in FY2015 with the implementation of GASB 68 - for new NCAS Acct 129710 Deferred outflows for pensions. </t>
        </r>
      </text>
    </comment>
    <comment ref="B92" authorId="2"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3" authorId="2"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98"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99"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4"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5"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1" authorId="1" shapeId="0" xr:uid="{00000000-0006-0000-4A00-000015000000}">
      <text>
        <r>
          <rPr>
            <b/>
            <sz val="9"/>
            <color indexed="81"/>
            <rFont val="Tahoma"/>
            <family val="2"/>
          </rPr>
          <t>Complete w/s 616 first and total will populate here on 905.</t>
        </r>
      </text>
    </comment>
    <comment ref="B115"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17" authorId="0" shapeId="0" xr:uid="{00000000-0006-0000-4A00-000017000000}">
      <text>
        <r>
          <rPr>
            <sz val="8"/>
            <color indexed="81"/>
            <rFont val="Tahoma"/>
            <family val="2"/>
          </rPr>
          <t>SEAA uses this for Due to IRS Sec 529 (college savings) plan participants</t>
        </r>
      </text>
    </comment>
    <comment ref="B125" authorId="0" shapeId="0" xr:uid="{00000000-0006-0000-4A00-000018000000}">
      <text>
        <r>
          <rPr>
            <sz val="8"/>
            <color indexed="81"/>
            <rFont val="Tahoma"/>
            <family val="2"/>
          </rPr>
          <t>Caption added in 2009 - see w/s 322</t>
        </r>
      </text>
    </comment>
    <comment ref="B126" authorId="3" shapeId="0" xr:uid="{AA5FDBE1-56C3-4838-8705-2BDD85B8BCCA}">
      <text>
        <r>
          <rPr>
            <sz val="9"/>
            <color indexed="81"/>
            <rFont val="Tahoma"/>
            <family val="2"/>
          </rPr>
          <t>New caption for 2019 - GASB 83</t>
        </r>
      </text>
    </comment>
    <comment ref="B127" authorId="2"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28" authorId="2"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1" authorId="0" shapeId="0" xr:uid="{00000000-0006-0000-4A00-00001B000000}">
      <text>
        <r>
          <rPr>
            <sz val="8"/>
            <color indexed="81"/>
            <rFont val="Tahoma"/>
            <family val="2"/>
          </rPr>
          <t>Added to template in 2011.  This is a NOT a caption on the CAFR 11p; however, it is on the 310 worksheet.</t>
        </r>
      </text>
    </comment>
    <comment ref="D135"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6"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39" authorId="0" shapeId="0" xr:uid="{00000000-0006-0000-4A00-00001E000000}">
      <text>
        <r>
          <rPr>
            <sz val="8"/>
            <color indexed="81"/>
            <rFont val="Tahoma"/>
            <family val="2"/>
          </rPr>
          <t>Complete w/s 535 first</t>
        </r>
      </text>
    </comment>
    <comment ref="B142" authorId="0" shapeId="0" xr:uid="{00000000-0006-0000-4A00-00001F000000}">
      <text>
        <r>
          <rPr>
            <sz val="8"/>
            <color indexed="81"/>
            <rFont val="Tahoma"/>
            <family val="2"/>
          </rPr>
          <t>SEAA uses this for Due to IRS Sec 529 (college savings) plan participants</t>
        </r>
      </text>
    </comment>
    <comment ref="B143" authorId="0" shapeId="0" xr:uid="{00000000-0006-0000-4A00-000020000000}">
      <text>
        <r>
          <rPr>
            <sz val="8"/>
            <color indexed="81"/>
            <rFont val="Tahoma"/>
            <family val="2"/>
          </rPr>
          <t>New caption for implementation of GASB 53 Derivatives for 2010</t>
        </r>
      </text>
    </comment>
    <comment ref="B146" authorId="0" shapeId="0" xr:uid="{00000000-0006-0000-4A00-000021000000}">
      <text>
        <r>
          <rPr>
            <sz val="8"/>
            <color indexed="81"/>
            <rFont val="Tahoma"/>
            <family val="2"/>
          </rPr>
          <t xml:space="preserve">Not new, but updating title for 2011 to be consistent with NCAS CAFR 11p caption
</t>
        </r>
      </text>
    </comment>
    <comment ref="B148" authorId="2" shapeId="0" xr:uid="{00000000-0006-0000-4A00-000022000000}">
      <text>
        <r>
          <rPr>
            <b/>
            <sz val="9"/>
            <color indexed="81"/>
            <rFont val="Tahoma"/>
            <family val="2"/>
          </rPr>
          <t>FY 2014</t>
        </r>
        <r>
          <rPr>
            <sz val="9"/>
            <color indexed="81"/>
            <rFont val="Tahoma"/>
            <family val="2"/>
          </rPr>
          <t>added workers comp line on 905-to feed from ws 310</t>
        </r>
      </text>
    </comment>
    <comment ref="B149"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0" authorId="0" shapeId="0" xr:uid="{00000000-0006-0000-4A00-000024000000}">
      <text>
        <r>
          <rPr>
            <sz val="8"/>
            <color indexed="81"/>
            <rFont val="Tahoma"/>
            <family val="2"/>
          </rPr>
          <t xml:space="preserve">New caption for 2009 - see w/s322
</t>
        </r>
      </text>
    </comment>
    <comment ref="B151" authorId="3" shapeId="0" xr:uid="{DA25F59C-7F39-4E63-853D-B530C0019156}">
      <text>
        <r>
          <rPr>
            <sz val="9"/>
            <color indexed="81"/>
            <rFont val="Tahoma"/>
            <family val="2"/>
          </rPr>
          <t>New Captionfor 2019 - GASB 83</t>
        </r>
      </text>
    </comment>
    <comment ref="B152" authorId="2"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2" shapeId="0" xr:uid="{00000000-0006-0000-4A00-000026000000}">
      <text>
        <r>
          <rPr>
            <sz val="8"/>
            <color indexed="81"/>
            <rFont val="Tahoma"/>
            <family val="2"/>
          </rPr>
          <t>Starting FY15 with implementation of GASB68 for NCAS acct 229150 Net pension liability-noncurrent</t>
        </r>
      </text>
    </comment>
    <comment ref="B155" authorId="0" shapeId="0" xr:uid="{00000000-0006-0000-4A00-000027000000}">
      <text>
        <r>
          <rPr>
            <sz val="8"/>
            <color indexed="81"/>
            <rFont val="Tahoma"/>
            <family val="2"/>
          </rPr>
          <t>Adding to template for 2011; this is a caption on NCAS CAFR 11p</t>
        </r>
      </text>
    </comment>
    <comment ref="B156" authorId="0" shapeId="0" xr:uid="{00000000-0006-0000-4A00-000028000000}">
      <text>
        <r>
          <rPr>
            <sz val="8"/>
            <color indexed="81"/>
            <rFont val="Tahoma"/>
            <family val="2"/>
          </rPr>
          <t>Adding to template for 2011; this is a NOT a caption on NCAS CAFR 11p, however it is on worksheet 310.</t>
        </r>
      </text>
    </comment>
    <comment ref="D161" authorId="2" shapeId="0" xr:uid="{00000000-0006-0000-4A00-000029000000}">
      <text>
        <r>
          <rPr>
            <sz val="9"/>
            <color indexed="81"/>
            <rFont val="Tahoma"/>
            <family val="2"/>
          </rPr>
          <t xml:space="preserve">New F/S element starting FY 2013 w/ implementation of GASB 63
</t>
        </r>
      </text>
    </comment>
    <comment ref="B162" authorId="2"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63" authorId="2" shapeId="0" xr:uid="{00000000-0006-0000-4A00-00002B000000}">
      <text>
        <r>
          <rPr>
            <sz val="7"/>
            <color indexed="81"/>
            <rFont val="Tahoma"/>
            <family val="2"/>
          </rPr>
          <t>For FY13, new NCAS acct 229202 added for implementation of GASB60 Service Concession Arrangements</t>
        </r>
      </text>
    </comment>
    <comment ref="B164" authorId="2"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2"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66" authorId="2"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2"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69" authorId="2"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2"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4" authorId="2" shapeId="0" xr:uid="{00000000-0006-0000-4A00-000032000000}">
      <text>
        <r>
          <rPr>
            <sz val="9"/>
            <color indexed="81"/>
            <rFont val="Tahoma"/>
            <family val="2"/>
          </rPr>
          <t xml:space="preserve">For GASB63 effective for FY2013, changed from Net assets to Net position </t>
        </r>
      </text>
    </comment>
    <comment ref="B175" authorId="2"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88" authorId="2" shapeId="0" xr:uid="{00000000-0006-0000-4A00-000034000000}">
      <text>
        <r>
          <rPr>
            <sz val="9"/>
            <color indexed="81"/>
            <rFont val="Tahoma"/>
            <family val="2"/>
          </rPr>
          <t xml:space="preserve">New equation based on GASB63 effective FY2013
</t>
        </r>
      </text>
    </comment>
    <comment ref="B194" authorId="0" shapeId="0" xr:uid="{00000000-0006-0000-4A00-000035000000}">
      <text>
        <r>
          <rPr>
            <sz val="8"/>
            <color indexed="81"/>
            <rFont val="Tahoma"/>
            <family val="2"/>
          </rPr>
          <t xml:space="preserve">added net 2011
</t>
        </r>
      </text>
    </comment>
    <comment ref="B195" authorId="0" shapeId="0" xr:uid="{00000000-0006-0000-4A00-000036000000}">
      <text>
        <r>
          <rPr>
            <sz val="8"/>
            <color indexed="81"/>
            <rFont val="Tahoma"/>
            <family val="2"/>
          </rPr>
          <t>Adding to template for 2011; this is a caption on NCAS CAFR 11p</t>
        </r>
      </text>
    </comment>
    <comment ref="B196" authorId="0" shapeId="0" xr:uid="{00000000-0006-0000-4A00-000037000000}">
      <text>
        <r>
          <rPr>
            <sz val="8"/>
            <color indexed="81"/>
            <rFont val="Tahoma"/>
            <family val="2"/>
          </rPr>
          <t>Adding to template for 2011; this is a caption on NCAS CAFR 11p</t>
        </r>
      </text>
    </comment>
    <comment ref="B197" authorId="0" shapeId="0" xr:uid="{00000000-0006-0000-4A00-000038000000}">
      <text>
        <r>
          <rPr>
            <sz val="8"/>
            <color indexed="81"/>
            <rFont val="Tahoma"/>
            <family val="2"/>
          </rPr>
          <t>Adding to template for 2011; this is a caption on NCAS CAFR 11p</t>
        </r>
      </text>
    </comment>
    <comment ref="B208" authorId="2" shapeId="0" xr:uid="{00000000-0006-0000-4A00-000039000000}">
      <text>
        <r>
          <rPr>
            <sz val="9"/>
            <color indexed="81"/>
            <rFont val="Tahoma"/>
            <family val="2"/>
          </rPr>
          <t xml:space="preserve">FY15-Includes new acct for GASB 68 - NCAS acct 531595 Pension expense .
</t>
        </r>
      </text>
    </comment>
    <comment ref="B209" authorId="4" shapeId="0" xr:uid="{00000000-0006-0000-4A00-00003A000000}">
      <text>
        <r>
          <rPr>
            <sz val="9"/>
            <color indexed="81"/>
            <rFont val="Tahoma"/>
            <family val="2"/>
          </rPr>
          <t xml:space="preserve">Beginning FY2013, includes capital outlay/noncap equip
</t>
        </r>
      </text>
    </comment>
    <comment ref="B213" authorId="2" shapeId="0" xr:uid="{00000000-0006-0000-4A00-00003B000000}">
      <text>
        <r>
          <rPr>
            <sz val="8"/>
            <color indexed="81"/>
            <rFont val="Tahoma"/>
            <family val="2"/>
          </rPr>
          <t>FY2012 removed amortization from caption title</t>
        </r>
      </text>
    </comment>
    <comment ref="B215" authorId="0" shapeId="0" xr:uid="{00000000-0006-0000-4A00-00003C000000}">
      <text>
        <r>
          <rPr>
            <sz val="8"/>
            <color indexed="81"/>
            <rFont val="Tahoma"/>
            <family val="2"/>
          </rPr>
          <t xml:space="preserve">Added to template 2011; this is a caption on the NCAS operating statement
</t>
        </r>
      </text>
    </comment>
    <comment ref="B216"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4" authorId="0" shapeId="0" xr:uid="{00000000-0006-0000-4A00-00003E000000}">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27" authorId="5"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
      </text>
    </comment>
    <comment ref="B229" authorId="6"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1" authorId="7"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9" authorId="0" shapeId="0" xr:uid="{00000000-0006-0000-4A00-00003F000000}">
      <text>
        <r>
          <rPr>
            <sz val="8"/>
            <color indexed="81"/>
            <rFont val="Tahoma"/>
            <family val="2"/>
          </rPr>
          <t>Added to template 2011; this is a caption on the NCAS operating statement</t>
        </r>
      </text>
    </comment>
    <comment ref="B245"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6" authorId="0" shapeId="0" xr:uid="{00000000-0006-0000-4A00-000041000000}">
      <text>
        <r>
          <rPr>
            <sz val="8"/>
            <color indexed="81"/>
            <rFont val="Tahoma"/>
            <family val="2"/>
          </rPr>
          <t>Capital grants include federal, state and local capital grants, including the ARRA energy grants from the NC Dept of Commerce.</t>
        </r>
      </text>
    </comment>
    <comment ref="B248" authorId="0" shapeId="0" xr:uid="{00000000-0006-0000-4A00-000042000000}">
      <text>
        <r>
          <rPr>
            <sz val="8"/>
            <color indexed="81"/>
            <rFont val="Tahoma"/>
            <family val="2"/>
          </rPr>
          <t>Added to template 2011; this is a caption on the NCAS operating statement</t>
        </r>
      </text>
    </comment>
    <comment ref="B249" authorId="0" shapeId="0" xr:uid="{00000000-0006-0000-4A00-000043000000}">
      <text>
        <r>
          <rPr>
            <sz val="8"/>
            <color indexed="81"/>
            <rFont val="Tahoma"/>
            <family val="2"/>
          </rPr>
          <t>Added to template 2011; this is a caption on the NCAS operating statement. Complete ws 565 first.</t>
        </r>
      </text>
    </comment>
    <comment ref="F253"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54" authorId="2" shapeId="0" xr:uid="{00000000-0006-0000-4A00-000045000000}">
      <text>
        <r>
          <rPr>
            <sz val="9"/>
            <color indexed="81"/>
            <rFont val="Tahoma"/>
            <family val="2"/>
          </rPr>
          <t>Tie to ws 430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Administrator</author>
    <author>Debbie Dryer</author>
    <author>tc={C46C3533-8015-459F-8AF8-C93EA45BF696}</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45"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1"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5"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6" authorId="0" shapeId="0" xr:uid="{00000000-0006-0000-4C00-00000A000000}">
      <text>
        <r>
          <rPr>
            <sz val="8"/>
            <color indexed="81"/>
            <rFont val="Tahoma"/>
            <family val="2"/>
          </rPr>
          <t>Complete ws 525 first</t>
        </r>
      </text>
    </comment>
    <comment ref="F57" authorId="0" shapeId="0" xr:uid="{00000000-0006-0000-4C00-00000B000000}">
      <text>
        <r>
          <rPr>
            <sz val="8"/>
            <color indexed="81"/>
            <rFont val="Tahoma"/>
            <family val="2"/>
          </rPr>
          <t>Complete ws 515 first</t>
        </r>
      </text>
    </comment>
    <comment ref="B61" authorId="0" shapeId="0" xr:uid="{00000000-0006-0000-4C00-00000C000000}">
      <text>
        <r>
          <rPr>
            <sz val="8"/>
            <color indexed="81"/>
            <rFont val="Tahoma"/>
            <family val="2"/>
          </rPr>
          <t xml:space="preserve">Complete the 201 worksheet first and the totals will populate here.
</t>
        </r>
      </text>
    </comment>
    <comment ref="B69" authorId="0" shapeId="0" xr:uid="{00000000-0006-0000-4C00-00000D000000}">
      <text>
        <r>
          <rPr>
            <sz val="8"/>
            <color indexed="81"/>
            <rFont val="Tahoma"/>
            <family val="2"/>
          </rPr>
          <t xml:space="preserve">Complete worksheet 201 first and totals will populate here.
</t>
        </r>
      </text>
    </comment>
    <comment ref="F81" authorId="0" shapeId="0" xr:uid="{00000000-0006-0000-4C00-00000E000000}">
      <text>
        <r>
          <rPr>
            <sz val="8"/>
            <color indexed="81"/>
            <rFont val="Tahoma"/>
            <family val="2"/>
          </rPr>
          <t xml:space="preserve">Complete ws 210 first
</t>
        </r>
      </text>
    </comment>
    <comment ref="D87" authorId="1" shapeId="0" xr:uid="{00000000-0006-0000-4C00-00000F000000}">
      <text>
        <r>
          <rPr>
            <sz val="9"/>
            <color indexed="81"/>
            <rFont val="Tahoma"/>
            <family val="2"/>
          </rPr>
          <t xml:space="preserve">New F/S element starting FY 2013 w/ implementation of GASB 63
</t>
        </r>
      </text>
    </comment>
    <comment ref="B88" authorId="1"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9" authorId="1"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1" authorId="1" shapeId="0" xr:uid="{00000000-0006-0000-4C00-000012000000}">
      <text>
        <r>
          <rPr>
            <sz val="8"/>
            <color indexed="81"/>
            <rFont val="Tahoma"/>
            <family val="2"/>
          </rPr>
          <t>Added in FY2015 with the implementation of GASB 68 - for new NCAS Acct 129710 Deferred outflows for pensions.</t>
        </r>
      </text>
    </comment>
    <comment ref="B93" authorId="1"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4" authorId="1"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99"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0" authorId="0" shapeId="0" xr:uid="{00000000-0006-0000-4C00-000016000000}">
      <text>
        <r>
          <rPr>
            <sz val="8"/>
            <color indexed="81"/>
            <rFont val="Tahoma"/>
            <family val="2"/>
          </rPr>
          <t xml:space="preserve">For 2011 Accounts payable includes Other payables which had been a separate subcaption in prior years.
</t>
        </r>
      </text>
    </comment>
    <comment ref="B105"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6"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06" authorId="0" shapeId="0" xr:uid="{00000000-0006-0000-4C00-000019000000}">
      <text>
        <r>
          <rPr>
            <sz val="8"/>
            <color indexed="81"/>
            <rFont val="Tahoma"/>
            <family val="2"/>
          </rPr>
          <t>Complete ws 310 Short term debt section first</t>
        </r>
      </text>
    </comment>
    <comment ref="F107" authorId="0" shapeId="0" xr:uid="{00000000-0006-0000-4C00-00001A000000}">
      <text>
        <r>
          <rPr>
            <sz val="8"/>
            <color indexed="81"/>
            <rFont val="Tahoma"/>
            <family val="2"/>
          </rPr>
          <t>Complete ws 310 Short term debt section first</t>
        </r>
      </text>
    </comment>
    <comment ref="F108" authorId="0" shapeId="0" xr:uid="{F86AE7BB-6987-465A-95B8-F7ABB449A360}">
      <text>
        <r>
          <rPr>
            <sz val="8"/>
            <color indexed="81"/>
            <rFont val="Tahoma"/>
            <family val="2"/>
          </rPr>
          <t>Complete ws 310 Short term debt section first</t>
        </r>
      </text>
    </comment>
    <comment ref="F109" authorId="0" shapeId="0" xr:uid="{51E186D8-1727-4300-9BC5-6A917E51DD89}">
      <text>
        <r>
          <rPr>
            <sz val="8"/>
            <color indexed="81"/>
            <rFont val="Tahoma"/>
            <family val="2"/>
          </rPr>
          <t>Complete ws 310 Short term debt section first</t>
        </r>
      </text>
    </comment>
    <comment ref="F110" authorId="0" shapeId="0" xr:uid="{00000000-0006-0000-4C00-00001B000000}">
      <text>
        <r>
          <rPr>
            <sz val="8"/>
            <color indexed="81"/>
            <rFont val="Tahoma"/>
            <family val="2"/>
          </rPr>
          <t>Complete ws 310 Short term debt section first</t>
        </r>
      </text>
    </comment>
    <comment ref="F111" authorId="0" shapeId="0" xr:uid="{00000000-0006-0000-4C00-00001C000000}">
      <text>
        <r>
          <rPr>
            <sz val="8"/>
            <color indexed="81"/>
            <rFont val="Tahoma"/>
            <family val="2"/>
          </rPr>
          <t>Complete ws 530 first</t>
        </r>
      </text>
    </comment>
    <comment ref="F112" authorId="2" shapeId="0" xr:uid="{00000000-0006-0000-4C00-00001D000000}">
      <text>
        <r>
          <rPr>
            <sz val="9"/>
            <color indexed="81"/>
            <rFont val="Tahoma"/>
            <family val="2"/>
          </rPr>
          <t>Complete worksheet 616 first and the total will automatically populate here.</t>
        </r>
      </text>
    </comment>
    <comment ref="F113" authorId="0" shapeId="0" xr:uid="{00000000-0006-0000-4C00-00001E000000}">
      <text>
        <r>
          <rPr>
            <sz val="8"/>
            <color indexed="81"/>
            <rFont val="Tahoma"/>
            <family val="2"/>
          </rPr>
          <t xml:space="preserve">Complete ws 520 first
</t>
        </r>
      </text>
    </comment>
    <comment ref="B116"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18" authorId="0" shapeId="0" xr:uid="{00000000-0006-0000-4C00-000020000000}">
      <text>
        <r>
          <rPr>
            <sz val="8"/>
            <color indexed="81"/>
            <rFont val="Tahoma"/>
            <family val="2"/>
          </rPr>
          <t>SEAA uses this for Due to IRS Sec 529 (college savings) plan participants</t>
        </r>
      </text>
    </comment>
    <comment ref="B119" authorId="0" shapeId="0" xr:uid="{00000000-0006-0000-4C00-000021000000}">
      <text>
        <r>
          <rPr>
            <sz val="8"/>
            <color indexed="81"/>
            <rFont val="Tahoma"/>
            <family val="2"/>
          </rPr>
          <t>New caption for implementation of GASB 53 Derivatives for 2010</t>
        </r>
      </text>
    </comment>
    <comment ref="F120" authorId="0" shapeId="0" xr:uid="{57F0012E-8353-475C-BB4C-7464E8F7C418}">
      <text>
        <r>
          <rPr>
            <sz val="8"/>
            <color indexed="81"/>
            <rFont val="Tahoma"/>
            <family val="2"/>
          </rPr>
          <t xml:space="preserve">Complete ws 310 first
</t>
        </r>
      </text>
    </comment>
    <comment ref="F121" authorId="0" shapeId="0" xr:uid="{00000000-0006-0000-4C00-000023000000}">
      <text>
        <r>
          <rPr>
            <sz val="8"/>
            <color indexed="81"/>
            <rFont val="Tahoma"/>
            <family val="2"/>
          </rPr>
          <t xml:space="preserve">Complete ws 310 first
</t>
        </r>
      </text>
    </comment>
    <comment ref="B122" authorId="0" shapeId="0" xr:uid="{00000000-0006-0000-4C00-000024000000}">
      <text>
        <r>
          <rPr>
            <sz val="8"/>
            <color indexed="81"/>
            <rFont val="Tahoma"/>
            <family val="2"/>
          </rPr>
          <t xml:space="preserve">Not new, but updating title for 2011 to be consistent with NCAS CAFR 11p caption. From ws 310
</t>
        </r>
      </text>
    </comment>
    <comment ref="F122" authorId="0" shapeId="0" xr:uid="{00000000-0006-0000-4C00-000025000000}">
      <text>
        <r>
          <rPr>
            <sz val="8"/>
            <color indexed="81"/>
            <rFont val="Tahoma"/>
            <family val="2"/>
          </rPr>
          <t xml:space="preserve">Complete ws 310 first
</t>
        </r>
      </text>
    </comment>
    <comment ref="F123" authorId="0" shapeId="0" xr:uid="{00000000-0006-0000-4C00-000026000000}">
      <text>
        <r>
          <rPr>
            <sz val="8"/>
            <color indexed="81"/>
            <rFont val="Tahoma"/>
            <family val="2"/>
          </rPr>
          <t xml:space="preserve">Complete ws 310 first
</t>
        </r>
      </text>
    </comment>
    <comment ref="B124" authorId="1" shapeId="0" xr:uid="{00000000-0006-0000-4C00-000027000000}">
      <text>
        <r>
          <rPr>
            <b/>
            <sz val="9"/>
            <color indexed="81"/>
            <rFont val="Tahoma"/>
            <family val="2"/>
          </rPr>
          <t>FY 2014-</t>
        </r>
        <r>
          <rPr>
            <sz val="9"/>
            <color indexed="81"/>
            <rFont val="Tahoma"/>
            <family val="2"/>
          </rPr>
          <t>added workers comp line on 905-to feed from ws 310</t>
        </r>
      </text>
    </comment>
    <comment ref="F124" authorId="0" shapeId="0" xr:uid="{00000000-0006-0000-4C00-000028000000}">
      <text>
        <r>
          <rPr>
            <sz val="8"/>
            <color indexed="81"/>
            <rFont val="Tahoma"/>
            <family val="2"/>
          </rPr>
          <t xml:space="preserve">Complete ws 310 first
</t>
        </r>
      </text>
    </comment>
    <comment ref="B125"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25" authorId="0" shapeId="0" xr:uid="{00000000-0006-0000-4C00-00002A000000}">
      <text>
        <r>
          <rPr>
            <sz val="8"/>
            <color indexed="81"/>
            <rFont val="Tahoma"/>
            <family val="2"/>
          </rPr>
          <t xml:space="preserve">Complete ws 310 first
</t>
        </r>
      </text>
    </comment>
    <comment ref="B126" authorId="0" shapeId="0" xr:uid="{00000000-0006-0000-4C00-00002B000000}">
      <text>
        <r>
          <rPr>
            <sz val="8"/>
            <color indexed="81"/>
            <rFont val="Tahoma"/>
            <family val="2"/>
          </rPr>
          <t>New caption for 2009 - see w/s 322</t>
        </r>
      </text>
    </comment>
    <comment ref="F126" authorId="0" shapeId="0" xr:uid="{00000000-0006-0000-4C00-00002C000000}">
      <text>
        <r>
          <rPr>
            <sz val="8"/>
            <color indexed="81"/>
            <rFont val="Tahoma"/>
            <family val="2"/>
          </rPr>
          <t xml:space="preserve">Complete ws 310 first
</t>
        </r>
      </text>
    </comment>
    <comment ref="B127" authorId="0" shapeId="0" xr:uid="{D59201A0-4D9B-4F6F-942C-8BE686C03943}">
      <text>
        <r>
          <rPr>
            <sz val="8"/>
            <color indexed="81"/>
            <rFont val="Tahoma"/>
            <family val="2"/>
          </rPr>
          <t>New caption for 2009 - see w/s 322</t>
        </r>
      </text>
    </comment>
    <comment ref="F127" authorId="0" shapeId="0" xr:uid="{6C99DE0E-115D-4DE3-8795-0725B95118A6}">
      <text>
        <r>
          <rPr>
            <sz val="8"/>
            <color indexed="81"/>
            <rFont val="Tahoma"/>
            <family val="2"/>
          </rPr>
          <t xml:space="preserve">Complete ws 310 first
</t>
        </r>
      </text>
    </comment>
    <comment ref="B128" authorId="1"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28" authorId="0" shapeId="0" xr:uid="{00000000-0006-0000-4C00-00002E000000}">
      <text>
        <r>
          <rPr>
            <sz val="8"/>
            <color indexed="81"/>
            <rFont val="Tahoma"/>
            <family val="2"/>
          </rPr>
          <t xml:space="preserve">Complete ws 310 first
</t>
        </r>
      </text>
    </comment>
    <comment ref="B129" authorId="1"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29" authorId="0" shapeId="0" xr:uid="{00000000-0006-0000-4C00-000030000000}">
      <text>
        <r>
          <rPr>
            <sz val="8"/>
            <color indexed="81"/>
            <rFont val="Tahoma"/>
            <family val="2"/>
          </rPr>
          <t xml:space="preserve">Complete ws 310 first
</t>
        </r>
      </text>
    </comment>
    <comment ref="F130" authorId="0" shapeId="0" xr:uid="{00000000-0006-0000-4C00-000031000000}">
      <text>
        <r>
          <rPr>
            <sz val="8"/>
            <color indexed="81"/>
            <rFont val="Tahoma"/>
            <family val="2"/>
          </rPr>
          <t xml:space="preserve">Complete ws 310 first
</t>
        </r>
      </text>
    </comment>
    <comment ref="B131" authorId="0" shapeId="0" xr:uid="{00000000-0006-0000-4C00-000032000000}">
      <text>
        <r>
          <rPr>
            <sz val="8"/>
            <color indexed="81"/>
            <rFont val="Tahoma"/>
            <family val="2"/>
          </rPr>
          <t>Adding to template for 2011; this is a caption on NCAS CAFR 11p</t>
        </r>
      </text>
    </comment>
    <comment ref="F131" authorId="0" shapeId="0" xr:uid="{00000000-0006-0000-4C00-000033000000}">
      <text>
        <r>
          <rPr>
            <sz val="8"/>
            <color indexed="81"/>
            <rFont val="Tahoma"/>
            <family val="2"/>
          </rPr>
          <t xml:space="preserve">Complete ws 310 first
</t>
        </r>
      </text>
    </comment>
    <comment ref="B132" authorId="0" shapeId="0" xr:uid="{00000000-0006-0000-4C00-000034000000}">
      <text>
        <r>
          <rPr>
            <sz val="8"/>
            <color indexed="81"/>
            <rFont val="Tahoma"/>
            <family val="2"/>
          </rPr>
          <t>Adding to template for 2011; this is a NOT a caption on NCAS CAFR 11p, however it is on the 310 worksheet</t>
        </r>
      </text>
    </comment>
    <comment ref="F132" authorId="0" shapeId="0" xr:uid="{00000000-0006-0000-4C00-000035000000}">
      <text>
        <r>
          <rPr>
            <sz val="8"/>
            <color indexed="81"/>
            <rFont val="Tahoma"/>
            <family val="2"/>
          </rPr>
          <t xml:space="preserve">Complete ws 310 first
</t>
        </r>
      </text>
    </comment>
    <comment ref="D136"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7"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0" authorId="0" shapeId="0" xr:uid="{00000000-0006-0000-4C00-000038000000}">
      <text>
        <r>
          <rPr>
            <sz val="8"/>
            <color indexed="81"/>
            <rFont val="Tahoma"/>
            <family val="2"/>
          </rPr>
          <t xml:space="preserve">Complete ws 535 first
</t>
        </r>
      </text>
    </comment>
    <comment ref="B143" authorId="0" shapeId="0" xr:uid="{00000000-0006-0000-4C00-000039000000}">
      <text>
        <r>
          <rPr>
            <sz val="8"/>
            <color indexed="81"/>
            <rFont val="Tahoma"/>
            <family val="2"/>
          </rPr>
          <t>SEAA uses this for Due to IRS Sec 529 (college savings) plan participants</t>
        </r>
      </text>
    </comment>
    <comment ref="B144" authorId="0" shapeId="0" xr:uid="{00000000-0006-0000-4C00-00003A000000}">
      <text>
        <r>
          <rPr>
            <sz val="8"/>
            <color indexed="81"/>
            <rFont val="Tahoma"/>
            <family val="2"/>
          </rPr>
          <t>New caption for implementation of GASB 53 Derivatives for 2010</t>
        </r>
      </text>
    </comment>
    <comment ref="F145" authorId="0" shapeId="0" xr:uid="{21647E50-C47E-46A5-9FC8-B6154C5391D5}">
      <text>
        <r>
          <rPr>
            <sz val="8"/>
            <color indexed="81"/>
            <rFont val="Tahoma"/>
            <family val="2"/>
          </rPr>
          <t xml:space="preserve">Complete ws 310 first
</t>
        </r>
      </text>
    </comment>
    <comment ref="F146" authorId="0" shapeId="0" xr:uid="{00000000-0006-0000-4C00-00003C000000}">
      <text>
        <r>
          <rPr>
            <sz val="8"/>
            <color indexed="81"/>
            <rFont val="Tahoma"/>
            <family val="2"/>
          </rPr>
          <t xml:space="preserve">Complete ws 310 first
</t>
        </r>
      </text>
    </comment>
    <comment ref="B147" authorId="0" shapeId="0" xr:uid="{00000000-0006-0000-4C00-00003D000000}">
      <text>
        <r>
          <rPr>
            <sz val="8"/>
            <color indexed="81"/>
            <rFont val="Tahoma"/>
            <family val="2"/>
          </rPr>
          <t xml:space="preserve">Not new, but updating title for 2011 to be consistent with NCAS CAFR 11p caption
</t>
        </r>
      </text>
    </comment>
    <comment ref="F147" authorId="0" shapeId="0" xr:uid="{00000000-0006-0000-4C00-00003E000000}">
      <text>
        <r>
          <rPr>
            <sz val="8"/>
            <color indexed="81"/>
            <rFont val="Tahoma"/>
            <family val="2"/>
          </rPr>
          <t xml:space="preserve">Complete ws 310 first
</t>
        </r>
      </text>
    </comment>
    <comment ref="F148" authorId="0" shapeId="0" xr:uid="{00000000-0006-0000-4C00-00003F000000}">
      <text>
        <r>
          <rPr>
            <sz val="8"/>
            <color indexed="81"/>
            <rFont val="Tahoma"/>
            <family val="2"/>
          </rPr>
          <t xml:space="preserve">Complete ws 310 first
</t>
        </r>
      </text>
    </comment>
    <comment ref="B149" authorId="1" shapeId="0" xr:uid="{00000000-0006-0000-4C00-000040000000}">
      <text>
        <r>
          <rPr>
            <b/>
            <sz val="9"/>
            <color indexed="81"/>
            <rFont val="Tahoma"/>
            <family val="2"/>
          </rPr>
          <t>FY 2014</t>
        </r>
        <r>
          <rPr>
            <sz val="9"/>
            <color indexed="81"/>
            <rFont val="Tahoma"/>
            <family val="2"/>
          </rPr>
          <t>added workers comp line on 905-to feed from ws 310</t>
        </r>
      </text>
    </comment>
    <comment ref="F149" authorId="0" shapeId="0" xr:uid="{00000000-0006-0000-4C00-000041000000}">
      <text>
        <r>
          <rPr>
            <sz val="8"/>
            <color indexed="81"/>
            <rFont val="Tahoma"/>
            <family val="2"/>
          </rPr>
          <t xml:space="preserve">Complete ws 310 first
</t>
        </r>
      </text>
    </comment>
    <comment ref="B150"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0" authorId="0" shapeId="0" xr:uid="{00000000-0006-0000-4C00-000043000000}">
      <text>
        <r>
          <rPr>
            <sz val="8"/>
            <color indexed="81"/>
            <rFont val="Tahoma"/>
            <family val="2"/>
          </rPr>
          <t xml:space="preserve">Complete ws 310 first
</t>
        </r>
      </text>
    </comment>
    <comment ref="B151" authorId="0" shapeId="0" xr:uid="{00000000-0006-0000-4C00-000044000000}">
      <text>
        <r>
          <rPr>
            <sz val="8"/>
            <color indexed="81"/>
            <rFont val="Tahoma"/>
            <family val="2"/>
          </rPr>
          <t xml:space="preserve">New caption for 2009 - see w/s322
</t>
        </r>
      </text>
    </comment>
    <comment ref="F151" authorId="0" shapeId="0" xr:uid="{00000000-0006-0000-4C00-000045000000}">
      <text>
        <r>
          <rPr>
            <sz val="8"/>
            <color indexed="81"/>
            <rFont val="Tahoma"/>
            <family val="2"/>
          </rPr>
          <t xml:space="preserve">Complete ws 310 first
</t>
        </r>
      </text>
    </comment>
    <comment ref="B152" authorId="0" shapeId="0" xr:uid="{6BDA2ACF-E4DC-42E1-9747-2C8E8B3F5CD9}">
      <text>
        <r>
          <rPr>
            <sz val="8"/>
            <color indexed="81"/>
            <rFont val="Tahoma"/>
            <family val="2"/>
          </rPr>
          <t xml:space="preserve">New caption for 2009 - see w/s322
</t>
        </r>
      </text>
    </comment>
    <comment ref="F152" authorId="0" shapeId="0" xr:uid="{BADB8C6A-B7EC-48E0-87B9-578911B32079}">
      <text>
        <r>
          <rPr>
            <sz val="8"/>
            <color indexed="81"/>
            <rFont val="Tahoma"/>
            <family val="2"/>
          </rPr>
          <t xml:space="preserve">Complete ws 310 first
</t>
        </r>
      </text>
    </comment>
    <comment ref="B153" authorId="1"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53" authorId="0" shapeId="0" xr:uid="{00000000-0006-0000-4C00-000047000000}">
      <text>
        <r>
          <rPr>
            <sz val="8"/>
            <color indexed="81"/>
            <rFont val="Tahoma"/>
            <family val="2"/>
          </rPr>
          <t xml:space="preserve">Complete ws 310 first
</t>
        </r>
      </text>
    </comment>
    <comment ref="B154" authorId="1" shapeId="0" xr:uid="{00000000-0006-0000-4C00-000048000000}">
      <text>
        <r>
          <rPr>
            <sz val="8"/>
            <color indexed="81"/>
            <rFont val="Tahoma"/>
            <family val="2"/>
          </rPr>
          <t>Starting FY15 with implementation of GASB68 for NCAS acct 229150 Net pension liability-noncurrent</t>
        </r>
      </text>
    </comment>
    <comment ref="F154" authorId="0" shapeId="0" xr:uid="{00000000-0006-0000-4C00-000049000000}">
      <text>
        <r>
          <rPr>
            <sz val="8"/>
            <color indexed="81"/>
            <rFont val="Tahoma"/>
            <family val="2"/>
          </rPr>
          <t xml:space="preserve">Complete ws 310 first
</t>
        </r>
      </text>
    </comment>
    <comment ref="F155" authorId="0" shapeId="0" xr:uid="{00000000-0006-0000-4C00-00004A000000}">
      <text>
        <r>
          <rPr>
            <sz val="8"/>
            <color indexed="81"/>
            <rFont val="Tahoma"/>
            <family val="2"/>
          </rPr>
          <t xml:space="preserve">Complete ws 310 first
</t>
        </r>
      </text>
    </comment>
    <comment ref="B156" authorId="0" shapeId="0" xr:uid="{00000000-0006-0000-4C00-00004B000000}">
      <text>
        <r>
          <rPr>
            <sz val="8"/>
            <color indexed="81"/>
            <rFont val="Tahoma"/>
            <family val="2"/>
          </rPr>
          <t>Adding to template for 2011; this is a caption on NCAS CAFR 11p</t>
        </r>
      </text>
    </comment>
    <comment ref="F156" authorId="0" shapeId="0" xr:uid="{00000000-0006-0000-4C00-00004C000000}">
      <text>
        <r>
          <rPr>
            <sz val="8"/>
            <color indexed="81"/>
            <rFont val="Tahoma"/>
            <family val="2"/>
          </rPr>
          <t xml:space="preserve">Complete ws 310 first
</t>
        </r>
      </text>
    </comment>
    <comment ref="B157" authorId="0" shapeId="0" xr:uid="{00000000-0006-0000-4C00-00004D000000}">
      <text>
        <r>
          <rPr>
            <sz val="8"/>
            <color indexed="81"/>
            <rFont val="Tahoma"/>
            <family val="2"/>
          </rPr>
          <t>Adding to template for 2011; this is a NOT a caption on NCAS CAFR 11p, however it is on worksheet 310.</t>
        </r>
      </text>
    </comment>
    <comment ref="F157" authorId="0" shapeId="0" xr:uid="{00000000-0006-0000-4C00-00004E000000}">
      <text>
        <r>
          <rPr>
            <sz val="8"/>
            <color indexed="81"/>
            <rFont val="Tahoma"/>
            <family val="2"/>
          </rPr>
          <t xml:space="preserve">Complete ws 310 first
</t>
        </r>
      </text>
    </comment>
    <comment ref="D162" authorId="1" shapeId="0" xr:uid="{00000000-0006-0000-4C00-00004F000000}">
      <text>
        <r>
          <rPr>
            <sz val="9"/>
            <color indexed="81"/>
            <rFont val="Tahoma"/>
            <family val="2"/>
          </rPr>
          <t xml:space="preserve">New F/S element starting FY 2013 w/ implementation of GASB 63
</t>
        </r>
      </text>
    </comment>
    <comment ref="B163" authorId="1"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64" authorId="1" shapeId="0" xr:uid="{00000000-0006-0000-4C00-000051000000}">
      <text>
        <r>
          <rPr>
            <sz val="7"/>
            <color indexed="81"/>
            <rFont val="Tahoma"/>
            <family val="2"/>
          </rPr>
          <t xml:space="preserve">For FY13, new acct added for implementation of GASB60 Service Concession Arrangements
</t>
        </r>
      </text>
    </comment>
    <comment ref="B165" authorId="1"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66" authorId="1"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67" authorId="1"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9" authorId="1"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2" authorId="1"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6" authorId="1"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77"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192" authorId="0" shapeId="0" xr:uid="{00000000-0006-0000-4C00-000059000000}">
      <text>
        <r>
          <rPr>
            <sz val="8"/>
            <color indexed="81"/>
            <rFont val="Tahoma"/>
            <family val="2"/>
          </rPr>
          <t xml:space="preserve">added net 2011
</t>
        </r>
      </text>
    </comment>
    <comment ref="B193" authorId="0" shapeId="0" xr:uid="{00000000-0006-0000-4C00-00005A000000}">
      <text>
        <r>
          <rPr>
            <sz val="8"/>
            <color indexed="81"/>
            <rFont val="Tahoma"/>
            <family val="2"/>
          </rPr>
          <t>Adding to template for 2011; this is a caption on NCAS CAFR 11p</t>
        </r>
      </text>
    </comment>
    <comment ref="B194" authorId="0" shapeId="0" xr:uid="{00000000-0006-0000-4C00-00005B000000}">
      <text>
        <r>
          <rPr>
            <sz val="8"/>
            <color indexed="81"/>
            <rFont val="Tahoma"/>
            <family val="2"/>
          </rPr>
          <t>Adding to template for 2011; this is a caption on NCAS CAFR 11p</t>
        </r>
      </text>
    </comment>
    <comment ref="B195" authorId="0" shapeId="0" xr:uid="{00000000-0006-0000-4C00-00005C000000}">
      <text>
        <r>
          <rPr>
            <sz val="8"/>
            <color indexed="81"/>
            <rFont val="Tahoma"/>
            <family val="2"/>
          </rPr>
          <t>Adding to template for 2011; this is a caption on NCAS CAFR 11p</t>
        </r>
      </text>
    </comment>
    <comment ref="B206" authorId="1" shapeId="0" xr:uid="{00000000-0006-0000-4C00-00005D000000}">
      <text>
        <r>
          <rPr>
            <sz val="9"/>
            <color indexed="81"/>
            <rFont val="Tahoma"/>
            <family val="2"/>
          </rPr>
          <t xml:space="preserve">FY15-Includes new acct for GASB 68 - NCAS acct 531595 Pension expense .
</t>
        </r>
      </text>
    </comment>
    <comment ref="B207" authorId="3"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13" authorId="0" shapeId="0" xr:uid="{00000000-0006-0000-4C00-00005F000000}">
      <text>
        <r>
          <rPr>
            <sz val="8"/>
            <color indexed="81"/>
            <rFont val="Tahoma"/>
            <family val="2"/>
          </rPr>
          <t xml:space="preserve">Added to template 2011; this is a caption on the NCAS operting statement
</t>
        </r>
      </text>
    </comment>
    <comment ref="B214"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2" authorId="0" shapeId="0" xr:uid="{00000000-0006-0000-4C00-000061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4C00-000062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29" authorId="4"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7" authorId="0" shapeId="0" xr:uid="{00000000-0006-0000-4C00-000064000000}">
      <text>
        <r>
          <rPr>
            <sz val="8"/>
            <color indexed="81"/>
            <rFont val="Tahoma"/>
            <family val="2"/>
          </rPr>
          <t>Added to template 2011; this is a caption on the NCAS operating statement</t>
        </r>
      </text>
    </comment>
    <comment ref="B243"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4" authorId="0" shapeId="0" xr:uid="{00000000-0006-0000-4C00-000066000000}">
      <text>
        <r>
          <rPr>
            <sz val="8"/>
            <color indexed="81"/>
            <rFont val="Tahoma"/>
            <family val="2"/>
          </rPr>
          <t>Capital grants include federal, state and local capital grants, including the ARRA energy grants from the NC Dept of Commerce.</t>
        </r>
      </text>
    </comment>
    <comment ref="B246" authorId="0" shapeId="0" xr:uid="{00000000-0006-0000-4C00-000067000000}">
      <text>
        <r>
          <rPr>
            <sz val="8"/>
            <color indexed="81"/>
            <rFont val="Tahoma"/>
            <family val="2"/>
          </rPr>
          <t>Added to template 2011; this is a caption on the NCAS operting statement</t>
        </r>
      </text>
    </comment>
    <comment ref="B247" authorId="0" shapeId="0" xr:uid="{00000000-0006-0000-4C00-000068000000}">
      <text>
        <r>
          <rPr>
            <sz val="8"/>
            <color indexed="81"/>
            <rFont val="Tahoma"/>
            <family val="2"/>
          </rPr>
          <t>Added to template 2011; this is a caption on the NCAS operting statement. ws 565</t>
        </r>
      </text>
    </comment>
    <comment ref="F247" authorId="0" shapeId="0" xr:uid="{00000000-0006-0000-4C00-000069000000}">
      <text>
        <r>
          <rPr>
            <sz val="8"/>
            <color indexed="81"/>
            <rFont val="Tahoma"/>
            <family val="2"/>
          </rPr>
          <t xml:space="preserve">Complete ws 565 first
</t>
        </r>
      </text>
    </comment>
    <comment ref="H251"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I251"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1"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1"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1"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1"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1"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1"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1"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1"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1"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1"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F86" authorId="1" shapeId="0" xr:uid="{00000000-0006-0000-5100-000002000000}">
      <text>
        <r>
          <rPr>
            <sz val="9"/>
            <color indexed="81"/>
            <rFont val="Tahoma"/>
            <family val="2"/>
          </rPr>
          <t xml:space="preserve">New F/S element starting FY 2013 w/ implementation of GASB 63
</t>
        </r>
      </text>
    </comment>
    <comment ref="B87" authorId="1"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1"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2" authorId="1"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3" authorId="1"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7" authorId="1"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28" authorId="1"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1"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1" shapeId="0" xr:uid="{00000000-0006-0000-5100-00000B000000}">
      <text>
        <r>
          <rPr>
            <sz val="8"/>
            <color indexed="81"/>
            <rFont val="Tahoma"/>
            <family val="2"/>
          </rPr>
          <t>Starting FY15 with implementation of GASB68 for NCAS acct 229150 Net pension liability-noncurrent</t>
        </r>
      </text>
    </comment>
    <comment ref="F161" authorId="1" shapeId="0" xr:uid="{00000000-0006-0000-5100-00000C000000}">
      <text>
        <r>
          <rPr>
            <sz val="9"/>
            <color indexed="81"/>
            <rFont val="Tahoma"/>
            <family val="2"/>
          </rPr>
          <t xml:space="preserve">New F/S element starting FY 2013 w/ implementation of GASB 63
</t>
        </r>
      </text>
    </comment>
    <comment ref="B162" authorId="1"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63" authorId="1" shapeId="0" xr:uid="{00000000-0006-0000-5100-00000E000000}">
      <text>
        <r>
          <rPr>
            <sz val="7"/>
            <color indexed="81"/>
            <rFont val="Tahoma"/>
            <family val="2"/>
          </rPr>
          <t>For FY13, new NCAS acct 229202 added for implementation of GASB60 Service Concession Arrangements</t>
        </r>
      </text>
    </comment>
    <comment ref="B164" authorId="1"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1"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66" authorId="1"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1"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1"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06" authorId="1" shapeId="0" xr:uid="{00000000-0006-0000-5100-000014000000}">
      <text>
        <r>
          <rPr>
            <sz val="9"/>
            <color indexed="81"/>
            <rFont val="Tahoma"/>
            <family val="2"/>
          </rPr>
          <t xml:space="preserve">FY15-Includes new acct for GASB 68 - NCAS acct 531595 Pension expense .
</t>
        </r>
      </text>
    </comment>
    <comment ref="B222"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3"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sharedStrings.xml><?xml version="1.0" encoding="utf-8"?>
<sst xmlns="http://schemas.openxmlformats.org/spreadsheetml/2006/main" count="12839" uniqueCount="5788">
  <si>
    <t>K</t>
  </si>
  <si>
    <t>Number of regular term students(FTE)</t>
  </si>
  <si>
    <t>Health and Human Services</t>
  </si>
  <si>
    <t>Cases disposed as a % of cases filed-Superior Court</t>
  </si>
  <si>
    <t>Operating Statement</t>
  </si>
  <si>
    <t>Functional Expenditures</t>
  </si>
  <si>
    <t>East Carolina University</t>
  </si>
  <si>
    <t>North Carolina Central University</t>
  </si>
  <si>
    <t>Fees, licenses and fines</t>
  </si>
  <si>
    <t>Summarize by Bank Name</t>
  </si>
  <si>
    <t>Uncollateralized</t>
  </si>
  <si>
    <t>Financial Institution</t>
  </si>
  <si>
    <t>Bank Balances</t>
  </si>
  <si>
    <t>required to be disclosed under GASB 40 should be disclosed.  When state law has not addressed a risk, such as interest rate risk, the disclosure should</t>
  </si>
  <si>
    <t>Clients served by developmental disabilities facilities</t>
  </si>
  <si>
    <t>Children served through subsidized child care</t>
  </si>
  <si>
    <t>Number of returns filed electronically</t>
  </si>
  <si>
    <t>Number of individual refunds direct deposited</t>
  </si>
  <si>
    <t>162</t>
  </si>
  <si>
    <t>170</t>
  </si>
  <si>
    <t>200</t>
  </si>
  <si>
    <t>3ZZ</t>
  </si>
  <si>
    <t>410</t>
  </si>
  <si>
    <t>1361</t>
  </si>
  <si>
    <t>1362</t>
  </si>
  <si>
    <t>430</t>
  </si>
  <si>
    <t>436</t>
  </si>
  <si>
    <t>450</t>
  </si>
  <si>
    <t>451</t>
  </si>
  <si>
    <t>460</t>
  </si>
  <si>
    <t>461</t>
  </si>
  <si>
    <t>500</t>
  </si>
  <si>
    <t>600</t>
  </si>
  <si>
    <t>601</t>
  </si>
  <si>
    <t>670</t>
  </si>
  <si>
    <t>1199</t>
  </si>
  <si>
    <t>900</t>
  </si>
  <si>
    <t>990</t>
  </si>
  <si>
    <t>R10</t>
  </si>
  <si>
    <t>RG0</t>
  </si>
  <si>
    <t>Function</t>
  </si>
  <si>
    <t>Beginning FRU #</t>
  </si>
  <si>
    <t>Ending FRU #</t>
  </si>
  <si>
    <t>Beginning GASB #</t>
  </si>
  <si>
    <t>Ending GASB #</t>
  </si>
  <si>
    <t>GARVEE bonds</t>
  </si>
  <si>
    <t>CG</t>
  </si>
  <si>
    <t>Community College System Office</t>
  </si>
  <si>
    <t>State Board of Elections</t>
  </si>
  <si>
    <t>RX</t>
  </si>
  <si>
    <t>Message</t>
  </si>
  <si>
    <t>Interest rate range is invalid.</t>
  </si>
  <si>
    <t>More than one type of payable has been selected.</t>
  </si>
  <si>
    <t>Error Code</t>
  </si>
  <si>
    <t>Investments Held Outside the State Treasurer - Additional Level of Detail</t>
  </si>
  <si>
    <t>Investments Held Outside the State Treasurer - Concentration of Credit Risk</t>
  </si>
  <si>
    <t xml:space="preserve">Department of the State Treasurer </t>
  </si>
  <si>
    <t>Your Comments and Suggestions</t>
  </si>
  <si>
    <t>Check:  Restatements column Balance Sheet, net should equal Restatements column Operating</t>
  </si>
  <si>
    <t>Statement, net.</t>
  </si>
  <si>
    <t>"questioned" or "disallowed" costs.</t>
  </si>
  <si>
    <t>Operating Indicators By Function</t>
  </si>
  <si>
    <t>Capital Asset Impairments</t>
  </si>
  <si>
    <t>Capital Asset Statistics</t>
  </si>
  <si>
    <t>U60</t>
  </si>
  <si>
    <t>U65</t>
  </si>
  <si>
    <t>U70</t>
  </si>
  <si>
    <t>U75</t>
  </si>
  <si>
    <t>Elizabeth City State University</t>
  </si>
  <si>
    <t>Fayetteville State University</t>
  </si>
  <si>
    <t>Investment Type</t>
  </si>
  <si>
    <t>Less Than 1</t>
  </si>
  <si>
    <t>1 to 5</t>
  </si>
  <si>
    <t>6 to 10</t>
  </si>
  <si>
    <t>More Than 10</t>
  </si>
  <si>
    <t>Investments Subject to Interest Rate Risk:</t>
  </si>
  <si>
    <t>Total Investment Subject to Interest Rate Risk</t>
  </si>
  <si>
    <t>Investments Not Subject to Interest Rate Risk:</t>
  </si>
  <si>
    <t>The maturity of a mutual bond fund should be based on the weighted</t>
  </si>
  <si>
    <t>Add issuance premium</t>
  </si>
  <si>
    <t>Compensated absences</t>
  </si>
  <si>
    <t>Final Maturity Date of Total Outstanding Debt</t>
  </si>
  <si>
    <t xml:space="preserve">Note:  </t>
  </si>
  <si>
    <t>GASB 5200</t>
  </si>
  <si>
    <t>Total</t>
  </si>
  <si>
    <t>Yes</t>
  </si>
  <si>
    <t>No</t>
  </si>
  <si>
    <t>of historical cost that was written off).</t>
  </si>
  <si>
    <t>(b)  Less: The amount of insurance recoveries to be netted against above.</t>
  </si>
  <si>
    <t>(c)  Net impairment loss (or gain) recognized during the fiscal year.</t>
  </si>
  <si>
    <t>6.</t>
  </si>
  <si>
    <t xml:space="preserve">The amount of any insurance recoveries not netted against impairment </t>
  </si>
  <si>
    <t>7.</t>
  </si>
  <si>
    <t>Annuity and life income payable</t>
  </si>
  <si>
    <t>All</t>
  </si>
  <si>
    <r>
      <t xml:space="preserve">    This agency has </t>
    </r>
    <r>
      <rPr>
        <b/>
        <sz val="10"/>
        <rFont val="Arial"/>
        <family val="2"/>
      </rPr>
      <t>NO</t>
    </r>
    <r>
      <rPr>
        <sz val="10"/>
        <rFont val="Arial"/>
        <family val="2"/>
      </rPr>
      <t xml:space="preserve"> material contingent liabilities requiring disclosure</t>
    </r>
  </si>
  <si>
    <t>This agency has such items that exceed $10 million.</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</si>
  <si>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</si>
  <si>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t>Description — Reason for Significant Change</t>
  </si>
  <si>
    <t xml:space="preserve">List any other material contingent liabilities of your agency that require possible disclosure in accordance with the </t>
  </si>
  <si>
    <t>Analytical Review</t>
  </si>
  <si>
    <t>Capital Assets</t>
  </si>
  <si>
    <t>Trust Dept. or Agent</t>
  </si>
  <si>
    <t>All Other</t>
  </si>
  <si>
    <t>Total high school graduates</t>
  </si>
  <si>
    <t>Total students K-12</t>
  </si>
  <si>
    <t>Public Safety, Corrections and Regulation</t>
  </si>
  <si>
    <t>Visitation to NC Zoo</t>
  </si>
  <si>
    <t>Graduate intention to pursue further education</t>
  </si>
  <si>
    <t>Hunting licenses sold</t>
  </si>
  <si>
    <t>Higher Education</t>
  </si>
  <si>
    <t>Fishing licenses sold</t>
  </si>
  <si>
    <t>Vessels registered</t>
  </si>
  <si>
    <t>Number of students(annualized FTE)</t>
  </si>
  <si>
    <t>Number of certificates and degrees awarded</t>
  </si>
  <si>
    <t>Due from component unit</t>
  </si>
  <si>
    <t>Other current assets</t>
  </si>
  <si>
    <t>Capital assets</t>
  </si>
  <si>
    <t>A</t>
  </si>
  <si>
    <t>B</t>
  </si>
  <si>
    <t>the year end package for next year.  Thank you.</t>
  </si>
  <si>
    <t>Sampson Community College</t>
  </si>
  <si>
    <t>DC</t>
  </si>
  <si>
    <t>Sandhills Community College</t>
  </si>
  <si>
    <t>C1</t>
  </si>
  <si>
    <t>South Piedmont Community College</t>
  </si>
  <si>
    <t>DD</t>
  </si>
  <si>
    <t>Southeastern Community College</t>
  </si>
  <si>
    <t>General Government</t>
  </si>
  <si>
    <t>Indicate "NO" if you are exposed to the risk but do not have an investment policy that addresses the risk.</t>
  </si>
  <si>
    <t>Total commitment amount</t>
  </si>
  <si>
    <t xml:space="preserve"> = Amount of commitment</t>
  </si>
  <si>
    <t>Description</t>
  </si>
  <si>
    <t>1)</t>
  </si>
  <si>
    <t>First-in, first-out (FIFO)</t>
  </si>
  <si>
    <t>Retail inventory (book stores)</t>
  </si>
  <si>
    <t>NA for Component Units, except Universities</t>
  </si>
  <si>
    <t>NA for Nonmajor Component Units</t>
  </si>
  <si>
    <t>Current Assets: Restricted Investments</t>
  </si>
  <si>
    <t>Non-Current Assets: Investments</t>
  </si>
  <si>
    <t xml:space="preserve">(Note:  Investments issued or explicitly guaranteed by the U.S. government; investments in mutual funds; external investment pools, </t>
  </si>
  <si>
    <t>Interest rate risk</t>
  </si>
  <si>
    <t>Foreign currency risk</t>
  </si>
  <si>
    <t>c.</t>
  </si>
  <si>
    <t>Department of Transportation</t>
  </si>
  <si>
    <r>
      <t xml:space="preserve">    </t>
    </r>
    <r>
      <rPr>
        <b/>
        <sz val="10"/>
        <rFont val="Arial"/>
        <family val="2"/>
      </rPr>
      <t>YES</t>
    </r>
    <r>
      <rPr>
        <sz val="10"/>
        <rFont val="Arial"/>
        <family val="2"/>
      </rPr>
      <t>, all material contingent liabilities disclosures have been made on this worksheet</t>
    </r>
  </si>
  <si>
    <t>15XX</t>
  </si>
  <si>
    <t>Unrated</t>
  </si>
  <si>
    <t>Deferred Comp</t>
  </si>
  <si>
    <t>6C</t>
  </si>
  <si>
    <t>0A</t>
  </si>
  <si>
    <r>
      <t>Disclosure of material contingent liabilities of the State entity is required under the following conditions</t>
    </r>
    <r>
      <rPr>
        <sz val="10"/>
        <rFont val="Arial"/>
        <family val="2"/>
      </rPr>
      <t>:</t>
    </r>
  </si>
  <si>
    <t>Advances From Other Funds/Primary Government</t>
  </si>
  <si>
    <t>(6.00% of covered payroll)</t>
  </si>
  <si>
    <t>(6.84% of covered payroll)</t>
  </si>
  <si>
    <t>Total Investments Held Outside the State Treasurer</t>
  </si>
  <si>
    <t>Payee Contact</t>
  </si>
  <si>
    <t>Clients served by substance abuse facilities</t>
  </si>
  <si>
    <t>Clients served through 'Work First'</t>
  </si>
  <si>
    <t>NC Health Choice annual enrollment</t>
  </si>
  <si>
    <t>Number of tax returns processed</t>
  </si>
  <si>
    <t>GASB number is blank.</t>
  </si>
  <si>
    <t>To make a Copy of a Worksheet</t>
  </si>
  <si>
    <t>Environment and Natural Resources</t>
  </si>
  <si>
    <t>Visitation to historical sites and museums</t>
  </si>
  <si>
    <t>Primary and Secondary Education</t>
  </si>
  <si>
    <t>Public drinking water systems in compliance</t>
  </si>
  <si>
    <t>Total investments subject to 5 percent threshold</t>
  </si>
  <si>
    <t>48R</t>
  </si>
  <si>
    <t>48L</t>
  </si>
  <si>
    <t>UNC Hospitals - LITF</t>
  </si>
  <si>
    <t>North Carolina State University</t>
  </si>
  <si>
    <t>Appalachian State University</t>
  </si>
  <si>
    <t>Western Carolina University</t>
  </si>
  <si>
    <t>Winston-Salem State University</t>
  </si>
  <si>
    <t>Held by Pledging</t>
  </si>
  <si>
    <t>Uninsured, Not Registered in Name of Govt.</t>
  </si>
  <si>
    <t>Subject to Custodial Credit Risk Disclosure - Uninsured</t>
  </si>
  <si>
    <t>UNC at Charlotte</t>
  </si>
  <si>
    <t>UNC at Asheville</t>
  </si>
  <si>
    <t>UNC at Wilmington</t>
  </si>
  <si>
    <t>UNC at Pembroke</t>
  </si>
  <si>
    <t>North Carolina Housing Finance Ag.</t>
  </si>
  <si>
    <t>State Education Assistance Authority</t>
  </si>
  <si>
    <t>The Golden LEAF, Inc.</t>
  </si>
  <si>
    <t xml:space="preserve">Department of Administration </t>
  </si>
  <si>
    <t xml:space="preserve">Office of the State Controller </t>
  </si>
  <si>
    <t>Plus: Total STIF balances</t>
  </si>
  <si>
    <r>
      <t xml:space="preserve">Issuer </t>
    </r>
    <r>
      <rPr>
        <vertAlign val="superscript"/>
        <sz val="9"/>
        <rFont val="Arial"/>
        <family val="2"/>
      </rPr>
      <t>2</t>
    </r>
  </si>
  <si>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</si>
  <si>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Office of Administrative Hearings</t>
  </si>
  <si>
    <t>Construction value excluding design fee (thousands)</t>
  </si>
  <si>
    <t xml:space="preserve">      Higher education</t>
  </si>
  <si>
    <r>
      <t xml:space="preserve"> GARVEE Bonds</t>
    </r>
    <r>
      <rPr>
        <sz val="10"/>
        <rFont val="Arial"/>
        <family val="2"/>
      </rPr>
      <t xml:space="preserve"> (N/A for Component Units)</t>
    </r>
  </si>
  <si>
    <t>Next Fiscal Year Begin</t>
  </si>
  <si>
    <t>Conc</t>
  </si>
  <si>
    <t>Choose your agency:</t>
  </si>
  <si>
    <t>Enter preparer name and phone number below:</t>
  </si>
  <si>
    <t>Receivables:</t>
  </si>
  <si>
    <t>Accounts receivable, net</t>
  </si>
  <si>
    <t>Interest receivable</t>
  </si>
  <si>
    <r>
      <t xml:space="preserve"> General Obligation Bonds Payable </t>
    </r>
    <r>
      <rPr>
        <sz val="10"/>
        <rFont val="Arial"/>
        <family val="2"/>
      </rPr>
      <t>(N/A for Component Units)</t>
    </r>
  </si>
  <si>
    <t xml:space="preserve">     One ton maintenance trucks</t>
  </si>
  <si>
    <t>Alcohol Law Enforcement</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</si>
  <si>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</si>
  <si>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</si>
  <si>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In Thousands</t>
  </si>
  <si>
    <t>Summary of Significant Accounting Policies</t>
  </si>
  <si>
    <t>Changes in Capital Assets</t>
  </si>
  <si>
    <r>
      <t xml:space="preserve">financial statements or would cause a reader of these statements to be misinformed, </t>
    </r>
    <r>
      <rPr>
        <b/>
        <sz val="10"/>
        <rFont val="Arial"/>
        <family val="2"/>
      </rPr>
      <t>MUST</t>
    </r>
    <r>
      <rPr>
        <sz val="10"/>
        <rFont val="Arial"/>
        <family val="2"/>
      </rPr>
      <t xml:space="preserve"> be disclosed.</t>
    </r>
  </si>
  <si>
    <t>AMOUNT</t>
  </si>
  <si>
    <t>2.  Investment Type (per worksheet 720):</t>
  </si>
  <si>
    <t>3.  Investment Type (per worksheet 720):</t>
  </si>
  <si>
    <t>a.</t>
  </si>
  <si>
    <t>b.</t>
  </si>
  <si>
    <t>Investment Maturities (in Years)</t>
  </si>
  <si>
    <t>Sales and services</t>
  </si>
  <si>
    <t>Office of the State Auditor</t>
  </si>
  <si>
    <t>Western Piedmont Community College</t>
  </si>
  <si>
    <t>DN</t>
  </si>
  <si>
    <t>Wilkes Community College</t>
  </si>
  <si>
    <t>DP</t>
  </si>
  <si>
    <r>
      <t>Please locate your agency below and fill in the requested information (</t>
    </r>
    <r>
      <rPr>
        <b/>
        <u/>
        <sz val="10"/>
        <rFont val="Arial"/>
        <family val="2"/>
      </rPr>
      <t>not dollar values</t>
    </r>
    <r>
      <rPr>
        <sz val="10"/>
        <rFont val="Arial"/>
        <family val="2"/>
      </rPr>
      <t>).</t>
    </r>
  </si>
  <si>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</si>
  <si>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 xml:space="preserve">Prior Year </t>
  </si>
  <si>
    <t>Beginning</t>
  </si>
  <si>
    <t>Write-Offs/</t>
  </si>
  <si>
    <t>Uncollectible</t>
  </si>
  <si>
    <t>Revenue Statement Caption</t>
  </si>
  <si>
    <t>Revenue</t>
  </si>
  <si>
    <t>Current Year</t>
  </si>
  <si>
    <t>Amounts</t>
  </si>
  <si>
    <t xml:space="preserve">Revenue statement caption is the type of revenue that has been deferred.  </t>
  </si>
  <si>
    <t>Example: Individual Income Tax, Fee Licenses and Fines, Sales and Services, etc.</t>
  </si>
  <si>
    <t>Current Assets: Investments</t>
  </si>
  <si>
    <t xml:space="preserve">Primary Government </t>
  </si>
  <si>
    <t>If "NO", indicate reason:</t>
  </si>
  <si>
    <t>North Carolina General Assembly</t>
  </si>
  <si>
    <t>Office of the Secretary of State</t>
  </si>
  <si>
    <t>Total nonoperating revenues (expenses)</t>
  </si>
  <si>
    <t>State capital aid</t>
  </si>
  <si>
    <t>Capital grants</t>
  </si>
  <si>
    <t>Capital gifts, net</t>
  </si>
  <si>
    <t>Special items</t>
  </si>
  <si>
    <t>Extraordinary items</t>
  </si>
  <si>
    <t>Indicate "N/A" if you are not exposed to the risk.  For example, foreign currency risk would be "N/A" if you have no investments in foreign currencies.</t>
  </si>
  <si>
    <t>GASB Fund:</t>
  </si>
  <si>
    <t>Net to Zero)</t>
  </si>
  <si>
    <t>CAPITALIZATION OF ARTWORK, HISTORICAL TREASURES, OR ARTIFACTS</t>
  </si>
  <si>
    <t>Accumulated</t>
  </si>
  <si>
    <t>11XX</t>
  </si>
  <si>
    <r>
      <t xml:space="preserve">1.  The chance that the State entity will actually incur the liability is better than a </t>
    </r>
    <r>
      <rPr>
        <b/>
        <sz val="10"/>
        <rFont val="Arial"/>
        <family val="2"/>
      </rPr>
      <t>REMOTE</t>
    </r>
    <r>
      <rPr>
        <sz val="10"/>
        <rFont val="Arial"/>
        <family val="2"/>
      </rPr>
      <t xml:space="preserve"> (either POSSIBLE or</t>
    </r>
  </si>
  <si>
    <t>FEDERAL GRANTS AND PROGRAMS</t>
  </si>
  <si>
    <t>Contingent liabilities of the State entity can arise from lawsuits and other legal action, or contingent liabilities may</t>
  </si>
  <si>
    <t>be inherent with the acceptance of the conditions of certain Federal programs.</t>
  </si>
  <si>
    <t>Answer the following:</t>
  </si>
  <si>
    <t>All funds</t>
  </si>
  <si>
    <t>Fiscal Year Ended</t>
  </si>
  <si>
    <t>Schedule of Due to State of NC Component Units</t>
  </si>
  <si>
    <t>just indicate "expensed".</t>
  </si>
  <si>
    <t>TOTAL TIME ACCOUNTS</t>
  </si>
  <si>
    <t>Principal</t>
  </si>
  <si>
    <t>Interest</t>
  </si>
  <si>
    <t>Coverage</t>
  </si>
  <si>
    <t>Moody's</t>
  </si>
  <si>
    <t>Schedule of Inter-Agency Receivables</t>
  </si>
  <si>
    <t>Schedule of Inter-Agency Payables</t>
  </si>
  <si>
    <t>Schedule of Due To Primary Government</t>
  </si>
  <si>
    <t>Dates</t>
  </si>
  <si>
    <t>Fiscal Year End</t>
  </si>
  <si>
    <t>Pooled cash</t>
  </si>
  <si>
    <t>Total Noncurrent Assets</t>
  </si>
  <si>
    <t>Total Assets</t>
  </si>
  <si>
    <t xml:space="preserve">LIABILITIES </t>
  </si>
  <si>
    <t>Current Liabilities:</t>
  </si>
  <si>
    <t>Accounts payable and accrued liabilities:</t>
  </si>
  <si>
    <t>Due to State of NC component units</t>
  </si>
  <si>
    <t>Obligations under reverse repurchase agreements</t>
  </si>
  <si>
    <t>Interest payable</t>
  </si>
  <si>
    <t>Department of Administration</t>
  </si>
  <si>
    <t>Construction projects administered</t>
  </si>
  <si>
    <t>Total employed</t>
  </si>
  <si>
    <t>Percentage of unemployment</t>
  </si>
  <si>
    <t>Capital assets, net</t>
  </si>
  <si>
    <t>All other assets</t>
  </si>
  <si>
    <t>Long-term liabilities</t>
  </si>
  <si>
    <t>All other liabilities</t>
  </si>
  <si>
    <t>Credit Rating</t>
  </si>
  <si>
    <t>Pledged Revenue Coverage</t>
  </si>
  <si>
    <t>GARVEE</t>
  </si>
  <si>
    <t>Federal transportation revenues</t>
  </si>
  <si>
    <t>Employer contributions</t>
  </si>
  <si>
    <t xml:space="preserve">GASB Statement No. 42 establishes accounting and financial reporting standards for impairment of </t>
  </si>
  <si>
    <t>the following:</t>
  </si>
  <si>
    <t>The carrying amount of impaired capital assets that were idle at year-end,</t>
  </si>
  <si>
    <t>regardless of whether the impairment is considered permanent or temporary.</t>
  </si>
  <si>
    <t>(c)  Carrying value of impaired capital assets.</t>
  </si>
  <si>
    <t>The amount of insurance recoveries recognized during the fiscal year</t>
  </si>
  <si>
    <t>that were associated with impaired capital assets.</t>
  </si>
  <si>
    <t>Universities Only:</t>
  </si>
  <si>
    <t>5.</t>
  </si>
  <si>
    <t>Other operating revenues</t>
  </si>
  <si>
    <t>(Column must</t>
  </si>
  <si>
    <t>Assets</t>
  </si>
  <si>
    <t>Universities</t>
  </si>
  <si>
    <t xml:space="preserve">Department of Justice </t>
  </si>
  <si>
    <t>Department of Agriculture</t>
  </si>
  <si>
    <t>Department of Labor</t>
  </si>
  <si>
    <t xml:space="preserve">Department of Insurance </t>
  </si>
  <si>
    <t>This agency maintains material items on a custodial basis for Federal programs.</t>
  </si>
  <si>
    <t>OTHER CONTINGENT LIABILITIES</t>
  </si>
  <si>
    <t>Accounts receivable</t>
  </si>
  <si>
    <t>Intergovernmental receivables</t>
  </si>
  <si>
    <t>Contributions receivable</t>
  </si>
  <si>
    <t>Budget code is blank.</t>
  </si>
  <si>
    <t>Worksheet is incomplete.</t>
  </si>
  <si>
    <t>IF "YES", LIST GASB AND AMOUNT</t>
  </si>
  <si>
    <t>5)</t>
  </si>
  <si>
    <t>One or more lines are incomplete.  See lines marked *.</t>
  </si>
  <si>
    <t>P</t>
  </si>
  <si>
    <t>I</t>
  </si>
  <si>
    <t>G</t>
  </si>
  <si>
    <t>H</t>
  </si>
  <si>
    <r>
      <t>(a)  The gross amount of impairment losses on capital assets (</t>
    </r>
    <r>
      <rPr>
        <i/>
        <sz val="10"/>
        <rFont val="Arial"/>
        <family val="2"/>
      </rPr>
      <t>the portion</t>
    </r>
  </si>
  <si>
    <r>
      <t xml:space="preserve">losses and recognized as </t>
    </r>
    <r>
      <rPr>
        <u/>
        <sz val="10"/>
        <rFont val="Arial"/>
        <family val="2"/>
      </rPr>
      <t>nonoperating revenues</t>
    </r>
    <r>
      <rPr>
        <sz val="10"/>
        <rFont val="Arial"/>
        <family val="2"/>
      </rPr>
      <t>.</t>
    </r>
  </si>
  <si>
    <r>
      <t xml:space="preserve">losses and recognized as </t>
    </r>
    <r>
      <rPr>
        <u/>
        <sz val="10"/>
        <rFont val="Arial"/>
        <family val="2"/>
      </rPr>
      <t>extraordinary items</t>
    </r>
    <r>
      <rPr>
        <sz val="10"/>
        <rFont val="Arial"/>
        <family val="2"/>
      </rPr>
      <t>.</t>
    </r>
  </si>
  <si>
    <t>GASB Fund:  All GASB Funds</t>
  </si>
  <si>
    <t>Agency No:</t>
  </si>
  <si>
    <t>Number of zoo animals</t>
  </si>
  <si>
    <t xml:space="preserve">Number of vehicles </t>
  </si>
  <si>
    <t>Number of boats/trailers</t>
  </si>
  <si>
    <t>Number of aircraft</t>
  </si>
  <si>
    <t>Number of scientific equipment</t>
  </si>
  <si>
    <t>Number of close security prisons</t>
  </si>
  <si>
    <t>Number of medium security prisons</t>
  </si>
  <si>
    <t>Number of minimum security prisons</t>
  </si>
  <si>
    <t>Number of Enterprise vehicles:</t>
  </si>
  <si>
    <t>Number of vehicles:</t>
  </si>
  <si>
    <t>Number of academic/administrative buildings</t>
  </si>
  <si>
    <t>Number of dormitories/auxiliary buildings</t>
  </si>
  <si>
    <t xml:space="preserve">     Number of administration buildings</t>
  </si>
  <si>
    <t xml:space="preserve">     Number of clinical buildings</t>
  </si>
  <si>
    <t>Preparer:</t>
  </si>
  <si>
    <t>Phone:</t>
  </si>
  <si>
    <t>Sheet</t>
  </si>
  <si>
    <t>NA</t>
  </si>
  <si>
    <t>Worksheet Title</t>
  </si>
  <si>
    <t>Aaa/AAA</t>
  </si>
  <si>
    <t>Email:</t>
  </si>
  <si>
    <t>CASH AND CASH EQUIVALENTS IN BANKS OUTSIDE THE STATE TREASURER</t>
  </si>
  <si>
    <t>(1)</t>
  </si>
  <si>
    <t>4XXX</t>
  </si>
  <si>
    <t>Status</t>
  </si>
  <si>
    <t xml:space="preserve">Name of </t>
  </si>
  <si>
    <t xml:space="preserve">Description of </t>
  </si>
  <si>
    <t>438700-538700</t>
  </si>
  <si>
    <t>Transfer</t>
  </si>
  <si>
    <t>for use in capital projects? (exclude capitalized interest earnings)</t>
  </si>
  <si>
    <t>Capital assets-depreciable, net</t>
  </si>
  <si>
    <t>Total Certificates of Deposit</t>
  </si>
  <si>
    <t>Invalid NCAS account number.  See lines marked *.</t>
  </si>
  <si>
    <t>Due from primary government</t>
  </si>
  <si>
    <t>Custodial credit risk - deposits</t>
  </si>
  <si>
    <t>4.</t>
  </si>
  <si>
    <t>114800</t>
  </si>
  <si>
    <t>6)  Fiscal Year-End Date (Month/Day)</t>
  </si>
  <si>
    <t>7)  Included with your agency's</t>
  </si>
  <si>
    <t xml:space="preserve">      financial statements (Y/N)?</t>
  </si>
  <si>
    <t>Interest Rate</t>
  </si>
  <si>
    <t>Swaps, Net</t>
  </si>
  <si>
    <t>GASB 40 establishes a general disclosure principal that risk disclosures applicable to investments should be reported separately by investment type.  It emphasizes that</t>
  </si>
  <si>
    <t>BANK INVESTMENT CONTRACTS:</t>
  </si>
  <si>
    <t>Instructions to complete this worksheet:</t>
  </si>
  <si>
    <t>Interfund payables</t>
  </si>
  <si>
    <t>Due to component unit</t>
  </si>
  <si>
    <t>Other current liabilities</t>
  </si>
  <si>
    <t>Noncurrent liabilities</t>
  </si>
  <si>
    <t>Total liabilities</t>
  </si>
  <si>
    <t>Restricted</t>
  </si>
  <si>
    <t>Depreciation</t>
  </si>
  <si>
    <t>Name of Not-For-Profit Organization</t>
  </si>
  <si>
    <t>Moving weighted average</t>
  </si>
  <si>
    <t>Last invoice cost</t>
  </si>
  <si>
    <t>Indicate the methods used to value your inventories:</t>
  </si>
  <si>
    <t>2)</t>
  </si>
  <si>
    <t>CAPITAL ASSETS</t>
  </si>
  <si>
    <t>a)</t>
  </si>
  <si>
    <t>Operating Revenues:</t>
  </si>
  <si>
    <t>Federal grants and contracts</t>
  </si>
  <si>
    <t>State and local grants and contracts</t>
  </si>
  <si>
    <t>Nongovernmental grants and contracts</t>
  </si>
  <si>
    <t>Interest earnings on loans</t>
  </si>
  <si>
    <t>Total operating revenues</t>
  </si>
  <si>
    <t>Operating Expenses:</t>
  </si>
  <si>
    <t>Personal services</t>
  </si>
  <si>
    <t>Supplies and materials</t>
  </si>
  <si>
    <t>Services</t>
  </si>
  <si>
    <t>Cost of goods sold</t>
  </si>
  <si>
    <t>Governmental Funds Only</t>
  </si>
  <si>
    <t>69</t>
  </si>
  <si>
    <t>ZB</t>
  </si>
  <si>
    <t>U10</t>
  </si>
  <si>
    <t>U20</t>
  </si>
  <si>
    <t>U30</t>
  </si>
  <si>
    <t>U40</t>
  </si>
  <si>
    <t>U50</t>
  </si>
  <si>
    <t>U55</t>
  </si>
  <si>
    <t>Investments Held Outside the State Treasurer - Interest Rate Risk</t>
  </si>
  <si>
    <t>Income before other rev, exp, gains, or losses</t>
  </si>
  <si>
    <t>Capital Debt</t>
  </si>
  <si>
    <t>Noncapital Debt</t>
  </si>
  <si>
    <t>Amount of unspent debt proceeds</t>
  </si>
  <si>
    <t>Note:  This worksheet should only be completed by State agencies and</t>
  </si>
  <si>
    <t>Universities (i.e., N/A for all component units, except universities).</t>
  </si>
  <si>
    <t>Schedule of Advances</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</si>
  <si>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</si>
  <si>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</si>
  <si>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Current Year Assets Transferred In</t>
  </si>
  <si>
    <t>3.  Construction in progress</t>
  </si>
  <si>
    <t>Capital assets, depreciable:</t>
  </si>
  <si>
    <t>4.  Buildings</t>
  </si>
  <si>
    <t>3.</t>
  </si>
  <si>
    <t>Due Within</t>
  </si>
  <si>
    <t>One Year</t>
  </si>
  <si>
    <t xml:space="preserve">   Total Current assets</t>
  </si>
  <si>
    <t xml:space="preserve">Investments </t>
  </si>
  <si>
    <t xml:space="preserve">Restricted investments </t>
  </si>
  <si>
    <t>GASB Fund Number</t>
  </si>
  <si>
    <t>2631 &amp; 2634</t>
  </si>
  <si>
    <t>Wilson Community College</t>
  </si>
  <si>
    <t xml:space="preserve">Agency No: </t>
  </si>
  <si>
    <t>Total investments subject to the 5 percent threshold are defined as follows:</t>
  </si>
  <si>
    <t>3X</t>
  </si>
  <si>
    <t>Department of Commerce</t>
  </si>
  <si>
    <t>Department of Revenue</t>
  </si>
  <si>
    <t>Overall Range of Interest Rates of Total Outstanding Debt*</t>
  </si>
  <si>
    <t>Schedule of Due From / Restricted Due From Primary Government</t>
  </si>
  <si>
    <t>Exp</t>
  </si>
  <si>
    <t>Explanations</t>
  </si>
  <si>
    <t>Wksht</t>
  </si>
  <si>
    <t>GASB Fund No: All</t>
  </si>
  <si>
    <t>Worksheet Explanations</t>
  </si>
  <si>
    <t>CF</t>
  </si>
  <si>
    <t>College of the Albemarle</t>
  </si>
  <si>
    <t>Anticipation notes</t>
  </si>
  <si>
    <t>Error Key</t>
  </si>
  <si>
    <t>a</t>
  </si>
  <si>
    <t>b</t>
  </si>
  <si>
    <t>c</t>
  </si>
  <si>
    <t>Errors:</t>
  </si>
  <si>
    <t>d</t>
  </si>
  <si>
    <t>e</t>
  </si>
  <si>
    <t>f</t>
  </si>
  <si>
    <t>g</t>
  </si>
  <si>
    <t>h</t>
  </si>
  <si>
    <t>i</t>
  </si>
  <si>
    <t>j</t>
  </si>
  <si>
    <t>Page</t>
  </si>
  <si>
    <t>Original issue amount is blank.</t>
  </si>
  <si>
    <t>"From" interest rate is blank.</t>
  </si>
  <si>
    <t>"To" interest rate is blank.</t>
  </si>
  <si>
    <t>Final maturity date is blank.</t>
  </si>
  <si>
    <t>For any receivable statement caption (notes rec, accounts rec, taxes receivable, etc) on</t>
  </si>
  <si>
    <t>Contributions:</t>
  </si>
  <si>
    <t>Investment income:</t>
  </si>
  <si>
    <t>Other additions:</t>
  </si>
  <si>
    <t>Total additions</t>
  </si>
  <si>
    <t>Deductions:</t>
  </si>
  <si>
    <t>Refund of contributions</t>
  </si>
  <si>
    <t>Administrative expenses</t>
  </si>
  <si>
    <t>Other deductions</t>
  </si>
  <si>
    <t>This sheet is optional but we encourage your participation.</t>
  </si>
  <si>
    <t xml:space="preserve">The OSC is committed to improving our year end process.  We would appreciate any comments or </t>
  </si>
  <si>
    <t>Operating income</t>
  </si>
  <si>
    <t>Total noncurrent Liabilities</t>
  </si>
  <si>
    <t xml:space="preserve">      Health and human services</t>
  </si>
  <si>
    <t xml:space="preserve">      Economic development</t>
  </si>
  <si>
    <t>GASB Fund No:</t>
  </si>
  <si>
    <t>Difference</t>
  </si>
  <si>
    <t>FOOD STAMPS, FOOD COMMODITIES</t>
  </si>
  <si>
    <t xml:space="preserve"> General Obligation Bonds Payable</t>
  </si>
  <si>
    <t xml:space="preserve"> Revenue Bonds Payable</t>
  </si>
  <si>
    <t>Does not meet the above criteria.</t>
  </si>
  <si>
    <t>Investments:</t>
  </si>
  <si>
    <t xml:space="preserve">Capital assets-nondepreciable </t>
  </si>
  <si>
    <t xml:space="preserve">Capital assets-depreciable, net </t>
  </si>
  <si>
    <t>Liabilities</t>
  </si>
  <si>
    <t xml:space="preserve">  Annuity contracts</t>
  </si>
  <si>
    <t xml:space="preserve">  Bank investment contracts</t>
  </si>
  <si>
    <t xml:space="preserve">  U.S. Govt. securities</t>
  </si>
  <si>
    <t xml:space="preserve">  State and municipal securities</t>
  </si>
  <si>
    <t xml:space="preserve">  Corporate bonds</t>
  </si>
  <si>
    <t xml:space="preserve">  Commercial paper</t>
  </si>
  <si>
    <t xml:space="preserve">  Corporate stocks</t>
  </si>
  <si>
    <t xml:space="preserve">  Mutual funds</t>
  </si>
  <si>
    <t xml:space="preserve">  Certificates of deposit</t>
  </si>
  <si>
    <t xml:space="preserve">  Accounts receivables</t>
  </si>
  <si>
    <t>Gain on sale of property &amp; equipment</t>
  </si>
  <si>
    <t>5.  Machinery and equipment</t>
  </si>
  <si>
    <t>Restricted/designated cash and cash equivalents</t>
  </si>
  <si>
    <t>LIABILITIES</t>
  </si>
  <si>
    <t xml:space="preserve">   </t>
  </si>
  <si>
    <t>OSC-Central Accounts</t>
  </si>
  <si>
    <t xml:space="preserve">    Total other additions</t>
  </si>
  <si>
    <t xml:space="preserve">  Total deductions</t>
  </si>
  <si>
    <t>(i.e., Euro, Japanese Yen, Swiss Franc, etc)</t>
  </si>
  <si>
    <t>General obligation bonds</t>
  </si>
  <si>
    <t>Certificates of participation</t>
  </si>
  <si>
    <t>Schedule of Intra-Agency Receivables and Payables</t>
  </si>
  <si>
    <t>Interest*</t>
  </si>
  <si>
    <t>investment, disclose the lowest rating.</t>
  </si>
  <si>
    <t>Residual Cash - Cash with fiscal agent (Trust Accounts)</t>
  </si>
  <si>
    <t>TOTAL DEMAND ACCOUNTS</t>
  </si>
  <si>
    <t>Custodial credit risk - investments</t>
  </si>
  <si>
    <t>Deposit and Investment Policies?</t>
  </si>
  <si>
    <t>010</t>
  </si>
  <si>
    <t>1100</t>
  </si>
  <si>
    <t>1.</t>
  </si>
  <si>
    <t>2.</t>
  </si>
  <si>
    <t>Deposit and Investment Risks</t>
  </si>
  <si>
    <t>Public Safety, Corrections &amp; Reg</t>
  </si>
  <si>
    <t>020</t>
  </si>
  <si>
    <t>022</t>
  </si>
  <si>
    <t>030</t>
  </si>
  <si>
    <t>Health &amp; Human Services</t>
  </si>
  <si>
    <t>040</t>
  </si>
  <si>
    <t>050</t>
  </si>
  <si>
    <t>051</t>
  </si>
  <si>
    <t>060</t>
  </si>
  <si>
    <t>070</t>
  </si>
  <si>
    <t>Environment &amp; Natural Resource</t>
  </si>
  <si>
    <t>078</t>
  </si>
  <si>
    <t>080</t>
  </si>
  <si>
    <t>083</t>
  </si>
  <si>
    <t>090</t>
  </si>
  <si>
    <t>100</t>
  </si>
  <si>
    <t>101</t>
  </si>
  <si>
    <t>110</t>
  </si>
  <si>
    <t>111</t>
  </si>
  <si>
    <t>120</t>
  </si>
  <si>
    <t>124</t>
  </si>
  <si>
    <t>130</t>
  </si>
  <si>
    <t>134</t>
  </si>
  <si>
    <t>140</t>
  </si>
  <si>
    <t>150</t>
  </si>
  <si>
    <t>151</t>
  </si>
  <si>
    <t>160</t>
  </si>
  <si>
    <t>suggestions you may have in this regard.  We will use this feedback as a quality tool to enhance</t>
  </si>
  <si>
    <t>Investments</t>
  </si>
  <si>
    <t>Notes receivable</t>
  </si>
  <si>
    <t xml:space="preserve">Governments that report enterprise funds or that use enterprise fund accounting and reporting standards are </t>
  </si>
  <si>
    <t>Department of Public Instruction</t>
  </si>
  <si>
    <t xml:space="preserve">     Other/Specialty trucks</t>
  </si>
  <si>
    <t>4)</t>
  </si>
  <si>
    <t>PROGRAM REVENUE</t>
  </si>
  <si>
    <t>Notes</t>
  </si>
  <si>
    <t>Deductions</t>
  </si>
  <si>
    <t>Cash and cash equivalents</t>
  </si>
  <si>
    <t>Receivables</t>
  </si>
  <si>
    <t>41</t>
  </si>
  <si>
    <t>Less:   Actual cash expenditures paid on the commitment</t>
  </si>
  <si>
    <t>Less:   Accrued expenditures recorded against the contract</t>
  </si>
  <si>
    <t xml:space="preserve">            during 13th month accrual process</t>
  </si>
  <si>
    <t>SUBSEQUENT EVENTS:</t>
  </si>
  <si>
    <t>J</t>
  </si>
  <si>
    <t>Dept. of Health and Human Services</t>
  </si>
  <si>
    <t>If your agency has any "reportable segments" as defined by GAAP, provide the following information</t>
  </si>
  <si>
    <t xml:space="preserve">for each reportable segment (Note: if you have more than one reportable segment, complete a separate </t>
  </si>
  <si>
    <t>worksheet for each one).</t>
  </si>
  <si>
    <t>Unearned revenue</t>
  </si>
  <si>
    <t>The amount of the commitment should be calculated as follows:</t>
  </si>
  <si>
    <t>Decrease in CIP column does not net to zero.</t>
  </si>
  <si>
    <t>If capital lease payments are listed, then Section II must be completed.</t>
  </si>
  <si>
    <t>Rex Healthcare</t>
  </si>
  <si>
    <t>NC Education Lottery</t>
  </si>
  <si>
    <t>NC State Ports Authority</t>
  </si>
  <si>
    <t>NC Global TransPark Authority</t>
  </si>
  <si>
    <t>NC Partnership for Children</t>
  </si>
  <si>
    <t>DE</t>
  </si>
  <si>
    <t>3)  Total Equity</t>
  </si>
  <si>
    <t>4)  Total Revenues</t>
  </si>
  <si>
    <t>5)  Total Expenses</t>
  </si>
  <si>
    <t>1)  Total Assets</t>
  </si>
  <si>
    <t>2)  Total Liabilities</t>
  </si>
  <si>
    <t>(N/A for Component Units)</t>
  </si>
  <si>
    <t>Include revenue statement caption for each fiscal year pledged directly to servicing the revenue bond requirements.</t>
  </si>
  <si>
    <t>Construction and Other Significant Commitments</t>
  </si>
  <si>
    <t>(Note: The only exception is for demand bonds that are classified as due within one year.)</t>
  </si>
  <si>
    <t>Changes in Long-Term Liabilities and Short-Term Debt (Business-Type)</t>
  </si>
  <si>
    <t>Notes receivables</t>
  </si>
  <si>
    <t>Capital assets-nondepreciable</t>
  </si>
  <si>
    <t>Capital assets-depreciable,net</t>
  </si>
  <si>
    <t>Funds Held for Others</t>
  </si>
  <si>
    <t>(Agree with above Total Fund Balance)</t>
  </si>
  <si>
    <t>Index</t>
  </si>
  <si>
    <t>General Instructions</t>
  </si>
  <si>
    <t>but not in Agency's Name</t>
  </si>
  <si>
    <t>Balances as of</t>
  </si>
  <si>
    <t>Type</t>
  </si>
  <si>
    <t>GASB Fund Name:</t>
  </si>
  <si>
    <t>NCAS Acct</t>
  </si>
  <si>
    <t>Statement Caption</t>
  </si>
  <si>
    <t>1) Describe types of goods and services provided by the segment:</t>
  </si>
  <si>
    <t>C0</t>
  </si>
  <si>
    <t>Alamance Community College</t>
  </si>
  <si>
    <t>C2</t>
  </si>
  <si>
    <t>Asheville-Buncombe Technical Community College</t>
  </si>
  <si>
    <t>C3</t>
  </si>
  <si>
    <t>Beaufort County Community College</t>
  </si>
  <si>
    <t>C4</t>
  </si>
  <si>
    <t>Bladen Community College</t>
  </si>
  <si>
    <t>C5</t>
  </si>
  <si>
    <t>Blue Ridge Community College</t>
  </si>
  <si>
    <t>Complete the following schedule for required lease disclosures:</t>
  </si>
  <si>
    <t>Lease</t>
  </si>
  <si>
    <t>Payments</t>
  </si>
  <si>
    <t>II.</t>
  </si>
  <si>
    <t>Buildings</t>
  </si>
  <si>
    <t>This agency has material contingent liabilities involving Federal grants and programs.</t>
  </si>
  <si>
    <t>Fin. Institution's</t>
  </si>
  <si>
    <t>Uninsured and</t>
  </si>
  <si>
    <t>NC Railroad Company</t>
  </si>
  <si>
    <t>ZA</t>
  </si>
  <si>
    <t>Z3</t>
  </si>
  <si>
    <t>Z7</t>
  </si>
  <si>
    <t>ZH</t>
  </si>
  <si>
    <t>Indicator</t>
  </si>
  <si>
    <t>Invalid filename</t>
  </si>
  <si>
    <t>ASSETS</t>
  </si>
  <si>
    <t>Current Assets:</t>
  </si>
  <si>
    <t xml:space="preserve">Cash and cash equivalents </t>
  </si>
  <si>
    <t>Prepaid items</t>
  </si>
  <si>
    <t>Offline Proprietary Analytical Review - Computed Variances</t>
  </si>
  <si>
    <t>Narrative</t>
  </si>
  <si>
    <t>Restricted:</t>
  </si>
  <si>
    <t>Other:</t>
  </si>
  <si>
    <t>Unrestricted:</t>
  </si>
  <si>
    <t>Other receivables, net</t>
  </si>
  <si>
    <t>Due from State of NC component units</t>
  </si>
  <si>
    <t>Total Current Assets</t>
  </si>
  <si>
    <t>Noncurrent Assets:</t>
  </si>
  <si>
    <t xml:space="preserve">Restricted/designated cash and cash equivalents </t>
  </si>
  <si>
    <t>Restricted investments</t>
  </si>
  <si>
    <t>Miscellaneous</t>
  </si>
  <si>
    <t>(NOTE - Do not reflect amount actually paid.)</t>
  </si>
  <si>
    <t>Restatement</t>
  </si>
  <si>
    <t>Restricted due from primary government</t>
  </si>
  <si>
    <t>Principal amount of the Revenue Bond DUE in the specified year.</t>
  </si>
  <si>
    <t>Prior Year</t>
  </si>
  <si>
    <t>Reclassification</t>
  </si>
  <si>
    <t>Other</t>
  </si>
  <si>
    <t>Interest amount of the Revenue Bond DUE in the specified fiscal year.</t>
  </si>
  <si>
    <t>Total Bank Investment Contracts</t>
  </si>
  <si>
    <t>Type of Investment</t>
  </si>
  <si>
    <t>Investments Categorized:</t>
  </si>
  <si>
    <t>Commercial paper</t>
  </si>
  <si>
    <t>Investments Held Outside the State Treasurer - Custodial Credit Risk - Deposits</t>
  </si>
  <si>
    <t>Investments Held Outside the State Treasurer - Custodial Credit Risk - Investments</t>
  </si>
  <si>
    <t>Cash and Cash Equivalents in Banks Outside the State Treasurer - Custodial Credit Risk - Deposits</t>
  </si>
  <si>
    <t>Total Debt Service</t>
  </si>
  <si>
    <t xml:space="preserve">Any transaction or event, the omission of which would produce a material misstatement of the </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</si>
  <si>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</si>
  <si>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</si>
  <si>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</si>
  <si>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</si>
  <si>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</si>
  <si>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</si>
  <si>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</si>
  <si>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</si>
  <si>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</si>
  <si>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</si>
  <si>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</si>
  <si>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</si>
  <si>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</si>
  <si>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</si>
  <si>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</si>
  <si>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</si>
  <si>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</si>
  <si>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UNC Hospitals</t>
  </si>
  <si>
    <t>Fiscal Year Begin</t>
  </si>
  <si>
    <t>Last Fiscal Year End</t>
  </si>
  <si>
    <t>Header Information</t>
  </si>
  <si>
    <t xml:space="preserve">     Passenger/Cargo vans</t>
  </si>
  <si>
    <t xml:space="preserve">     Inmate transfer vans/buses</t>
  </si>
  <si>
    <t>Account</t>
  </si>
  <si>
    <t>No.</t>
  </si>
  <si>
    <t>TIME  ACCOUNTS:</t>
  </si>
  <si>
    <t>Agency/Univ Name:</t>
  </si>
  <si>
    <t>Cash by</t>
  </si>
  <si>
    <t>GASB name is blank.</t>
  </si>
  <si>
    <t>Column A does not equal Column F.  See lines marked *.</t>
  </si>
  <si>
    <t>Column A does not equal the sum of columns B, C, and D.  See lines marked *.</t>
  </si>
  <si>
    <t>&lt;&lt;&lt; Click on the cell to see a list of agencies.</t>
  </si>
  <si>
    <r>
      <t xml:space="preserve">NO </t>
    </r>
    <r>
      <rPr>
        <b/>
        <vertAlign val="superscript"/>
        <sz val="9"/>
        <rFont val="Arial"/>
        <family val="2"/>
      </rPr>
      <t>2</t>
    </r>
  </si>
  <si>
    <r>
      <t xml:space="preserve">N/A </t>
    </r>
    <r>
      <rPr>
        <b/>
        <vertAlign val="superscript"/>
        <sz val="9"/>
        <rFont val="Arial"/>
        <family val="2"/>
      </rPr>
      <t>3</t>
    </r>
  </si>
  <si>
    <t xml:space="preserve">     Inmate workcrew vans/buses</t>
  </si>
  <si>
    <t xml:space="preserve">     Inmate workcrew buses</t>
  </si>
  <si>
    <t xml:space="preserve">     Pickup trucks</t>
  </si>
  <si>
    <t xml:space="preserve">     Roving patrol pickups</t>
  </si>
  <si>
    <t>Due to primary government</t>
  </si>
  <si>
    <t>Claims payable</t>
  </si>
  <si>
    <t>Funds held for others</t>
  </si>
  <si>
    <t>from that listed above, please contact OSC</t>
  </si>
  <si>
    <t>for additional guidance.</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</si>
  <si>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</si>
  <si>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</si>
  <si>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If YES, disclose the following:</t>
  </si>
  <si>
    <t>Other Rating Agency (specify)</t>
  </si>
  <si>
    <t>Do the total principal requirements (including debt with interest rate swaps on 320) agree with column [E]</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</si>
  <si>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</si>
  <si>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</si>
  <si>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</si>
  <si>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</si>
  <si>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</si>
  <si>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</si>
  <si>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</si>
  <si>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Row E (Principal) plus Row F (Interest) = Row G</t>
  </si>
  <si>
    <t>Row D (Net Revenue Available for Debt Service) DIVIDED by Row G (Total Debt Service Requirements) = Row H</t>
  </si>
  <si>
    <t>Surry Community College</t>
  </si>
  <si>
    <t>DH</t>
  </si>
  <si>
    <t>Row A</t>
  </si>
  <si>
    <t>Row B</t>
  </si>
  <si>
    <t>Agency</t>
  </si>
  <si>
    <t>GASB No:</t>
  </si>
  <si>
    <t>USS North Carolina Battleship Comm.</t>
  </si>
  <si>
    <t>UNC at Chapel Hill</t>
  </si>
  <si>
    <t>UNC at Greensboro</t>
  </si>
  <si>
    <t>Department of Health and Human Services</t>
  </si>
  <si>
    <t>Cases disposed as a % of cases filed-District Court</t>
  </si>
  <si>
    <t>Transportation</t>
  </si>
  <si>
    <t>Agriculture</t>
  </si>
  <si>
    <t>Department of Agriculture and Consumer Services</t>
  </si>
  <si>
    <t>List your method of depreciation (e.g., straight-line, etc.):</t>
  </si>
  <si>
    <t>3)</t>
  </si>
  <si>
    <t>Contingencies</t>
  </si>
  <si>
    <t>Next Fiscal Year End</t>
  </si>
  <si>
    <t>Total Original Issue Amount Related to Total Outstanding Debt</t>
  </si>
  <si>
    <t>Transfers In</t>
  </si>
  <si>
    <t>Transfers Out</t>
  </si>
  <si>
    <t>Deposits payable</t>
  </si>
  <si>
    <t>(Cost + Allowance)</t>
  </si>
  <si>
    <t>U80</t>
  </si>
  <si>
    <t>U82</t>
  </si>
  <si>
    <t>U84</t>
  </si>
  <si>
    <t>U86</t>
  </si>
  <si>
    <t>U88</t>
  </si>
  <si>
    <t>U90</t>
  </si>
  <si>
    <t>U92</t>
  </si>
  <si>
    <t>none</t>
  </si>
  <si>
    <t xml:space="preserve">Department of Public Instruction </t>
  </si>
  <si>
    <t xml:space="preserve">   Total current liabilities</t>
  </si>
  <si>
    <t xml:space="preserve">   Total noncurrent liabilities</t>
  </si>
  <si>
    <t xml:space="preserve">       Total  liabilities</t>
  </si>
  <si>
    <t xml:space="preserve">   Total operating revenues</t>
  </si>
  <si>
    <t>Operating Revenues</t>
  </si>
  <si>
    <t>Operating Expenses</t>
  </si>
  <si>
    <t xml:space="preserve">   Total operating expenses</t>
  </si>
  <si>
    <t xml:space="preserve">      Operating income (loss)</t>
  </si>
  <si>
    <t>Gain on sale of property and equipment</t>
  </si>
  <si>
    <t>Loss on sale of property and equipment</t>
  </si>
  <si>
    <t xml:space="preserve">   Total nonoperating revenues (expenses)</t>
  </si>
  <si>
    <t xml:space="preserve">      Income before other revenues expenses gains and losses</t>
  </si>
  <si>
    <t xml:space="preserve">State capital aid </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</si>
  <si>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</si>
  <si>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Total assets</t>
  </si>
  <si>
    <t>Number of buildings</t>
  </si>
  <si>
    <t>Number of parking lots</t>
  </si>
  <si>
    <t>Number of parking spaces</t>
  </si>
  <si>
    <t xml:space="preserve">Number of Motor Fleet vehicles </t>
  </si>
  <si>
    <t>Number of Mental Health Institutions</t>
  </si>
  <si>
    <t>Number of certified beds</t>
  </si>
  <si>
    <t>If any of the balances listed above represent interfund loans, submit an explanation with this worksheet.</t>
  </si>
  <si>
    <t>Detailed Explanation</t>
  </si>
  <si>
    <t>IF YES, complete the following for each issuer meeting the 5 percent threshold.</t>
  </si>
  <si>
    <t>An issuer is the entity that has the authority to distribute a security or other investment. A bond issuer is the entity that is legally obligated to make principal</t>
  </si>
  <si>
    <t>N/A</t>
  </si>
  <si>
    <t>then breakout out the dissimilar investments below.</t>
  </si>
  <si>
    <t xml:space="preserve">If there were any dissimilar investments subject to interest rate risk aggregated into a single investment type on Worksheet 720, </t>
  </si>
  <si>
    <t>12XX, 13XX</t>
  </si>
  <si>
    <t>14XX</t>
  </si>
  <si>
    <t>ZI</t>
  </si>
  <si>
    <t>(252) 442-7474</t>
  </si>
  <si>
    <t>Sales and services, net</t>
  </si>
  <si>
    <t>Rental and lease earnings</t>
  </si>
  <si>
    <t xml:space="preserve">   Total Noncurrent assets</t>
  </si>
  <si>
    <t xml:space="preserve">       Total  assets</t>
  </si>
  <si>
    <t xml:space="preserve">Accounts payable </t>
  </si>
  <si>
    <t>Total Current Liabilities</t>
  </si>
  <si>
    <t>Noncurrent Liabilities:</t>
  </si>
  <si>
    <t>Advance from primary government</t>
  </si>
  <si>
    <t>Accrued vacation leave</t>
  </si>
  <si>
    <t>Total Liabilities</t>
  </si>
  <si>
    <t>Restricted for:</t>
  </si>
  <si>
    <t xml:space="preserve">Please locate your agency below and fill in the requested information. </t>
  </si>
  <si>
    <t>If your employer rate of contribution differs</t>
  </si>
  <si>
    <t>Fund</t>
  </si>
  <si>
    <t>Check type of payable:</t>
  </si>
  <si>
    <t>Does your agency receive interest as program revenue that is restricted</t>
  </si>
  <si>
    <t>worksheet, click on the words "Office of the State Controller" at the top of any worksheet.</t>
  </si>
  <si>
    <t>Grants, aid and subsidies expense</t>
  </si>
  <si>
    <t>Miscellaneous nonoperating revenue</t>
  </si>
  <si>
    <t>Miscellaneous nonoperating expense</t>
  </si>
  <si>
    <t>Fiscal Year</t>
  </si>
  <si>
    <t>Total Requirements</t>
  </si>
  <si>
    <t xml:space="preserve">YES  </t>
  </si>
  <si>
    <t>All Funds</t>
  </si>
  <si>
    <t>I.</t>
  </si>
  <si>
    <t>Reacquisition price:</t>
  </si>
  <si>
    <t>Number</t>
  </si>
  <si>
    <t>Fund Equity</t>
  </si>
  <si>
    <t>Explanation</t>
  </si>
  <si>
    <t>AGENCY ACTION:</t>
  </si>
  <si>
    <t xml:space="preserve">Indicate the Moody's/S&amp;P/Fitch credit rating or indicate "Unrated" or "Exempt" (for exempt from credit quality).  If you have access to multiple credit ratings for a particular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</si>
  <si>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</si>
  <si>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(U.S. Dollars)</t>
  </si>
  <si>
    <t>Accrued payroll</t>
  </si>
  <si>
    <t>Intergovernmental payables</t>
  </si>
  <si>
    <t>University No:</t>
  </si>
  <si>
    <t>University Name:</t>
  </si>
  <si>
    <t>b)</t>
  </si>
  <si>
    <t>DESCRIPTION</t>
  </si>
  <si>
    <t>CU-UNC</t>
  </si>
  <si>
    <t>CU-CC</t>
  </si>
  <si>
    <t>CU-Nonmajor</t>
  </si>
  <si>
    <t>Inventories owned by the State traditionally have been valued by one of the following methods:</t>
  </si>
  <si>
    <t>Motor fuel dispensers tested</t>
  </si>
  <si>
    <t>Worksheet is out of balance.</t>
  </si>
  <si>
    <t>Op</t>
  </si>
  <si>
    <t>Cap</t>
  </si>
  <si>
    <t xml:space="preserve">  Accounts receivable</t>
  </si>
  <si>
    <t xml:space="preserve">  Interest receivable</t>
  </si>
  <si>
    <t xml:space="preserve">  Contributions receivable</t>
  </si>
  <si>
    <t xml:space="preserve">  Employees' pension and other benefits</t>
  </si>
  <si>
    <t>Student tuition and fees</t>
  </si>
  <si>
    <t>Patient services</t>
  </si>
  <si>
    <t>Rental lease earnings</t>
  </si>
  <si>
    <t>policies are extremely long and can be quite detailed.  If broad cash management and investment policies have been adopted, only a brief description</t>
  </si>
  <si>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</si>
  <si>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</si>
  <si>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NOTE:</t>
  </si>
  <si>
    <t>Instructions to complete worksheet:</t>
  </si>
  <si>
    <t>-</t>
  </si>
  <si>
    <t>Include direct operating expense paid from the Revenue Bond Fund which reduces the resources</t>
  </si>
  <si>
    <t>Functional</t>
  </si>
  <si>
    <t>Medicaid recipients</t>
  </si>
  <si>
    <t>Food stamp recipients</t>
  </si>
  <si>
    <t>Clients served by mental health facilities</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</si>
  <si>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</si>
  <si>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</si>
  <si>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</si>
  <si>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</si>
  <si>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</si>
  <si>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</si>
  <si>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</si>
  <si>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</si>
  <si>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</si>
  <si>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</si>
  <si>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</si>
  <si>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</si>
  <si>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</si>
  <si>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</si>
  <si>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</si>
  <si>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</si>
  <si>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</si>
  <si>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</si>
  <si>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</si>
  <si>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</si>
  <si>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</si>
  <si>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</si>
  <si>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</si>
  <si>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</si>
  <si>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</si>
  <si>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</si>
  <si>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</si>
  <si>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</si>
  <si>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</si>
  <si>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</si>
  <si>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</si>
  <si>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</si>
  <si>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</si>
  <si>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</si>
  <si>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</si>
  <si>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</si>
  <si>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</si>
  <si>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</si>
  <si>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</si>
  <si>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</si>
  <si>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</si>
  <si>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</si>
  <si>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</si>
  <si>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</si>
  <si>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</si>
  <si>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</si>
  <si>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</si>
  <si>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</si>
  <si>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</si>
  <si>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48E</t>
  </si>
  <si>
    <t>UNC Hospitals - Enterprise Fund</t>
  </si>
  <si>
    <t>State appropriations</t>
  </si>
  <si>
    <t>Unamortized premiums/discounts:</t>
  </si>
  <si>
    <t>Deferred charges on debt refundings:</t>
  </si>
  <si>
    <t>Tobacco Settlement</t>
  </si>
  <si>
    <t>Specify GASB number&gt;&gt;&gt;</t>
  </si>
  <si>
    <t>Agency number:</t>
  </si>
  <si>
    <t>available to pay the debt requirement.  Exclude interest, amortization and depreciation.</t>
  </si>
  <si>
    <t xml:space="preserve">     Number of facility services</t>
  </si>
  <si>
    <t xml:space="preserve">     Number of hospitals</t>
  </si>
  <si>
    <t>Component Units Only</t>
  </si>
  <si>
    <t>61</t>
  </si>
  <si>
    <t>Acceptance by the State entity of Federal grants and programs carry the possibility of reimbursement to the</t>
  </si>
  <si>
    <t>Federal Agency:</t>
  </si>
  <si>
    <t>Program:</t>
  </si>
  <si>
    <t>Description:</t>
  </si>
  <si>
    <t>(i.e., Food Stamp coupons, USDA-donated commodities, etc.) for which the State would be liable in the event of loss.</t>
  </si>
  <si>
    <t>Amount:</t>
  </si>
  <si>
    <r>
      <t>All material contingent liabilities of this agency, if any exist, have been disclosed above.</t>
    </r>
    <r>
      <rPr>
        <i/>
        <u/>
        <sz val="10"/>
        <rFont val="Arial"/>
        <family val="2"/>
      </rPr>
      <t/>
    </r>
  </si>
  <si>
    <t>NOTE: The term "covered payroll" is defined as all compensation paid to active employees contributing to the Optional Retirement Program.</t>
  </si>
  <si>
    <t>IMPORTANT</t>
  </si>
  <si>
    <t>If an agency's investment policy is limited to complying with its state's investment statutes, the relevant portions of the state statute relating to the risks</t>
  </si>
  <si>
    <r>
      <t xml:space="preserve">Federal grantor agency if periodic audits reveal </t>
    </r>
    <r>
      <rPr>
        <b/>
        <sz val="10"/>
        <rFont val="Arial"/>
        <family val="2"/>
      </rPr>
      <t>questioned costs</t>
    </r>
    <r>
      <rPr>
        <sz val="10"/>
        <rFont val="Arial"/>
        <family val="2"/>
      </rPr>
      <t>.</t>
    </r>
  </si>
  <si>
    <t>(i.e., debt defeased in prior fiscal years and no longer reported as a liability)</t>
  </si>
  <si>
    <t>U.S. Treasury STRIPS</t>
  </si>
  <si>
    <t>BUSINESS TYPE ACTIVITIES</t>
  </si>
  <si>
    <t>Unrestricted</t>
  </si>
  <si>
    <t>UNC Investment Fund</t>
  </si>
  <si>
    <t>PG</t>
  </si>
  <si>
    <t>Offline</t>
  </si>
  <si>
    <t>L</t>
  </si>
  <si>
    <t>M</t>
  </si>
  <si>
    <t>N</t>
  </si>
  <si>
    <t>Due from other funds</t>
  </si>
  <si>
    <t>Inventories</t>
  </si>
  <si>
    <t>13</t>
  </si>
  <si>
    <t>Operating income (loss)</t>
  </si>
  <si>
    <t>Retail scales tested</t>
  </si>
  <si>
    <t>Tri-County Community College</t>
  </si>
  <si>
    <t>DJ</t>
  </si>
  <si>
    <t>Vance-Granville Community College</t>
  </si>
  <si>
    <t>DK</t>
  </si>
  <si>
    <t>Wake Technical Community College</t>
  </si>
  <si>
    <t>DL</t>
  </si>
  <si>
    <t>Wayne Community College</t>
  </si>
  <si>
    <t>DM</t>
  </si>
  <si>
    <t>Other assets</t>
  </si>
  <si>
    <t xml:space="preserve">  Interest earnings on loans</t>
  </si>
  <si>
    <t xml:space="preserve">  Miscellaneous</t>
  </si>
  <si>
    <t>8.  NC DOT Highway Network</t>
  </si>
  <si>
    <t>Credit risk</t>
  </si>
  <si>
    <t>*</t>
  </si>
  <si>
    <t>Decrease In</t>
  </si>
  <si>
    <t>CIP</t>
  </si>
  <si>
    <t>Transferred Out</t>
  </si>
  <si>
    <t>Purchased</t>
  </si>
  <si>
    <t>Donated</t>
  </si>
  <si>
    <t>Concentration of credit risk</t>
  </si>
  <si>
    <r>
      <t>Only brief disclosures are required</t>
    </r>
    <r>
      <rPr>
        <sz val="9"/>
        <rFont val="Arial"/>
        <family val="2"/>
      </rPr>
      <t xml:space="preserve"> and a government should not include all details of its investment policies in its disclosures.  Many investment</t>
    </r>
  </si>
  <si>
    <t>Less: Operating Expense</t>
  </si>
  <si>
    <t>Net available revenue</t>
  </si>
  <si>
    <t>Net carrying amount of old debt:</t>
  </si>
  <si>
    <t>Old debt outstanding</t>
  </si>
  <si>
    <t>Advances to other funds</t>
  </si>
  <si>
    <t>Advances to component units</t>
  </si>
  <si>
    <t>Total Time/Demand/CD/BIC</t>
  </si>
  <si>
    <t>Comm</t>
  </si>
  <si>
    <r>
      <t xml:space="preserve">(Note: </t>
    </r>
    <r>
      <rPr>
        <i/>
        <sz val="10"/>
        <rFont val="Arial"/>
        <family val="2"/>
      </rPr>
      <t>For governmental activities, provide historical cost</t>
    </r>
    <r>
      <rPr>
        <sz val="10"/>
        <rFont val="Arial"/>
        <family val="2"/>
      </rPr>
      <t>)</t>
    </r>
  </si>
  <si>
    <r>
      <t>Primary Government Only</t>
    </r>
    <r>
      <rPr>
        <sz val="10"/>
        <rFont val="Arial"/>
        <family val="2"/>
      </rPr>
      <t xml:space="preserve"> (</t>
    </r>
    <r>
      <rPr>
        <i/>
        <sz val="10"/>
        <rFont val="Arial"/>
        <family val="2"/>
      </rPr>
      <t>State Agencies</t>
    </r>
    <r>
      <rPr>
        <sz val="10"/>
        <rFont val="Arial"/>
        <family val="2"/>
      </rPr>
      <t>)</t>
    </r>
  </si>
  <si>
    <r>
      <t>(a)  The historical cost of impaired capital assets (</t>
    </r>
    <r>
      <rPr>
        <i/>
        <sz val="10"/>
        <rFont val="Arial"/>
        <family val="2"/>
      </rPr>
      <t xml:space="preserve">include any </t>
    </r>
  </si>
  <si>
    <t>GASB Fund No.</t>
  </si>
  <si>
    <t>Valuation Method</t>
  </si>
  <si>
    <t>YES</t>
  </si>
  <si>
    <t>NO</t>
  </si>
  <si>
    <t>All GASB Funds</t>
  </si>
  <si>
    <t>Preparer/Phone:</t>
  </si>
  <si>
    <t xml:space="preserve"> </t>
  </si>
  <si>
    <t>114310-114321</t>
  </si>
  <si>
    <t>212310-212321</t>
  </si>
  <si>
    <t>TOTAL A</t>
  </si>
  <si>
    <t>TOTAL B</t>
  </si>
  <si>
    <t>TOTAL A MUST EQUAL TOTAL B</t>
  </si>
  <si>
    <t>Payor</t>
  </si>
  <si>
    <t>Comments</t>
  </si>
  <si>
    <t>TOTAL</t>
  </si>
  <si>
    <t>Payee</t>
  </si>
  <si>
    <r>
      <t>additions and improvements</t>
    </r>
    <r>
      <rPr>
        <sz val="10"/>
        <rFont val="Arial"/>
        <family val="2"/>
      </rPr>
      <t>).</t>
    </r>
  </si>
  <si>
    <t>Investments Not Categorized:</t>
  </si>
  <si>
    <t>Fair Value</t>
  </si>
  <si>
    <t>Additions: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</si>
  <si>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</si>
  <si>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</si>
  <si>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</si>
  <si>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</si>
  <si>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</si>
  <si>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</si>
  <si>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</si>
  <si>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Debt Defeasances</t>
  </si>
  <si>
    <t>Loss on sale of property &amp; equipment</t>
  </si>
  <si>
    <t>C</t>
  </si>
  <si>
    <t>D</t>
  </si>
  <si>
    <t>E</t>
  </si>
  <si>
    <t>F</t>
  </si>
  <si>
    <t xml:space="preserve">         Number of culverts</t>
  </si>
  <si>
    <t xml:space="preserve">    Vehicles</t>
  </si>
  <si>
    <t xml:space="preserve">    Heavy Equipment</t>
  </si>
  <si>
    <t>Component Units</t>
  </si>
  <si>
    <t>Community Colleges</t>
  </si>
  <si>
    <t>column [F] on changes in long-term liabilities worksheet (305/310)?</t>
  </si>
  <si>
    <r>
      <t>control of management</t>
    </r>
    <r>
      <rPr>
        <sz val="10"/>
        <rFont val="Arial"/>
        <family val="2"/>
      </rPr>
      <t xml:space="preserve"> that do not meet the definition of special items per paragraph 56 of GASB 34.</t>
    </r>
  </si>
  <si>
    <t>Office of the State Controller</t>
  </si>
  <si>
    <t>required to disclose certain information about each "reportable segment" in the notes to the financial</t>
  </si>
  <si>
    <t>Number of individual refunds processed</t>
  </si>
  <si>
    <t>Number of pieces of incoming mail</t>
  </si>
  <si>
    <t>Number of pieces of outgoing mail</t>
  </si>
  <si>
    <t>% Diff</t>
  </si>
  <si>
    <t>N/A for GASB 3XXX</t>
  </si>
  <si>
    <t>Subsequent Events/Other Items</t>
  </si>
  <si>
    <t>Segments</t>
  </si>
  <si>
    <t>Agency name:</t>
  </si>
  <si>
    <t>Wildlife Resources Commission</t>
  </si>
  <si>
    <t>2X</t>
  </si>
  <si>
    <t>DHHS - Mental Health</t>
  </si>
  <si>
    <t>NC 401(k) Plan</t>
  </si>
  <si>
    <t>statements.  "Reportable segments" are defined by GASB Statement No. 34, paragraph 122, as amended.</t>
  </si>
  <si>
    <t>AGENCY ACTION</t>
  </si>
  <si>
    <t>Total INVESTMENTS Held Outside the</t>
  </si>
  <si>
    <t>CERTIFICATES OF DEPOSIT:</t>
  </si>
  <si>
    <t xml:space="preserve">     Cars/SUV's</t>
  </si>
  <si>
    <t>State Highway Patrol</t>
  </si>
  <si>
    <t xml:space="preserve">     Cars</t>
  </si>
  <si>
    <t xml:space="preserve">     Trucks/Vans</t>
  </si>
  <si>
    <t xml:space="preserve">     Motorcycles</t>
  </si>
  <si>
    <t>Air Craft:</t>
  </si>
  <si>
    <t xml:space="preserve">     Helicopters</t>
  </si>
  <si>
    <t>Have any material events occurred subsequent to June 30 and up to the date of this agency's preparation</t>
  </si>
  <si>
    <t>OTHER ITEMS:</t>
  </si>
  <si>
    <t xml:space="preserve">Such items would already be recorded as a revenue or expenditure on the Statement of Revenues, </t>
  </si>
  <si>
    <t>Expenditures, and Changes in Fund Balances (for governmental funds) or the Statement of Revenues,</t>
  </si>
  <si>
    <t>Schedule of Interinstitutional Transfers</t>
  </si>
  <si>
    <t>Primary and secondary education</t>
  </si>
  <si>
    <t>Health and human services</t>
  </si>
  <si>
    <t>Economic development</t>
  </si>
  <si>
    <t>Environment and natural resources</t>
  </si>
  <si>
    <t>Public safety, corrections, and regulation</t>
  </si>
  <si>
    <t>Give a complete description of the transaction/event and the amount involved, if known.</t>
  </si>
  <si>
    <t xml:space="preserve">expected to be collected within one year.  </t>
  </si>
  <si>
    <t>on changes in long-term liabilities worksheet (305/310)?</t>
  </si>
  <si>
    <t>Investment earnings</t>
  </si>
  <si>
    <t>Contracts and grants</t>
  </si>
  <si>
    <t>Prior</t>
  </si>
  <si>
    <t>Year</t>
  </si>
  <si>
    <t>Asset</t>
  </si>
  <si>
    <t>Additions</t>
  </si>
  <si>
    <t>Retirements</t>
  </si>
  <si>
    <t>Adjustments</t>
  </si>
  <si>
    <t>Capital assets, non-depreciable:</t>
  </si>
  <si>
    <t>Restatements</t>
  </si>
  <si>
    <t>03</t>
  </si>
  <si>
    <t>Total Capital Assets</t>
  </si>
  <si>
    <t>Increases</t>
  </si>
  <si>
    <t>Decreases</t>
  </si>
  <si>
    <t>Deletions</t>
  </si>
  <si>
    <t>Accounts payable</t>
  </si>
  <si>
    <t>Arbitrage rebate payable</t>
  </si>
  <si>
    <t>Workers compensation</t>
  </si>
  <si>
    <t>(THRESHOLD NOT APPLICABLE - SEE INSTRUCTIONS)</t>
  </si>
  <si>
    <t xml:space="preserve">NCAS </t>
  </si>
  <si>
    <t>Montgomery Community College</t>
  </si>
  <si>
    <t>D1</t>
  </si>
  <si>
    <t>Nash Community College</t>
  </si>
  <si>
    <t>D2</t>
  </si>
  <si>
    <t>Pamlico Community College</t>
  </si>
  <si>
    <t>D3</t>
  </si>
  <si>
    <t>Piedmont Community College</t>
  </si>
  <si>
    <t>D4</t>
  </si>
  <si>
    <t>Pitt Community College</t>
  </si>
  <si>
    <t>D5</t>
  </si>
  <si>
    <t>INVESTMENTS HELD OUTSIDE THE STATE TREASURER</t>
  </si>
  <si>
    <t>Insurance recoveries</t>
  </si>
  <si>
    <t>1.  Investment Type (per worksheet 720):</t>
  </si>
  <si>
    <t>Benefits payable</t>
  </si>
  <si>
    <t>Held in trust for:</t>
  </si>
  <si>
    <t xml:space="preserve">    Total contributions</t>
  </si>
  <si>
    <t xml:space="preserve">  Employer</t>
  </si>
  <si>
    <t xml:space="preserve">  Members</t>
  </si>
  <si>
    <t xml:space="preserve">  Trustee deposits</t>
  </si>
  <si>
    <t xml:space="preserve">  Other contributions</t>
  </si>
  <si>
    <t xml:space="preserve">  Investment earnings (loss)</t>
  </si>
  <si>
    <t xml:space="preserve">  Less investment expenses</t>
  </si>
  <si>
    <t xml:space="preserve">    Net investment income (loss)</t>
  </si>
  <si>
    <t xml:space="preserve">  Fees, licenses and fines</t>
  </si>
  <si>
    <t>Expenditures</t>
  </si>
  <si>
    <t>Revenues</t>
  </si>
  <si>
    <t>NA - Component Units</t>
  </si>
  <si>
    <t>(See Instructions)</t>
  </si>
  <si>
    <t>6B</t>
  </si>
  <si>
    <t>Do the total principal requirements (including debt without interest rate swaps on 315) agree with column [E]</t>
  </si>
  <si>
    <t>Sureties</t>
  </si>
  <si>
    <t>Payor Contact</t>
  </si>
  <si>
    <t>Name</t>
  </si>
  <si>
    <t>Compensated absences must have additions and deletions.</t>
  </si>
  <si>
    <t>All questions have not been answered.</t>
  </si>
  <si>
    <t>GOVERNMENTAL ACTIVITIES</t>
  </si>
  <si>
    <t>(check one)</t>
  </si>
  <si>
    <r>
      <t xml:space="preserve">If </t>
    </r>
    <r>
      <rPr>
        <b/>
        <sz val="10"/>
        <rFont val="Arial"/>
        <family val="2"/>
      </rPr>
      <t>YES</t>
    </r>
    <r>
      <rPr>
        <sz val="10"/>
        <rFont val="Arial"/>
        <family val="2"/>
      </rPr>
      <t>, list the Federal programs in which the State has accepted custodial responsibility for certain items</t>
    </r>
  </si>
  <si>
    <t>Depreciation expense</t>
  </si>
  <si>
    <t>Other operating expenses</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</si>
  <si>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</si>
  <si>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</si>
  <si>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</si>
  <si>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</si>
  <si>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</si>
  <si>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</si>
  <si>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</si>
  <si>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</si>
  <si>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</si>
  <si>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Expendable</t>
  </si>
  <si>
    <t>Nonexpendable</t>
  </si>
  <si>
    <t>Infrastructure Assets:</t>
  </si>
  <si>
    <t xml:space="preserve">     Pavement (in lane-miles):</t>
  </si>
  <si>
    <t xml:space="preserve">          Primary subsystem</t>
  </si>
  <si>
    <t xml:space="preserve">         Secondary subsystem</t>
  </si>
  <si>
    <t xml:space="preserve">    Bridges:</t>
  </si>
  <si>
    <t xml:space="preserve">         Number of bridges</t>
  </si>
  <si>
    <t>Acres of state recreation areas</t>
  </si>
  <si>
    <t>Number of state natural areas</t>
  </si>
  <si>
    <t>Acres of state natural areas</t>
  </si>
  <si>
    <t>Number of state lakes</t>
  </si>
  <si>
    <t>Acres of state lakes</t>
  </si>
  <si>
    <t>Number of Game Lands</t>
  </si>
  <si>
    <t>Acres of Game Lands</t>
  </si>
  <si>
    <t xml:space="preserve"> Certificates of Participation Payable</t>
  </si>
  <si>
    <t>University</t>
  </si>
  <si>
    <t>Economic Development</t>
  </si>
  <si>
    <t>Number of state park lands</t>
  </si>
  <si>
    <t>Acres of state park lands</t>
  </si>
  <si>
    <t>Number of state recreation areas</t>
  </si>
  <si>
    <t>Row C</t>
  </si>
  <si>
    <t>Row D</t>
  </si>
  <si>
    <t>Row E</t>
  </si>
  <si>
    <t>Row F</t>
  </si>
  <si>
    <t>Row G</t>
  </si>
  <si>
    <t>Row H</t>
  </si>
  <si>
    <t>6)</t>
  </si>
  <si>
    <t>Dissimilar Investments:</t>
  </si>
  <si>
    <t>UNC</t>
  </si>
  <si>
    <t>Component Unit</t>
  </si>
  <si>
    <t>UNC System, major component unit</t>
  </si>
  <si>
    <t>Community College, major component unit</t>
  </si>
  <si>
    <t>**    Type of Agency:</t>
  </si>
  <si>
    <t>Aa/AA</t>
  </si>
  <si>
    <t>Baa/BBB</t>
  </si>
  <si>
    <t>Moody's/S&amp;P/Fitch</t>
  </si>
  <si>
    <t>portfolio.  For example, a mutual bond fund with a weighted average</t>
  </si>
  <si>
    <t>maturity of 8.5 months should be reported as an investment with a</t>
  </si>
  <si>
    <t>Please complete the following for each legally separate, tax exempt foundation or similarly affiliated</t>
  </si>
  <si>
    <t>Agency Name:</t>
  </si>
  <si>
    <t>NCAS</t>
  </si>
  <si>
    <t>Amount</t>
  </si>
  <si>
    <t>GASB</t>
  </si>
  <si>
    <t>Carrying Value</t>
  </si>
  <si>
    <t>Bank</t>
  </si>
  <si>
    <t>Balance</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</si>
  <si>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</si>
  <si>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Assets:</t>
  </si>
  <si>
    <t>Liabilities:</t>
  </si>
  <si>
    <t>Operating revenues (pledged against bonds)</t>
  </si>
  <si>
    <t>Arbitrage rebate payable - current</t>
  </si>
  <si>
    <t>90</t>
  </si>
  <si>
    <t>General Fund - OSC</t>
  </si>
  <si>
    <t>General Fund - DOR</t>
  </si>
  <si>
    <t>99</t>
  </si>
  <si>
    <t>Revenue bonds</t>
  </si>
  <si>
    <t>Claims and benefits</t>
  </si>
  <si>
    <t>REPORTABLE SEGMENTS</t>
  </si>
  <si>
    <t>Co</t>
  </si>
  <si>
    <t>Southwestern Community College</t>
  </si>
  <si>
    <t>DF</t>
  </si>
  <si>
    <t>Stanly Community College</t>
  </si>
  <si>
    <t>DG</t>
  </si>
  <si>
    <t>Administrative Office of the Courts</t>
  </si>
  <si>
    <t>Office of the Governor</t>
  </si>
  <si>
    <t>Office of Lieutenant Governor</t>
  </si>
  <si>
    <t>Interest on long term debt</t>
  </si>
  <si>
    <t>Balance Sheet</t>
  </si>
  <si>
    <t>Insurance and bonding</t>
  </si>
  <si>
    <t>Total operating expenses</t>
  </si>
  <si>
    <t>Nonoperating Revenues (Expenses):</t>
  </si>
  <si>
    <t>Noncapital grant revenue</t>
  </si>
  <si>
    <t>Noncapital gifts, net</t>
  </si>
  <si>
    <t>Interest and fees expense</t>
  </si>
  <si>
    <t>Changes in Long-Term Liabilities and Short-Term Debt (Governmental)</t>
  </si>
  <si>
    <t>DEMAND  ACCOUNTS:</t>
  </si>
  <si>
    <t>(accrual basis)</t>
  </si>
  <si>
    <t>Total Contributions</t>
  </si>
  <si>
    <t>Employee</t>
  </si>
  <si>
    <t>Employer</t>
  </si>
  <si>
    <t>Covered Payroll</t>
  </si>
  <si>
    <t>Contributions</t>
  </si>
  <si>
    <t>Proprietary Funds, Agencies Not on NCAS Fixed Assets System, All Component Units</t>
  </si>
  <si>
    <t>Agreed</t>
  </si>
  <si>
    <t>Disagreed</t>
  </si>
  <si>
    <t>Response</t>
  </si>
  <si>
    <t>Foundation Name</t>
  </si>
  <si>
    <t>Phone #</t>
  </si>
  <si>
    <t>Held by</t>
  </si>
  <si>
    <t>Counterparty's Trust</t>
  </si>
  <si>
    <t>Dept. or Agent but</t>
  </si>
  <si>
    <t>Counterparty</t>
  </si>
  <si>
    <t>not in Agency's Name</t>
  </si>
  <si>
    <t>U.S. Treasuries</t>
  </si>
  <si>
    <t>(i.e., debt defeased during the current fiscal year and removed from your books as a liability)</t>
  </si>
  <si>
    <t>and interest payments to bond holders.</t>
  </si>
  <si>
    <t>average maturity of all of the debt investment maturities in the fund's</t>
  </si>
  <si>
    <t>Higher education</t>
  </si>
  <si>
    <t>Restricted due from State of NC component units</t>
  </si>
  <si>
    <t>Schedule of Due from / Restricted Due From  State of NC Component Units</t>
  </si>
  <si>
    <t xml:space="preserve">  Asset-backed securities</t>
  </si>
  <si>
    <t xml:space="preserve">  Repurchase agreements</t>
  </si>
  <si>
    <t xml:space="preserve">  Mortgage pass throughs</t>
  </si>
  <si>
    <t xml:space="preserve">  Collateralized mortgage obligations</t>
  </si>
  <si>
    <t xml:space="preserve">  U.S. government and agency securities</t>
  </si>
  <si>
    <t xml:space="preserve">  Government bonds</t>
  </si>
  <si>
    <t xml:space="preserve">   Mortgage pass throughs</t>
  </si>
  <si>
    <t xml:space="preserve">   Collateralized mortgage obligations</t>
  </si>
  <si>
    <t xml:space="preserve">Pooled investments </t>
  </si>
  <si>
    <t>Restricted pooled investments</t>
  </si>
  <si>
    <t xml:space="preserve">Row B (Revenues) less Row C (Direct Operating Expenses) = Row D </t>
  </si>
  <si>
    <t>Pollution remediation payable</t>
  </si>
  <si>
    <t>an explanation for the difference.</t>
  </si>
  <si>
    <t>GASB Statement 49 requires certain disclosures about an agency's obligation to remedy pollution.  The required</t>
  </si>
  <si>
    <t>Disclosures:</t>
  </si>
  <si>
    <t>To acquire capital assets that can be used for other purposes after the remediation is complete.</t>
  </si>
  <si>
    <t>d.</t>
  </si>
  <si>
    <t>reported as an impairment of one of its capital assets.</t>
  </si>
  <si>
    <t>To perform remediation to restore a pollution-caused decline in service utility that the government</t>
  </si>
  <si>
    <t>place within a reasonable time after the purchase.</t>
  </si>
  <si>
    <t>that the government expected to remediate.  Costs should be capitalized only if the outlays take</t>
  </si>
  <si>
    <t>To prepare property for use when that property was acquired with known or suspected pollution</t>
  </si>
  <si>
    <t>before the sale.</t>
  </si>
  <si>
    <t xml:space="preserve">To prepare property in anticipation of a sale if the outlays take place within a reasonable time </t>
  </si>
  <si>
    <t>Capitalization Criteria (indicate with an "X" each that applies):</t>
  </si>
  <si>
    <t>(Note: The occurrence of an obligating event is an absolute precondition for recognizing a pollution remediation liability.)</t>
  </si>
  <si>
    <t>complete.</t>
  </si>
  <si>
    <t>should be limited to the activities begun, or to those that the government is legally required to</t>
  </si>
  <si>
    <t>relative to the entire site, the activities that the government should measure and recognize</t>
  </si>
  <si>
    <t>activities. If these activities are begun voluntarily and no other obligating event has occurred</t>
  </si>
  <si>
    <t>The government begins remediation activities or legally commits itself to conduct remediation</t>
  </si>
  <si>
    <t>e.</t>
  </si>
  <si>
    <t>the government to participate in remediation activities.</t>
  </si>
  <si>
    <t>The government is, or evidence indicates that it will be, named, in a lawsuit that would require</t>
  </si>
  <si>
    <t xml:space="preserve">or as a government responsible for sharing costs.  </t>
  </si>
  <si>
    <t>party or potentially responsible party for remediation (e.g., under Superfund or similar State law),</t>
  </si>
  <si>
    <t>The government is, or evidence indicates that it will be, named, by a regulator as a responsible</t>
  </si>
  <si>
    <t xml:space="preserve"> federal and state permits.</t>
  </si>
  <si>
    <t xml:space="preserve">The government is in violation of a pollution prevention–related permit or license. This includes </t>
  </si>
  <si>
    <t>but to take action.</t>
  </si>
  <si>
    <t>danger to public health or welfare or the environment.  The government has little or no choice</t>
  </si>
  <si>
    <t>The government is compelled to take remediation action because the pollution is an imminent</t>
  </si>
  <si>
    <t>Obligating Events (indicate with an "X" each that applies):</t>
  </si>
  <si>
    <t>Do the "Reasonably estimable outlays" above include any indirect outlays (Indicate with an "X")?</t>
  </si>
  <si>
    <t>acknowledgment or recognition by the third party of its responsibility. Exclude grants and other nonexchange transactions.</t>
  </si>
  <si>
    <t>Include expected recoveries from other responsible parties and insurers that are not yet realizable.  A realized/realizable recovery involves the</t>
  </si>
  <si>
    <t>(must agree to worksheet 305/310)</t>
  </si>
  <si>
    <t>Pollution remediation liability</t>
  </si>
  <si>
    <t>(enter as negative)</t>
  </si>
  <si>
    <r>
      <t>Less: Expected recoveries - not yet realizable</t>
    </r>
    <r>
      <rPr>
        <vertAlign val="superscript"/>
        <sz val="10"/>
        <rFont val="Arial"/>
        <family val="2"/>
      </rPr>
      <t xml:space="preserve"> (1)</t>
    </r>
  </si>
  <si>
    <t>(based on current value and expected cash flows)</t>
  </si>
  <si>
    <t>Reasonably estimable outlays</t>
  </si>
  <si>
    <t>Pollution Remediation Liability (accrual basis):</t>
  </si>
  <si>
    <t>GASB Statement 49 establishes accounting and financial reporting standards for pollution remediation obligations.</t>
  </si>
  <si>
    <t>Pollution Remediation Obligations</t>
  </si>
  <si>
    <t>Acquisition/construction of government's own capital assets</t>
  </si>
  <si>
    <t>Debt covenants</t>
  </si>
  <si>
    <t>Temporarily invested debt proceeds</t>
  </si>
  <si>
    <t>Nonexpendable resources of permanent funds</t>
  </si>
  <si>
    <t xml:space="preserve">     that cannot be used to pay other current liabilities</t>
  </si>
  <si>
    <t>Agencies :</t>
  </si>
  <si>
    <t>Pooled Investments</t>
  </si>
  <si>
    <r>
      <t>Receivables</t>
    </r>
    <r>
      <rPr>
        <i/>
        <sz val="10"/>
        <rFont val="Arial"/>
        <family val="2"/>
      </rPr>
      <t xml:space="preserve"> (list type of receivable)</t>
    </r>
    <r>
      <rPr>
        <b/>
        <sz val="10"/>
        <rFont val="Arial"/>
        <family val="2"/>
      </rPr>
      <t>:</t>
    </r>
  </si>
  <si>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</si>
  <si>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</si>
  <si>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</si>
  <si>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NA for Proprietary Funds and Component Units</t>
  </si>
  <si>
    <t>Refer to the Restricted Assets Policy for further guidance.</t>
  </si>
  <si>
    <t>Restricted assets should be reported when restrictions on asset use change the nature or normal understanding of the availability of the asset.  For example,</t>
  </si>
  <si>
    <t>UNC School of the Arts</t>
  </si>
  <si>
    <t>North Carolina A&amp;T University</t>
  </si>
  <si>
    <t>NC School of Science &amp; Mathematics</t>
  </si>
  <si>
    <t>DSS</t>
  </si>
  <si>
    <t>Notes:</t>
  </si>
  <si>
    <t>R, N</t>
  </si>
  <si>
    <t>R = Must also complete Restatements w/s 430 for any prior year adjustment on this worksheet</t>
  </si>
  <si>
    <t>Imposed law through constitutional provisions (e.g., State Constitution).</t>
  </si>
  <si>
    <t xml:space="preserve">TOTAL </t>
  </si>
  <si>
    <t xml:space="preserve"> (See Instructions)</t>
  </si>
  <si>
    <t>Non-Current Assets: Restricted Investmts</t>
  </si>
  <si>
    <t>Pollution remediation payable - current</t>
  </si>
  <si>
    <t xml:space="preserve">Restricted pooled investments </t>
  </si>
  <si>
    <t>Pooled investments</t>
  </si>
  <si>
    <r>
      <rPr>
        <b/>
        <sz val="9"/>
        <rFont val="Arial"/>
        <family val="2"/>
      </rPr>
      <t>2</t>
    </r>
    <r>
      <rPr>
        <sz val="9"/>
        <rFont val="Arial"/>
        <family val="2"/>
      </rPr>
      <t>. Outstanding balance should equal amounts in column [E] on worksheet 305</t>
    </r>
  </si>
  <si>
    <t>1, 2</t>
  </si>
  <si>
    <t>Outstanding Payable balance at 6/30</t>
  </si>
  <si>
    <t>Limited obligation bonds</t>
  </si>
  <si>
    <t xml:space="preserve"> Limited Obligation Bonds Payable</t>
  </si>
  <si>
    <t xml:space="preserve">  Restricted Expendable:</t>
  </si>
  <si>
    <t>48C</t>
  </si>
  <si>
    <r>
      <rPr>
        <b/>
        <i/>
        <u/>
        <sz val="9.5"/>
        <rFont val="Arial"/>
        <family val="2"/>
      </rPr>
      <t>NOTE:</t>
    </r>
    <r>
      <rPr>
        <b/>
        <i/>
        <sz val="9.5"/>
        <rFont val="Arial"/>
        <family val="2"/>
      </rPr>
      <t xml:space="preserve">  GASB 14XX is excluded from this worksheet.  Only GASB 11XX, 12XX, 13XX and 15XX are pertinent to this worksheet.</t>
    </r>
  </si>
  <si>
    <t>Material Violations</t>
  </si>
  <si>
    <t>Date</t>
  </si>
  <si>
    <t>From *</t>
  </si>
  <si>
    <t>To *</t>
  </si>
  <si>
    <t>Chatham Hospital</t>
  </si>
  <si>
    <t>Z2</t>
  </si>
  <si>
    <t>NC Biotechnology Center</t>
  </si>
  <si>
    <t xml:space="preserve">Restricted Assets  </t>
  </si>
  <si>
    <t>If YES, disclose the outstanding balance at year-end:</t>
  </si>
  <si>
    <t>(Note: Only exception is for demand bonds classified as due within one year.)</t>
  </si>
  <si>
    <r>
      <t xml:space="preserve"> GARVEE Bonds</t>
    </r>
    <r>
      <rPr>
        <sz val="9"/>
        <rFont val="Arial"/>
        <family val="2"/>
      </rPr>
      <t xml:space="preserve"> (N/A for Component Units)</t>
    </r>
  </si>
  <si>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</si>
  <si>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</si>
  <si>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For variable-rate debt and "Build America Bonds", see instructions.</t>
  </si>
  <si>
    <t>If NO, indicate reason:</t>
  </si>
  <si>
    <t>(Note: authorized by Recovery Act)</t>
  </si>
  <si>
    <t>Governmental Funds:</t>
  </si>
  <si>
    <t>Business-type Activity:</t>
  </si>
  <si>
    <t>GASB 5100</t>
  </si>
  <si>
    <t xml:space="preserve">Capital   </t>
  </si>
  <si>
    <t>Transactions</t>
  </si>
  <si>
    <t>For governmental funds, General Long Term Debt should tie back to worksheet 305 Prior Year Adjustments column for GASB 5200.</t>
  </si>
  <si>
    <t>Stewardship, Compliance, and Accountability</t>
  </si>
  <si>
    <t>If "YES", disclose the outstanding balance of BABs at year-end:</t>
  </si>
  <si>
    <t>Has your agency issued any "Build America Bonds" (BABs) that are included in the annual debt service requirements above?</t>
  </si>
  <si>
    <t>1.  Land  and permanent easements</t>
  </si>
  <si>
    <t>3a. Computer software in development</t>
  </si>
  <si>
    <t>3b. Patents in development</t>
  </si>
  <si>
    <t xml:space="preserve">9. Computer software   </t>
  </si>
  <si>
    <t xml:space="preserve">10.Patents  </t>
  </si>
  <si>
    <t>9. Computer software</t>
  </si>
  <si>
    <t>10.Patents</t>
  </si>
  <si>
    <t>Universities and Hospitals:</t>
  </si>
  <si>
    <t>State aid - program</t>
  </si>
  <si>
    <t>State aid - general</t>
  </si>
  <si>
    <t>N, R</t>
  </si>
  <si>
    <t>and Current year Principal and Interest (X) respectively.</t>
  </si>
  <si>
    <t>Balances</t>
  </si>
  <si>
    <t>capitalized?</t>
  </si>
  <si>
    <t>Do you have any artwork, historical treasures, or artifacts that are not</t>
  </si>
  <si>
    <t>Hedging derivatives</t>
  </si>
  <si>
    <t>Hedging derivatives liability</t>
  </si>
  <si>
    <t>Do you use the above thresholds to capitalize capital assets?</t>
  </si>
  <si>
    <t>The OSC capitalization thresholds are as follows: Internally generated computer software – $ 1 million;</t>
  </si>
  <si>
    <r>
      <t>If NO</t>
    </r>
    <r>
      <rPr>
        <sz val="9"/>
        <rFont val="Arial"/>
        <family val="2"/>
      </rPr>
      <t>, state your threshold amount(s).</t>
    </r>
  </si>
  <si>
    <t>Government Wide - Debt Issuances</t>
  </si>
  <si>
    <t>Reference</t>
  </si>
  <si>
    <t>Derivative Instruments</t>
  </si>
  <si>
    <t>Notional</t>
  </si>
  <si>
    <t>Changes</t>
  </si>
  <si>
    <t>Pay-fixed interest rate swaps</t>
  </si>
  <si>
    <t>Hedging Derivative Instruments</t>
  </si>
  <si>
    <t>Effective</t>
  </si>
  <si>
    <t>Maturity</t>
  </si>
  <si>
    <t>Terms</t>
  </si>
  <si>
    <t>(i.e., reference rates)</t>
  </si>
  <si>
    <t>Cash flow: Pay-fixed interest rate swap</t>
  </si>
  <si>
    <t>H1</t>
  </si>
  <si>
    <t>H2</t>
  </si>
  <si>
    <t>H3</t>
  </si>
  <si>
    <t>H4</t>
  </si>
  <si>
    <t>H5</t>
  </si>
  <si>
    <t>H6</t>
  </si>
  <si>
    <t>Evaluating Hedge Effectiveness</t>
  </si>
  <si>
    <t>Line Number(s)</t>
  </si>
  <si>
    <t>Method Used</t>
  </si>
  <si>
    <t>Consistent critical terms method</t>
  </si>
  <si>
    <t>Quantitative methods:</t>
  </si>
  <si>
    <t>Synthetic instrument method</t>
  </si>
  <si>
    <t>Dollar-offset method</t>
  </si>
  <si>
    <t>Regression analysis method</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</si>
  <si>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</si>
  <si>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</si>
  <si>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</si>
  <si>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</si>
  <si>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</si>
  <si>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</si>
  <si>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Held</t>
  </si>
  <si>
    <t>S&amp;P/Fitch</t>
  </si>
  <si>
    <t>Less:  Total Collateral Held (calculated)</t>
  </si>
  <si>
    <r>
      <t xml:space="preserve">Less:  Netting Arrangement Liability – By Counterparty </t>
    </r>
    <r>
      <rPr>
        <vertAlign val="superscript"/>
        <sz val="10"/>
        <rFont val="Arial"/>
        <family val="2"/>
      </rPr>
      <t>(2)</t>
    </r>
  </si>
  <si>
    <t>Net Exposure to Credit Risk</t>
  </si>
  <si>
    <t>(2)</t>
  </si>
  <si>
    <t>This line applies if the following conditions are met: (a) the government has a policy to enter into netting arrangements whenever it has entered into more than one hedging derivative</t>
  </si>
  <si>
    <t>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</si>
  <si>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</si>
  <si>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</si>
  <si>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</si>
  <si>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t>
  </si>
  <si>
    <t>rise to financial loss: (a) credit risk, (b) interest rate risk, and (c) foreign currency risk.</t>
  </si>
  <si>
    <t>This line applies if the following conditions are met: (a) the government has a policy to enter into netting arrangements whenever it has entered into more than one investment derivative</t>
  </si>
  <si>
    <t>Select Type (Click here)</t>
  </si>
  <si>
    <t>manually deleted ref error.</t>
  </si>
  <si>
    <t>48T</t>
  </si>
  <si>
    <t xml:space="preserve">Hedging Derivative Instruments </t>
  </si>
  <si>
    <t xml:space="preserve">  Non-State Treasurer pooled investments</t>
  </si>
  <si>
    <t>Obligations under securities lending</t>
  </si>
  <si>
    <t>Securities lending collateral</t>
  </si>
  <si>
    <t xml:space="preserve">  Non-State Treasurer pooled  investments</t>
  </si>
  <si>
    <t>U.S. dollar equity futures</t>
  </si>
  <si>
    <t>Foreign equity futures</t>
  </si>
  <si>
    <t>Land and permanent easements</t>
  </si>
  <si>
    <t>Art, literature and artifacts, nondepreciable</t>
  </si>
  <si>
    <t>Construction in progress</t>
  </si>
  <si>
    <t>Patents in development</t>
  </si>
  <si>
    <t>Machinery and equipment</t>
  </si>
  <si>
    <t>General infrastructure</t>
  </si>
  <si>
    <t>Patents</t>
  </si>
  <si>
    <t>Capital assets, nondepreciable:</t>
  </si>
  <si>
    <t>Total capital assets - nondepreciable</t>
  </si>
  <si>
    <t>Total capital assets - depreciable, (net)</t>
  </si>
  <si>
    <t>Investment in joint venture</t>
  </si>
  <si>
    <t>Restricted Nonexpendable:</t>
  </si>
  <si>
    <t xml:space="preserve">Pooled cash </t>
  </si>
  <si>
    <t xml:space="preserve">Restricted pooled cash </t>
  </si>
  <si>
    <t xml:space="preserve">Securities lending collateral </t>
  </si>
  <si>
    <t xml:space="preserve">Restricted/designated pooled cash </t>
  </si>
  <si>
    <t>Short-term debt:</t>
  </si>
  <si>
    <t>Liability insurance trust fund payable</t>
  </si>
  <si>
    <t>Student tuition and fees, net</t>
  </si>
  <si>
    <t>Patient services, net</t>
  </si>
  <si>
    <t>Federal appropriations</t>
  </si>
  <si>
    <t>Scholarships and fellowships</t>
  </si>
  <si>
    <t>Other fixed charges</t>
  </si>
  <si>
    <t>Other expenses</t>
  </si>
  <si>
    <t>Federal interest subsidy on debt</t>
  </si>
  <si>
    <t>Additions to endowments</t>
  </si>
  <si>
    <t>University transfers</t>
  </si>
  <si>
    <t>UNC Hosp</t>
  </si>
  <si>
    <t>Liability Insurance</t>
  </si>
  <si>
    <t>Trust Fund</t>
  </si>
  <si>
    <t>FUND BALANCE CLASSIFICATIONS</t>
  </si>
  <si>
    <t>Fund Balance Reporting Policy</t>
  </si>
  <si>
    <t>Fund Balances:</t>
  </si>
  <si>
    <t>Nonspendable:</t>
  </si>
  <si>
    <t>Inventory of supplies (including postage) 116XXX accounts</t>
  </si>
  <si>
    <t>Long-term portion of notes receivable</t>
  </si>
  <si>
    <t>Committed to:</t>
  </si>
  <si>
    <t>Assigned to:</t>
  </si>
  <si>
    <t>Unassigned</t>
  </si>
  <si>
    <t>Externally imposed by creditors (e.g., debt covenants), grantors (federal, local, private, and pass-through grants that</t>
  </si>
  <si>
    <t>were originally from federal, local or private sector), contributors, or laws/regulations of other governments.</t>
  </si>
  <si>
    <t>Negative Unassigned</t>
  </si>
  <si>
    <t>If "negative unassigned" fund balance is reported, then an agency should not report any amounts as being "assigned" (see Fund Balance Reporting Policy).</t>
  </si>
  <si>
    <t>Permanent corpus - Restricted</t>
  </si>
  <si>
    <t>Certified by</t>
  </si>
  <si>
    <t xml:space="preserve">State aid - general </t>
  </si>
  <si>
    <t>Number of medical school buildings - East Carolina Only</t>
  </si>
  <si>
    <t>University system hospitals (UNC HealthCare)</t>
  </si>
  <si>
    <t>Restricted Investments</t>
  </si>
  <si>
    <t>Federal unemployment a/c advances</t>
  </si>
  <si>
    <t>CHANGES IN LONG-TERM LIABILITIES AND SHORT-TERM DEBT (310)</t>
  </si>
  <si>
    <t>NCAS agencies only; NA for offline using 905 template</t>
  </si>
  <si>
    <t>905Hosp</t>
  </si>
  <si>
    <t>Agency No.</t>
  </si>
  <si>
    <t>48X</t>
  </si>
  <si>
    <t>263X</t>
  </si>
  <si>
    <t>Triangle Physicians Network</t>
  </si>
  <si>
    <t>Grants, state aid &amp; subsidies</t>
  </si>
  <si>
    <t>263X&amp;4XXX</t>
  </si>
  <si>
    <t>Agency 
Number</t>
  </si>
  <si>
    <t>Type of Agency**</t>
  </si>
  <si>
    <t>NCAS or Offline</t>
  </si>
  <si>
    <r>
      <t xml:space="preserve">Offline </t>
    </r>
    <r>
      <rPr>
        <b/>
        <sz val="14"/>
        <rFont val="Calibri"/>
        <family val="2"/>
      </rPr>
      <t>²</t>
    </r>
  </si>
  <si>
    <t>Nonmajor</t>
  </si>
  <si>
    <t xml:space="preserve">NC Office of the State Controller </t>
  </si>
  <si>
    <t>87</t>
  </si>
  <si>
    <t>48</t>
  </si>
  <si>
    <t>2631&amp;2634</t>
  </si>
  <si>
    <t>UNC Hlth Care Rep Unit (Combined Pkg)</t>
  </si>
  <si>
    <t>Enterprise Fund</t>
  </si>
  <si>
    <t>Rex</t>
  </si>
  <si>
    <t>Healthcare</t>
  </si>
  <si>
    <t>Hospital</t>
  </si>
  <si>
    <t>UNC Health Care</t>
  </si>
  <si>
    <t>Agency number</t>
  </si>
  <si>
    <t>Rep Unit Total</t>
  </si>
  <si>
    <t>NA - State Health Plan</t>
  </si>
  <si>
    <t>Due from State of NC component units (ws 525)</t>
  </si>
  <si>
    <t>Due from primary government (ws 515)</t>
  </si>
  <si>
    <t>Restricted due from State of NC component units (ws 525)</t>
  </si>
  <si>
    <t>Restricted due from primary government (ws 515)</t>
  </si>
  <si>
    <t>Land and permanent easements (ws 201)</t>
  </si>
  <si>
    <t>Art, literature and artifacts, nondepreciable (ws 201)</t>
  </si>
  <si>
    <t>Construction in progress (ws 201)</t>
  </si>
  <si>
    <t>Computer software in development (ws 201)</t>
  </si>
  <si>
    <t>Patents in development (ws 201)</t>
  </si>
  <si>
    <t>Buildings (ws 201)</t>
  </si>
  <si>
    <t>Machinery and equipment (ws 201)</t>
  </si>
  <si>
    <t>Art, literature and artifacts,depreciable (ws 201)</t>
  </si>
  <si>
    <t>General infrastructure (ws 201)</t>
  </si>
  <si>
    <t>Computer software (ws 201)</t>
  </si>
  <si>
    <t>Patents (ws 201)</t>
  </si>
  <si>
    <t>Commercial paper payable (ws 310)</t>
  </si>
  <si>
    <t>Bond anticipation notes payable (ws 310)</t>
  </si>
  <si>
    <t>Due to State of NC component units (ws 530)</t>
  </si>
  <si>
    <t>Due to primary government (ws 520)</t>
  </si>
  <si>
    <t>Bonds and similar debt payable, net-current (ws 310)</t>
  </si>
  <si>
    <t>Arbitrage rebate payable-current (ws 310)</t>
  </si>
  <si>
    <t>Annuity and life income payable-current (ws 310)</t>
  </si>
  <si>
    <t>Pollution remediation payable-current (ws 310)</t>
  </si>
  <si>
    <t>Liability Insurance trust fund payable-current (ws 310)</t>
  </si>
  <si>
    <t>Other long-term liabilities - current portion (ws 310)</t>
  </si>
  <si>
    <t>Advance from primary government (ws 535)</t>
  </si>
  <si>
    <t>Bonds and similar debt payable, net (ws 310)</t>
  </si>
  <si>
    <t>Arbitrage rebate payable (ws 310)</t>
  </si>
  <si>
    <t>Annuity and life income payable (ws 310)</t>
  </si>
  <si>
    <t>Pollution remediation payable (ws 310)</t>
  </si>
  <si>
    <t>Liability Insurance trust fund payable (ws 310)</t>
  </si>
  <si>
    <t>Other long-term liabilities (ws 310)</t>
  </si>
  <si>
    <t>University transfers (ws 565)</t>
  </si>
  <si>
    <t xml:space="preserve">Crossfoot </t>
  </si>
  <si>
    <t>Check</t>
  </si>
  <si>
    <t>CHANGES  IN  CAPITAL ASSETS (201)</t>
  </si>
  <si>
    <t>SCHEDULE OF DUE FROM / RESTRICTED DUE FROM PRIMARY GOVERNMENT (515)</t>
  </si>
  <si>
    <t>Due From Prim Gov</t>
  </si>
  <si>
    <t>SCHEDULE OF DUE TO PRIMARY GOVERNMENT (520)</t>
  </si>
  <si>
    <t>Due to Prim Gov</t>
  </si>
  <si>
    <t>Restricted Due From State of NC Comp Unit</t>
  </si>
  <si>
    <t>Due Fr St NC Comp Unit</t>
  </si>
  <si>
    <t>SCHEDULE OF DUE FROM / RESTRICTED DUE FROM STATE OF NC COMPONENT UNITS (525)</t>
  </si>
  <si>
    <t>SCHEDULE OF DUE TO STATE OF NC COMPONENT UNITS (530)</t>
  </si>
  <si>
    <t>Due to St  NC Comp Unit</t>
  </si>
  <si>
    <t>SCHEDULE OF ADVANCES (535)</t>
  </si>
  <si>
    <t>SCHEDULE OF INTERINSTITUTIONAL TRANSFERS (565)</t>
  </si>
  <si>
    <t>Due from agency/institution component units</t>
  </si>
  <si>
    <t>Restricted pooled cash</t>
  </si>
  <si>
    <t>Capital assets - nondepreciable:</t>
  </si>
  <si>
    <t>Computer software in deveopment</t>
  </si>
  <si>
    <t>Total capital assets, nondepreciable</t>
  </si>
  <si>
    <t>Capital assets - depreciable:</t>
  </si>
  <si>
    <t>Art, literature and artifacts, depreciable</t>
  </si>
  <si>
    <t xml:space="preserve">Computer software </t>
  </si>
  <si>
    <t>Accumulated depreciation</t>
  </si>
  <si>
    <t>Total Capital assets - depreciable, net</t>
  </si>
  <si>
    <t>Commercial paper payable</t>
  </si>
  <si>
    <t>Bond anticipation notes payable</t>
  </si>
  <si>
    <t>Due to agency/institution component units</t>
  </si>
  <si>
    <t>Bonds and similar debt payable, net - current</t>
  </si>
  <si>
    <t>Annuity and life income payable - current</t>
  </si>
  <si>
    <t>Liability insurance trust fund payable - current</t>
  </si>
  <si>
    <t>Other long-term liabilities - current</t>
  </si>
  <si>
    <t>Bonds and similar debt payable, net</t>
  </si>
  <si>
    <t>Other long-term liabilities</t>
  </si>
  <si>
    <t xml:space="preserve">   Restricted Nonexpendable:</t>
  </si>
  <si>
    <t>Federal  interest subsidy on debt</t>
  </si>
  <si>
    <t>7)</t>
  </si>
  <si>
    <t>R</t>
  </si>
  <si>
    <r>
      <rPr>
        <b/>
        <sz val="9"/>
        <rFont val="Arial"/>
        <family val="2"/>
      </rPr>
      <t>REPORTING ENTITY</t>
    </r>
    <r>
      <rPr>
        <sz val="9"/>
        <rFont val="Arial"/>
        <family val="2"/>
      </rPr>
      <t xml:space="preserve"> (Component Units Only)</t>
    </r>
  </si>
  <si>
    <t>If yes, disclose</t>
  </si>
  <si>
    <t>Do you charge other departments (through internal service funds or the general fund) for "centralized expenses"</t>
  </si>
  <si>
    <t>that include an administrative overhead component (in addition to direct expenses)?</t>
  </si>
  <si>
    <t>NC DOT Highway Network</t>
  </si>
  <si>
    <t>For 905 - NCAS Acct Roll-up</t>
  </si>
  <si>
    <t xml:space="preserve">For 905-NCAS Acct Roll-up </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</si>
  <si>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</si>
  <si>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</si>
  <si>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</si>
  <si>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</si>
  <si>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910Hosp</t>
  </si>
  <si>
    <t xml:space="preserve">  Negotiable certificates of deposit</t>
  </si>
  <si>
    <t>risks that could give rise to financial loss: (a) credit risk, (b) interest rate risk, (c) basis risk, (d) termination risk, (e) rollover risk, (f) market-access risk, and</t>
  </si>
  <si>
    <t>DA100</t>
  </si>
  <si>
    <t>DA120</t>
  </si>
  <si>
    <t>DA140</t>
  </si>
  <si>
    <t>DA160</t>
  </si>
  <si>
    <t>DA180</t>
  </si>
  <si>
    <t>DA200</t>
  </si>
  <si>
    <t>DATot</t>
  </si>
  <si>
    <t>TA100</t>
  </si>
  <si>
    <t>TA120</t>
  </si>
  <si>
    <t>TA140</t>
  </si>
  <si>
    <t>TATot</t>
  </si>
  <si>
    <t>IC100</t>
  </si>
  <si>
    <t>IC120</t>
  </si>
  <si>
    <t>IC140</t>
  </si>
  <si>
    <t>IC160</t>
  </si>
  <si>
    <t>IC180</t>
  </si>
  <si>
    <t>IC200</t>
  </si>
  <si>
    <t>IC220</t>
  </si>
  <si>
    <t>IC240</t>
  </si>
  <si>
    <t>IC260</t>
  </si>
  <si>
    <t>IC300</t>
  </si>
  <si>
    <t>IC320</t>
  </si>
  <si>
    <t>IC340</t>
  </si>
  <si>
    <t>IC360</t>
  </si>
  <si>
    <t>IC380</t>
  </si>
  <si>
    <t>IC400</t>
  </si>
  <si>
    <t>IC420</t>
  </si>
  <si>
    <t>IN100</t>
  </si>
  <si>
    <t>IN160</t>
  </si>
  <si>
    <t>IN180</t>
  </si>
  <si>
    <t>IN200</t>
  </si>
  <si>
    <t>IN220</t>
  </si>
  <si>
    <t>IN240</t>
  </si>
  <si>
    <t>IN260</t>
  </si>
  <si>
    <t>IN280</t>
  </si>
  <si>
    <t>IN300</t>
  </si>
  <si>
    <t>IN320</t>
  </si>
  <si>
    <t>IN340</t>
  </si>
  <si>
    <t>IN360</t>
  </si>
  <si>
    <t>IN380</t>
  </si>
  <si>
    <t>IN400</t>
  </si>
  <si>
    <t>IN420</t>
  </si>
  <si>
    <t>IN460</t>
  </si>
  <si>
    <t>IN480</t>
  </si>
  <si>
    <t>IN500</t>
  </si>
  <si>
    <t>IN520</t>
  </si>
  <si>
    <t>HOSTTotal</t>
  </si>
  <si>
    <t>CD100</t>
  </si>
  <si>
    <t>CD120</t>
  </si>
  <si>
    <t>DA220</t>
  </si>
  <si>
    <t>DA240</t>
  </si>
  <si>
    <t>DA260</t>
  </si>
  <si>
    <t>DA320</t>
  </si>
  <si>
    <t>TA160</t>
  </si>
  <si>
    <t>TA180</t>
  </si>
  <si>
    <t>TA200</t>
  </si>
  <si>
    <t>CD140</t>
  </si>
  <si>
    <t>CD160</t>
  </si>
  <si>
    <t>CD180</t>
  </si>
  <si>
    <t>CD200</t>
  </si>
  <si>
    <t>CD220</t>
  </si>
  <si>
    <t>CD240</t>
  </si>
  <si>
    <t>CD260</t>
  </si>
  <si>
    <t>CD280</t>
  </si>
  <si>
    <t>CD300</t>
  </si>
  <si>
    <t>CDTotal</t>
  </si>
  <si>
    <t>BIC100</t>
  </si>
  <si>
    <t>BIC120</t>
  </si>
  <si>
    <t>BIC140</t>
  </si>
  <si>
    <t>BICTotal</t>
  </si>
  <si>
    <t>TotalTDCDBIC</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</si>
  <si>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</si>
  <si>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</si>
  <si>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</si>
  <si>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</si>
  <si>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</si>
  <si>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</si>
  <si>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</si>
  <si>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</si>
  <si>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</si>
  <si>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</si>
  <si>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</si>
  <si>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</si>
  <si>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</si>
  <si>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</si>
  <si>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</si>
  <si>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</si>
  <si>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</si>
  <si>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</si>
  <si>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NSIRR100</t>
  </si>
  <si>
    <t>NSIRR160</t>
  </si>
  <si>
    <t>NSIRR180</t>
  </si>
  <si>
    <t>NSIRR200</t>
  </si>
  <si>
    <t>NSIRR220</t>
  </si>
  <si>
    <t>NSIRR240</t>
  </si>
  <si>
    <t>NSIRR260</t>
  </si>
  <si>
    <t>NSIRR280</t>
  </si>
  <si>
    <t>NSIRR300</t>
  </si>
  <si>
    <t>NSIRR320</t>
  </si>
  <si>
    <t>NSIRR340</t>
  </si>
  <si>
    <t>NSIRR380</t>
  </si>
  <si>
    <t>NSIRR400</t>
  </si>
  <si>
    <t>NSIRR420</t>
  </si>
  <si>
    <t>NSIRR440</t>
  </si>
  <si>
    <t>NSIRR460</t>
  </si>
  <si>
    <t>Out of</t>
  </si>
  <si>
    <t>Other A:</t>
  </si>
  <si>
    <t>Other B:</t>
  </si>
  <si>
    <t>Other C:</t>
  </si>
  <si>
    <t>Other D:</t>
  </si>
  <si>
    <t>NSIRR480</t>
  </si>
  <si>
    <t>NSIRR500</t>
  </si>
  <si>
    <t>Out of Balance</t>
  </si>
  <si>
    <t xml:space="preserve">  Pooled debt funds</t>
  </si>
  <si>
    <t>Offline Proprietary Analytical Review for UNC Health Care Rep Unit Combined Pkg- Computed Variances</t>
  </si>
  <si>
    <t xml:space="preserve">Total Categorized </t>
  </si>
  <si>
    <t xml:space="preserve">State Treasurer </t>
  </si>
  <si>
    <t>Less than Investment Grade</t>
  </si>
  <si>
    <t>Only Applicable if the Lowest Ratings are not Already Disclosed Above :</t>
  </si>
  <si>
    <t xml:space="preserve">Investments Held Outside the State Treasurer - Credit Risk </t>
  </si>
  <si>
    <t xml:space="preserve">Exempt from credit quality </t>
  </si>
  <si>
    <t>ZL</t>
  </si>
  <si>
    <t>Gateway University Research Park, Inc.</t>
  </si>
  <si>
    <t xml:space="preserve">  Unallocated insurance contracts</t>
  </si>
  <si>
    <t xml:space="preserve">  Synthetic guaranteed investment contracts</t>
  </si>
  <si>
    <t>NSIRR365</t>
  </si>
  <si>
    <t>IN445</t>
  </si>
  <si>
    <t>Instructions</t>
  </si>
  <si>
    <t>–</t>
  </si>
  <si>
    <t xml:space="preserve">cells in order for the formulas to calculate properly. </t>
  </si>
  <si>
    <t>Except as noted otherwise, numbers that are to be subtracted should be entered as negative numbers in the</t>
  </si>
  <si>
    <t>negative numbers.</t>
  </si>
  <si>
    <t>operating statement, in the "Nonoperating Revenues (Expenses)" section, key nonoperating expenses as</t>
  </si>
  <si>
    <t xml:space="preserve">your opinion and appreciate your feedback.  Thanks! </t>
  </si>
  <si>
    <t>Please give us your comments and suggestions on the Comments page at the end of the package.  We value</t>
  </si>
  <si>
    <t xml:space="preserve">copy of the worksheet with the very same formatting as the original.  The duplicated worksheet will have the </t>
  </si>
  <si>
    <t>Index Instructions</t>
  </si>
  <si>
    <t>To go directly to a specific worksheet, click on the corresponding link on the index. To return to the Index</t>
  </si>
  <si>
    <t>Shaded, grayed-out boxes in the "NA Excel" column indicate mandatory worksheets that must be completed.</t>
  </si>
  <si>
    <t>same name on the tab, plus a (2), (3), etc., for example 320 (2).</t>
  </si>
  <si>
    <t>Please DO NOT insert a new sheet and then copy from another worksheet to the new sheet; this will not</t>
  </si>
  <si>
    <t>produce a correct copy. Call your OSC analyst for assistance.</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</si>
  <si>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</si>
  <si>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</si>
  <si>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Disclosure of Pledged Revenues (Narrative Only)</t>
  </si>
  <si>
    <t>Demand Bonds (Narrative Only)</t>
  </si>
  <si>
    <t>Investments Held Outside the State Treasurer - Highly Sensitive Investments (Narrative Only)</t>
  </si>
  <si>
    <t>Cost settlement payable</t>
  </si>
  <si>
    <r>
      <t>Other (</t>
    </r>
    <r>
      <rPr>
        <sz val="10"/>
        <rFont val="Arial Narrow"/>
        <family val="2"/>
      </rPr>
      <t>describe in "Explanations" tab</t>
    </r>
    <r>
      <rPr>
        <sz val="10"/>
        <rFont val="Arial"/>
        <family val="2"/>
      </rPr>
      <t>)</t>
    </r>
  </si>
  <si>
    <t>Exchange-</t>
  </si>
  <si>
    <t>Commodity futures</t>
  </si>
  <si>
    <t>Indicate either "Y" or "N". The credit risk</t>
  </si>
  <si>
    <t xml:space="preserve">disclosures on Worksheets 341 &amp; 342 </t>
  </si>
  <si>
    <t>Investment Type (Per 710)</t>
  </si>
  <si>
    <t>Description (if necessary)</t>
  </si>
  <si>
    <t>Functional Table to be used for Fund Balance worksheets 401, 405, 410, and 415</t>
  </si>
  <si>
    <t>Governmental</t>
  </si>
  <si>
    <t>Business-type</t>
  </si>
  <si>
    <t>Activities</t>
  </si>
  <si>
    <t>for Fiscal Year</t>
  </si>
  <si>
    <t>VARIABLE RATE DEBT</t>
  </si>
  <si>
    <t>(State Treasurer, DOT, and NC Turnpike Authority Only)</t>
  </si>
  <si>
    <t>Related Party Transactions (Narrative Only)</t>
  </si>
  <si>
    <t>Less: Amount Representing Interest</t>
  </si>
  <si>
    <t>– Report leases in Enterprise Funds (GASB 25XX) and Universities (GASB 4XXX) under Business-Type Activities.</t>
  </si>
  <si>
    <t xml:space="preserve">  NOTE:</t>
  </si>
  <si>
    <t>Committed:</t>
  </si>
  <si>
    <t>Assigned</t>
  </si>
  <si>
    <t>Subsequent year's budget (OSC only)</t>
  </si>
  <si>
    <t>CLGA</t>
  </si>
  <si>
    <t>CLBTA</t>
  </si>
  <si>
    <t>(H1 thru H6)</t>
  </si>
  <si>
    <t>Carrying</t>
  </si>
  <si>
    <t>Value</t>
  </si>
  <si>
    <t>Permanent corpus - revolving loans</t>
  </si>
  <si>
    <t>Notes receivable and other corpus restricted to revolving loans.</t>
  </si>
  <si>
    <t>Accumulated depreciation (ws 210)</t>
  </si>
  <si>
    <t>From 905 Tab</t>
  </si>
  <si>
    <t>From PriorYr905 tab</t>
  </si>
  <si>
    <t>From PriorYr906 tab</t>
  </si>
  <si>
    <t>Z3F</t>
  </si>
  <si>
    <t>NC Global TransPark Authority Foundation</t>
  </si>
  <si>
    <t>Although part of UNC System, NCSSM is a primary NCAS agency that will continue using DSS.</t>
  </si>
  <si>
    <t>The Global TransPark Foundation is a component unit of Global TransPark; it is remaining offline.</t>
  </si>
  <si>
    <t>Purpose/Directions  - For OSC use only:</t>
  </si>
  <si>
    <t>To update all dates in workbook, enter the above dates.  This Data</t>
  </si>
  <si>
    <t>tab is the starting point and source for all dates in the workbook.</t>
  </si>
  <si>
    <t>Agency Number</t>
  </si>
  <si>
    <t>Agency Name</t>
  </si>
  <si>
    <t>UNC-Hosp</t>
  </si>
  <si>
    <t>Enterprise</t>
  </si>
  <si>
    <t>Chatham</t>
  </si>
  <si>
    <t>UNC-</t>
  </si>
  <si>
    <t>Chapel Hill</t>
  </si>
  <si>
    <t>NC State</t>
  </si>
  <si>
    <t>Greensboro</t>
  </si>
  <si>
    <t>Charlotte</t>
  </si>
  <si>
    <t>Asheville</t>
  </si>
  <si>
    <t>Wilmington</t>
  </si>
  <si>
    <t xml:space="preserve">East </t>
  </si>
  <si>
    <t>NC A&amp;T</t>
  </si>
  <si>
    <t>State Univ</t>
  </si>
  <si>
    <t>Western</t>
  </si>
  <si>
    <t>Appalachian</t>
  </si>
  <si>
    <t>Carolina Univ</t>
  </si>
  <si>
    <t>Pembroke</t>
  </si>
  <si>
    <t>Winston-Salem</t>
  </si>
  <si>
    <t>Fayetteville</t>
  </si>
  <si>
    <t>NC Central</t>
  </si>
  <si>
    <t>UNC School</t>
  </si>
  <si>
    <t>of the Arts</t>
  </si>
  <si>
    <t>USS NC</t>
  </si>
  <si>
    <t>Battleship Comm</t>
  </si>
  <si>
    <t>Reporting  Unit</t>
  </si>
  <si>
    <t>19</t>
  </si>
  <si>
    <t>Dept. of Public Safety</t>
  </si>
  <si>
    <t>Research Park</t>
  </si>
  <si>
    <t>Gateway University</t>
  </si>
  <si>
    <t>UNC-General</t>
  </si>
  <si>
    <t>Admininistration</t>
  </si>
  <si>
    <t>Network</t>
  </si>
  <si>
    <t>Elizabeth City</t>
  </si>
  <si>
    <t>Liab Ins Trust Fund</t>
  </si>
  <si>
    <t>u10</t>
  </si>
  <si>
    <t>u20</t>
  </si>
  <si>
    <t>u75</t>
  </si>
  <si>
    <t>u80</t>
  </si>
  <si>
    <t>u82</t>
  </si>
  <si>
    <t>u84</t>
  </si>
  <si>
    <t>u86</t>
  </si>
  <si>
    <t>u88</t>
  </si>
  <si>
    <t>u90</t>
  </si>
  <si>
    <t>u92</t>
  </si>
  <si>
    <t>Student Loan Principal Collections</t>
  </si>
  <si>
    <t>Net inc(dec) in FV of Investments</t>
  </si>
  <si>
    <t>190</t>
  </si>
  <si>
    <t>1325</t>
  </si>
  <si>
    <t>1326</t>
  </si>
  <si>
    <t>Other intangible assets, nondepreciable</t>
  </si>
  <si>
    <t>Other intangible assets, depreciable</t>
  </si>
  <si>
    <t>Other intangible assets, nondepreciable (ws 201)</t>
  </si>
  <si>
    <t>Other intangible assets, depreciable (ws 201)</t>
  </si>
  <si>
    <t xml:space="preserve">Hospitals </t>
  </si>
  <si>
    <r>
      <t xml:space="preserve">3.   For investments reported </t>
    </r>
    <r>
      <rPr>
        <u/>
        <sz val="9.75"/>
        <rFont val="Arial"/>
        <family val="2"/>
      </rPr>
      <t>at contract value</t>
    </r>
    <r>
      <rPr>
        <sz val="9.75"/>
        <rFont val="Arial"/>
        <family val="2"/>
      </rPr>
      <t>, provide the following information (e.g. State 401(k) Plan):</t>
    </r>
  </si>
  <si>
    <t>PriorYr905</t>
  </si>
  <si>
    <t>PriorYr906</t>
  </si>
  <si>
    <t>NA Narrative</t>
  </si>
  <si>
    <t>NA Excel Wsheet</t>
  </si>
  <si>
    <t>If YES, disclose the terms by which interest rates change in the "Explanations tab".</t>
  </si>
  <si>
    <t>O</t>
  </si>
  <si>
    <t>Non-operating Revenues</t>
  </si>
  <si>
    <t>Prior Year -To Compare</t>
  </si>
  <si>
    <r>
      <t xml:space="preserve">1.   For investments reported </t>
    </r>
    <r>
      <rPr>
        <u/>
        <sz val="9.75"/>
        <rFont val="Arial"/>
        <family val="2"/>
      </rPr>
      <t>at cost</t>
    </r>
    <r>
      <rPr>
        <sz val="9.75"/>
        <rFont val="Arial"/>
        <family val="2"/>
      </rPr>
      <t>, provide the following information:</t>
    </r>
  </si>
  <si>
    <r>
      <t xml:space="preserve">2.   For investments reported </t>
    </r>
    <r>
      <rPr>
        <u/>
        <sz val="9.75"/>
        <rFont val="Arial"/>
        <family val="2"/>
      </rPr>
      <t>at amortized cost</t>
    </r>
    <r>
      <rPr>
        <sz val="9.75"/>
        <rFont val="Arial"/>
        <family val="2"/>
      </rPr>
      <t>, provide the following information:</t>
    </r>
  </si>
  <si>
    <t>Prior Year worksheet 210 Accumulated depreciation</t>
  </si>
  <si>
    <t>Accumulated Depreciation:</t>
  </si>
  <si>
    <t>Total Accumulated depreciation, capital assets</t>
  </si>
  <si>
    <t>Prior Year worksheet 310 Long-term liabilities</t>
  </si>
  <si>
    <t>Less deferred amt for issuance discounts</t>
  </si>
  <si>
    <t>Total LT Liabilities Current &amp; Noncurrent</t>
  </si>
  <si>
    <t>Column F</t>
  </si>
  <si>
    <t>NA - State Health Plan and Agencies with governmental fund assets (GASB 5100) using NCAS Fixed Asset System</t>
  </si>
  <si>
    <t>Place cursor over cell D17 to view comment.</t>
  </si>
  <si>
    <t>Place cursor over cell G14 to view comment.</t>
  </si>
  <si>
    <t>Place cursor over cell E14 to view comment.</t>
  </si>
  <si>
    <t>Column J</t>
  </si>
  <si>
    <r>
      <rPr>
        <u/>
        <sz val="8"/>
        <rFont val="Arial"/>
        <family val="2"/>
      </rPr>
      <t>Instructions</t>
    </r>
    <r>
      <rPr>
        <sz val="8"/>
        <rFont val="Arial"/>
        <family val="2"/>
      </rPr>
      <t>: Please key current year financial statements  to Column J, except for shaded cells and totals.</t>
    </r>
  </si>
  <si>
    <t>To label a narrative as "Not Applicable" (NA), enter "NA" in the "NA Narrative" column on the Index.</t>
  </si>
  <si>
    <t>To label a worksheet as "Not Applicable" (NA), enter "NA" in the "NA Excel Wsheet" column on the Index.</t>
  </si>
  <si>
    <t xml:space="preserve">Complete the header information on the Index sheet first. This will populate the agency header information </t>
  </si>
  <si>
    <t>NA for Component Units</t>
  </si>
  <si>
    <t>1599</t>
  </si>
  <si>
    <t>File revision date note:</t>
  </si>
  <si>
    <t xml:space="preserve">Department of Public Safety </t>
  </si>
  <si>
    <t>Incarcerated adult offenders</t>
  </si>
  <si>
    <t>Youth facilities</t>
  </si>
  <si>
    <t>Supervised adult offenders</t>
  </si>
  <si>
    <t xml:space="preserve">  Collective investment funds*</t>
  </si>
  <si>
    <t>UF</t>
  </si>
  <si>
    <t>Answer the following question.  If the answer is yes, explain below.</t>
  </si>
  <si>
    <t>(If yes, explain below.)</t>
  </si>
  <si>
    <t xml:space="preserve">List of Agency Names and Numbers </t>
  </si>
  <si>
    <t xml:space="preserve">  Collective investment funds</t>
  </si>
  <si>
    <t>U.S. agencies</t>
  </si>
  <si>
    <t>Mortgage pass-throughs</t>
  </si>
  <si>
    <t>Collateralized mortgage obligations</t>
  </si>
  <si>
    <t>State and local government</t>
  </si>
  <si>
    <t>Asset-backed securities</t>
  </si>
  <si>
    <t>Collective investment funds</t>
  </si>
  <si>
    <t>Repurchase agreements</t>
  </si>
  <si>
    <t>Domestic corporate bonds</t>
  </si>
  <si>
    <t>Foreign corporate bonds</t>
  </si>
  <si>
    <t>Foreign government bonds</t>
  </si>
  <si>
    <t>Domestic stocks</t>
  </si>
  <si>
    <t>Foreign stocks</t>
  </si>
  <si>
    <t>IC440</t>
  </si>
  <si>
    <t>IC460</t>
  </si>
  <si>
    <t>Certificates of deposit (non-negotiable)</t>
  </si>
  <si>
    <t>Debt mutual funds</t>
  </si>
  <si>
    <t>Balanced mutual funds</t>
  </si>
  <si>
    <t>International mutual funds</t>
  </si>
  <si>
    <t>Equity mutual funds</t>
  </si>
  <si>
    <t>Pooled debt funds</t>
  </si>
  <si>
    <t>Annuity contracts</t>
  </si>
  <si>
    <t>Investments in real estate</t>
  </si>
  <si>
    <t>Real estate investment trust</t>
  </si>
  <si>
    <t>Hedge funds</t>
  </si>
  <si>
    <t>Private equity limited partnerships</t>
  </si>
  <si>
    <t>Real assets limited partnerships</t>
  </si>
  <si>
    <t>Money market mutual funds</t>
  </si>
  <si>
    <t>Unallocated insurance contracts</t>
  </si>
  <si>
    <t>Mortgage pass throughs</t>
  </si>
  <si>
    <t>– Report leases in Governmental Funds (1XXX to 13XX) and Internal Service Funds (GASB 27XX) as Governmental Activities.</t>
  </si>
  <si>
    <r>
      <t xml:space="preserve">Foundations </t>
    </r>
    <r>
      <rPr>
        <b/>
        <vertAlign val="superscript"/>
        <sz val="11"/>
        <rFont val="Arial"/>
        <family val="2"/>
      </rPr>
      <t>(1)</t>
    </r>
  </si>
  <si>
    <r>
      <t>Activities</t>
    </r>
    <r>
      <rPr>
        <b/>
        <vertAlign val="superscript"/>
        <sz val="10"/>
        <rFont val="Arial"/>
        <family val="2"/>
      </rPr>
      <t xml:space="preserve"> </t>
    </r>
    <r>
      <rPr>
        <b/>
        <vertAlign val="superscript"/>
        <sz val="11"/>
        <rFont val="Arial"/>
        <family val="2"/>
      </rPr>
      <t>(1)</t>
    </r>
  </si>
  <si>
    <t>SIRR480</t>
  </si>
  <si>
    <t>SIRR500</t>
  </si>
  <si>
    <t>Other A</t>
  </si>
  <si>
    <t>Other B</t>
  </si>
  <si>
    <t>RESTRICTED AND UNRESTRICTED NET POSITION</t>
  </si>
  <si>
    <t>Net Position</t>
  </si>
  <si>
    <t>Total Net Position</t>
  </si>
  <si>
    <t>NCSSM (4XXX)</t>
  </si>
  <si>
    <t>Statement of Net Position</t>
  </si>
  <si>
    <t>Net position:</t>
  </si>
  <si>
    <t xml:space="preserve">   Total net position</t>
  </si>
  <si>
    <t>Statement of Revenues, Expenses and Changes in Net Position</t>
  </si>
  <si>
    <t>Net position - end of year</t>
  </si>
  <si>
    <t>Net position - beginning of year</t>
  </si>
  <si>
    <t>Net position between Stmt of Net Position and O/S verification</t>
  </si>
  <si>
    <t xml:space="preserve">   Increase (decrease) in net position</t>
  </si>
  <si>
    <t>Stmnt of Fid Net Position verification</t>
  </si>
  <si>
    <t xml:space="preserve">    Change in net position</t>
  </si>
  <si>
    <t>Net position - beginning</t>
  </si>
  <si>
    <t>Net position - ending</t>
  </si>
  <si>
    <t>Stmnt of Changes in Net Position verification</t>
  </si>
  <si>
    <t>SNP</t>
  </si>
  <si>
    <t>Net Position:</t>
  </si>
  <si>
    <t>SRECNP</t>
  </si>
  <si>
    <t>Net position—beginning of year</t>
  </si>
  <si>
    <t>Increase (Decrease) in Net Position</t>
  </si>
  <si>
    <t>Net position—end of year</t>
  </si>
  <si>
    <t xml:space="preserve">Net position between Stmt of Net Position and O/S </t>
  </si>
  <si>
    <t>Clients served by neuro-meds facilities</t>
  </si>
  <si>
    <t xml:space="preserve">Staggered Due Dates: Earlier submission is strongly encouraged! </t>
  </si>
  <si>
    <t>if the unrestricted net position balance is a deficit, key this as a negative number. Also, on the 905 and 905Hosp</t>
  </si>
  <si>
    <t>Prior Year 905 -  Offline Proprietary Proforma - SNP &amp; SRECNP
 Statement of Rev, Exp and Changes in Net Position</t>
  </si>
  <si>
    <t>Check- agree to Accum depreciation total in SNP above</t>
  </si>
  <si>
    <t>Bonds and COPS payable check to SNP</t>
  </si>
  <si>
    <t>26xx</t>
  </si>
  <si>
    <t>Transfers</t>
  </si>
  <si>
    <t>In/Out</t>
  </si>
  <si>
    <t>__________________________________________________________________________________________________________________________________</t>
  </si>
  <si>
    <t>that do not apply as NA in the appropriate place on the Index.</t>
  </si>
  <si>
    <t>adjustment below.</t>
  </si>
  <si>
    <t xml:space="preserve">If you have a current year adjustment to accumulated depreciation, place the adjustment in the appropriate accum depr increases/acc depr decreases columns.  Provide an explanation for the </t>
  </si>
  <si>
    <t>Net Position and GASB Table for 905 &amp; 906 Templates
Agency Name</t>
  </si>
  <si>
    <t>Check total for all agencies using 905</t>
  </si>
  <si>
    <t>use ws 906, not 905</t>
  </si>
  <si>
    <t>UNC System total (48 - ZL)</t>
  </si>
  <si>
    <t xml:space="preserve">Hedging derivatives </t>
  </si>
  <si>
    <t>DEFERRED OUTFLOWS OF RESOURCES</t>
  </si>
  <si>
    <t xml:space="preserve">Accumulated decrease in fair value of hedging derivative </t>
  </si>
  <si>
    <t>DEFERRED INFLOWS OF RESOURCES</t>
  </si>
  <si>
    <t xml:space="preserve">Accumulated increase in fair value of hedging derivative </t>
  </si>
  <si>
    <t xml:space="preserve">Serv concess arrangmt revenue applicable to future yrs </t>
  </si>
  <si>
    <t xml:space="preserve">       Total  deferred inflows of resources</t>
  </si>
  <si>
    <t>Verification: Assets + Def. Outflows  - Liab. - Def. Inflows = Net Position</t>
  </si>
  <si>
    <t>Check: Assets + Def OutFlo - Liab - Def Inflo = Net Position</t>
  </si>
  <si>
    <t>Net investment in capital assets</t>
  </si>
  <si>
    <t>Deferred Compensation Plan</t>
  </si>
  <si>
    <t>Deferred Comp &amp; NC 401(k)-Combined Pkg</t>
  </si>
  <si>
    <t>906-6B</t>
  </si>
  <si>
    <t>906-6C</t>
  </si>
  <si>
    <t>911-6B</t>
  </si>
  <si>
    <t>911-6C</t>
  </si>
  <si>
    <t>Offline Fiduciary Analytical Review - 6C - 401(k) Computed Variances</t>
  </si>
  <si>
    <t>Offline Fiduciary Analytical Review  - 6B -  Deferred Comp - Computed Variances</t>
  </si>
  <si>
    <t>Prior Year 905 worksheet - SNP &amp; SRECNP for Computed Variances 910 worksheet</t>
  </si>
  <si>
    <t>Offline Fiduciary Proforma for NC 401(k) Plan 
Stmt of Net Position &amp; Stmt of Changes in Net Postion - 906-6C</t>
  </si>
  <si>
    <t>Offline Fiduciary Proforma for Deferred Compensation Plan 
Stmt of Net Position &amp; Stmt of Changes in Net Postion  - 906-6B</t>
  </si>
  <si>
    <t>3324&amp;3318</t>
  </si>
  <si>
    <t>Deferred Comp &amp; NC 401(k) Plan</t>
  </si>
  <si>
    <t>401(k)  906-6C</t>
  </si>
  <si>
    <t>Deferred Comp  906-6B</t>
  </si>
  <si>
    <t>Total Def Comp + 401(k)</t>
  </si>
  <si>
    <t xml:space="preserve"> Net Position verification between SNP &amp; O/S</t>
  </si>
  <si>
    <t>If you answered YES, disclosure is required:</t>
  </si>
  <si>
    <t>Complete the following schedule for any GASB fund that has restated numbers (may or may not be fund equity).  If fund equity is restated, the</t>
  </si>
  <si>
    <t>statement.  (see note below)</t>
  </si>
  <si>
    <t xml:space="preserve">amounts should agree to the amounts shown on the operating statement.  Restatements for capital assets/long-term debt will not tie to the operating  </t>
  </si>
  <si>
    <t>of the arrangement.</t>
  </si>
  <si>
    <t>Other E:</t>
  </si>
  <si>
    <t>Other F:</t>
  </si>
  <si>
    <t>Investments Held Outside the State Treasurer - Deposit and Investment Policies</t>
  </si>
  <si>
    <r>
      <t xml:space="preserve">Please pay careful attention in filling out the Index sheet, marking all </t>
    </r>
    <r>
      <rPr>
        <b/>
        <u/>
        <sz val="10.5"/>
        <rFont val="Times New Roman"/>
        <family val="1"/>
      </rPr>
      <t xml:space="preserve">worksheets and narratives </t>
    </r>
  </si>
  <si>
    <t>6BC</t>
  </si>
  <si>
    <t>ZG</t>
  </si>
  <si>
    <t>Centennial Authority</t>
  </si>
  <si>
    <t xml:space="preserve">Nonmajor component unit - see note below </t>
  </si>
  <si>
    <t>Reclassified to nonmajor based on GASB 61</t>
  </si>
  <si>
    <t>See below.</t>
  </si>
  <si>
    <t>111110 CSH ON HAND</t>
  </si>
  <si>
    <t>111120 CSH/BNK-NON INT BEAR CHK</t>
  </si>
  <si>
    <t>111130 CSH/BNK-INT BEAR ACCTS</t>
  </si>
  <si>
    <t>111140 CSH/BNK-POOLED CASH ACCTS</t>
  </si>
  <si>
    <t>111190 CSH/BANK-OTHER ACCTS</t>
  </si>
  <si>
    <t>112121 NON-TREAS-CSH W/FISC AGT</t>
  </si>
  <si>
    <t>111210 POOL CSH-LIQ ASSET FND</t>
  </si>
  <si>
    <t>111220 POOL CSH-STATE TREAS STIF</t>
  </si>
  <si>
    <t>111230 POOL CSH-CSH CARRIED FWD</t>
  </si>
  <si>
    <t>111231 CASH CARRYFORWARD-DPI</t>
  </si>
  <si>
    <t>111232 CASH CARRYFORWARD-UNAPPRO</t>
  </si>
  <si>
    <t>111240 POOL CSH-GEN FUND REV</t>
  </si>
  <si>
    <t>111250 POOL CSH-DISBURSING ACCT</t>
  </si>
  <si>
    <t>111255 CASH IN DISB. ACCT.(ACCR)</t>
  </si>
  <si>
    <t>111260 POOL CSH-BUDGET CODE CSH</t>
  </si>
  <si>
    <t>111270 POOL CSH-ALLOTMENT ACCT</t>
  </si>
  <si>
    <t>111280 POOL CSH-UNALLOT APPRO/CI</t>
  </si>
  <si>
    <t>111290 BOND PROCEED CASH ADJUSTM</t>
  </si>
  <si>
    <t>Restricted cash and cash equivalents</t>
  </si>
  <si>
    <t>11R110 CASH ON HAND-RESTRICTED</t>
  </si>
  <si>
    <t>11R120 CSH/BNK-NON INT CHK-RESTR</t>
  </si>
  <si>
    <t>11R121 NON-TREAS CASH W/FISC AGT</t>
  </si>
  <si>
    <t>11R130 CSH/BNK-INT BEAR-RESTRICT</t>
  </si>
  <si>
    <t>11R190 CSH/BNK-OTHER ACCTS-RESTR</t>
  </si>
  <si>
    <t>11R220 POOL CASH-STIF-RESTRICTED</t>
  </si>
  <si>
    <t>11R260 POOL CSH-BUD CODE-RESTRIC</t>
  </si>
  <si>
    <t>11R270 POOL CSH-ALLOTMNT-RESTRIC</t>
  </si>
  <si>
    <t>11R280 POOL CSH-UNALLOT APPR-RST</t>
  </si>
  <si>
    <t>11R290 BOND PROCEED CSH ADJ-REST</t>
  </si>
  <si>
    <t>112101 NON-TREAS-US GOV SEC</t>
  </si>
  <si>
    <t>112102 NON-TREAS-ST &amp; MUNI SEC</t>
  </si>
  <si>
    <t>112103 NON-TREAS-CORP BONDS</t>
  </si>
  <si>
    <t>112104 NON-TREAS-CORP STOCKS</t>
  </si>
  <si>
    <t>112105 NON-TREAS-REPO</t>
  </si>
  <si>
    <t>112106 NON-TREAS-COMM PAPER</t>
  </si>
  <si>
    <t>112107 NON-TREAS-BANKERS' ACCEPT</t>
  </si>
  <si>
    <t>112108 NON-TREAS-ANNUITY CONTR</t>
  </si>
  <si>
    <t>112109 NON-TREAS-INV-REAL ESTATE</t>
  </si>
  <si>
    <t>112110 International Bonds (Corp)</t>
  </si>
  <si>
    <t>112111 International Bonds (Govt)</t>
  </si>
  <si>
    <t>112112 NON-TREAS-INTL STOCKS</t>
  </si>
  <si>
    <t>112113 NON-TREAS-CD'S</t>
  </si>
  <si>
    <t>112114 NON-TREAS-INV AGREEMENTS</t>
  </si>
  <si>
    <t>112115 NON-TREAS-INVEST CONTRACT</t>
  </si>
  <si>
    <t>112116 NON-TREAS-MONEY MARKET</t>
  </si>
  <si>
    <t>112117 NON-TREAS-MUTUAL FUNDS</t>
  </si>
  <si>
    <t>112118 NON-TREAS-REIT</t>
  </si>
  <si>
    <t>112119 NON-TREAS-LIM PARTNERSHIP</t>
  </si>
  <si>
    <t>112120 NON-TREAS-REVERSE REPO</t>
  </si>
  <si>
    <t>112122 NON-TREAS-INV W/FISC AGT</t>
  </si>
  <si>
    <t>112123 NON-TREAS-POOLED INVEST</t>
  </si>
  <si>
    <t>112124 Collateral Mortgage Oblig</t>
  </si>
  <si>
    <t>112150 ALLOW-FV INVESTMENTS</t>
  </si>
  <si>
    <t>112151 ALLOW-FV INVEST FISCAL AG</t>
  </si>
  <si>
    <t>112190 NON-TREAS-OTHER INV</t>
  </si>
  <si>
    <t>112191 NON-TREAS INVST DERIV-CURR</t>
  </si>
  <si>
    <t>NEW ACCT FOR 2009-2010 - GASB 53</t>
  </si>
  <si>
    <t>112210 POOL INV-LONG TERM</t>
  </si>
  <si>
    <t>112211 L/T INVESTMENT-GLOBAL TP</t>
  </si>
  <si>
    <t>112220 POOL INV-EQUITY INV FUND</t>
  </si>
  <si>
    <t>112230 POOL INV-REAL ES INV FUND</t>
  </si>
  <si>
    <t>112240 POOL INV-VENTURE CAP FUND</t>
  </si>
  <si>
    <t>112241 INFLATION PROTECTION INVESTMENT FUND</t>
  </si>
  <si>
    <t>NEW ACCT FOR FY 2009-2010</t>
  </si>
  <si>
    <t>112242 CREDIT INVESTMENT FUND</t>
  </si>
  <si>
    <t>112260 INVESTMENTS-EXTERNAL UNIT</t>
  </si>
  <si>
    <t>112280 ALLOW-FV OF POOLED INVEST</t>
  </si>
  <si>
    <t>112281 ALLOW-FV EQUITY INV FUND</t>
  </si>
  <si>
    <t>112282 ALLOW-FV REAL EST INV FND</t>
  </si>
  <si>
    <t>112283 ALLOW-FV VENTURE CAP INV</t>
  </si>
  <si>
    <t>112284 ALLOW -FV LIMITED PART LIA</t>
  </si>
  <si>
    <t>NEW ACCT FOR FY 2007-2008</t>
  </si>
  <si>
    <t>112285 ALLOW -FV OF INFLATION PROTECTION INVESTMENT FUND</t>
  </si>
  <si>
    <t>112286 ALLOW -FV OF CREDIT INVESTMENT FUND</t>
  </si>
  <si>
    <t>112125 NON-TREAS RESTRICT INVEST</t>
  </si>
  <si>
    <t>112152 ALLOW-FV RESTRICT INVESTM</t>
  </si>
  <si>
    <t>112250 Bond Proceeds</t>
  </si>
  <si>
    <t>112300 SECURITY LEND COLL INVEST</t>
  </si>
  <si>
    <t xml:space="preserve">          Receivables:</t>
  </si>
  <si>
    <t xml:space="preserve">     Accounts receivable</t>
  </si>
  <si>
    <t>113200 A/R</t>
  </si>
  <si>
    <t>113210 A/R - STUDENTS</t>
  </si>
  <si>
    <t>113220 A/R - PATIENTS</t>
  </si>
  <si>
    <t>113230  RETAILER ACCTS RECEIVABLE</t>
  </si>
  <si>
    <t>NEW ACCT FOR FY 2005-2006</t>
  </si>
  <si>
    <t>113231  NSF RECEIVABLE</t>
  </si>
  <si>
    <t>113232  NSF FEE DUE</t>
  </si>
  <si>
    <t>113300 ALLOW FOR DOUBTFUL ACCTS</t>
  </si>
  <si>
    <t>113310 ALLOW-DOUBT ACCT-STUDENT</t>
  </si>
  <si>
    <t>113320 ALLOW-DOUBT ACCT-PATIENT</t>
  </si>
  <si>
    <t xml:space="preserve">       Intergovernmental receivables</t>
  </si>
  <si>
    <t>113410 INTERGOV-LOC GOV REC</t>
  </si>
  <si>
    <t>113420 INTERGOV-FED AGY REC</t>
  </si>
  <si>
    <t>113425 RECEIVABLES FROM OTHER STATES</t>
  </si>
  <si>
    <t>NEW ACCT FOR FY 2010-2011</t>
  </si>
  <si>
    <t xml:space="preserve">     Interest receivable</t>
  </si>
  <si>
    <t>113510 INT EARN REC ON LOAN/NOTE</t>
  </si>
  <si>
    <t>113520 INT REC - ON INVESTMNT</t>
  </si>
  <si>
    <t xml:space="preserve">       Premiums receivable</t>
  </si>
  <si>
    <t>113600 PREMIUMS RECEIVABLE</t>
  </si>
  <si>
    <t xml:space="preserve">     Contributions receivable</t>
  </si>
  <si>
    <t>113370 ALLOWANCE-CONTRIBUTIONS</t>
  </si>
  <si>
    <t>113700 CONTRIBUTIONS RECEIVABLE</t>
  </si>
  <si>
    <t xml:space="preserve">     Other receivables</t>
  </si>
  <si>
    <t>113360 ALLOWANCE-PLEDGES</t>
  </si>
  <si>
    <t>113910 DUE FROM EMPLOYEES</t>
  </si>
  <si>
    <t>113940 PLEDGES RECEIVABLE</t>
  </si>
  <si>
    <t>113990 OTHER CURRENT RECEIVABLES</t>
  </si>
  <si>
    <t>Due from fiduciary funds</t>
  </si>
  <si>
    <t>114318 GOV INTRA REC-PENS TRUST</t>
  </si>
  <si>
    <t>114319 GOV INTRA REC-AGENCY</t>
  </si>
  <si>
    <t>114321 GOV INTRA REC-PRIV PUR TR</t>
  </si>
  <si>
    <t>114418 Due from Pension Trst Fnd</t>
  </si>
  <si>
    <t>114419 GOV INTER REC-AGENCY</t>
  </si>
  <si>
    <t>114421 GOV INTER REC-PRIV PUR TR</t>
  </si>
  <si>
    <t>114310 GOV INTRA REC-GENERAL</t>
  </si>
  <si>
    <t>114311 GOV INTRA REC-SPECIAL REV</t>
  </si>
  <si>
    <t>114313 GOV INTRA REC-CAP IMPROV</t>
  </si>
  <si>
    <t>114314 GOV INTRA REC-ENTERPRISE</t>
  </si>
  <si>
    <t>114315 GOV INTRA REC-INTERN SVC</t>
  </si>
  <si>
    <t>114320 GOV INTRA REC-PERMANENT</t>
  </si>
  <si>
    <t>114410 GOV INTER REC-GENERAL</t>
  </si>
  <si>
    <t>114411 GOV INTER REC-SPEC REV</t>
  </si>
  <si>
    <t>114413 GOV INTER REC-CAP IMPROV</t>
  </si>
  <si>
    <t>114414 Due from Enterprise Fund</t>
  </si>
  <si>
    <t>114415 GOV INTER REC-INTERN SVC</t>
  </si>
  <si>
    <t>114420 GOV INTER REC-PERMANENT</t>
  </si>
  <si>
    <t>114421  DUE FROM PRIVATE PURPOSE TRUST</t>
  </si>
  <si>
    <t>Due from component units</t>
  </si>
  <si>
    <t>114700 DUE FROM ST OF NC COMPONENT UNITS</t>
  </si>
  <si>
    <t>114800 DUE FROM AG/INSTITUTION COMPONENT UNITS</t>
  </si>
  <si>
    <t>NEW ACCT for FY 2003-2004</t>
  </si>
  <si>
    <t>114600 DUE FROM PRI GOV AGENCY</t>
  </si>
  <si>
    <t>115100 NOTES/LOANS RECEIVABLE</t>
  </si>
  <si>
    <t>115110 NOTE REC-NDSL LNS REC</t>
  </si>
  <si>
    <t>115120 NOTE REC-OTH STUD LOANS</t>
  </si>
  <si>
    <t>115200 Other Student Loans Rec</t>
  </si>
  <si>
    <t>115210 ALLOW-DOUBT ACCTS - NDSL</t>
  </si>
  <si>
    <t>115220 ALLOW-DOUBT ACCT-OTH STUD</t>
  </si>
  <si>
    <t>Accounts 116110 - 116990</t>
  </si>
  <si>
    <t>116110 INVEN-POSTAGE</t>
  </si>
  <si>
    <t>116120 INVEN-DP SUPPLIES</t>
  </si>
  <si>
    <t>116190 INVEN-OTH OFF MAT/SUPPL</t>
  </si>
  <si>
    <t>116210 INVEN-JANITORIAL SUPPLIES</t>
  </si>
  <si>
    <t>116220 INVEN-BEDDING &amp; TEXTILE</t>
  </si>
  <si>
    <t>116230 INVEN-AGRICULTURAL</t>
  </si>
  <si>
    <t>116240 INVEN-CONSTR/REPAIR SUPPL</t>
  </si>
  <si>
    <t>116250 INVEN-HEAT &amp; UTIL SUPPL</t>
  </si>
  <si>
    <t>116290 INVEN-OTH HSE &amp; CLN SUPPL</t>
  </si>
  <si>
    <t>116310 INVEN-MOTOR FUEL &amp; LUBRIC</t>
  </si>
  <si>
    <t>116320 INVEN-TIRES &amp; TUBES</t>
  </si>
  <si>
    <t>116330 INVEN-MOTOR VEHIC PARTS</t>
  </si>
  <si>
    <t>116390 INVEN-OTH MOTR VEH OP SUP</t>
  </si>
  <si>
    <t>116400 INVEN-FOOD &amp; DIETARY</t>
  </si>
  <si>
    <t>116500 INVEN-CLOTHING &amp; REC SUP</t>
  </si>
  <si>
    <t>116610 INVEN-SCIENTIFIC</t>
  </si>
  <si>
    <t>116620 INVEN-DRUGS/PHARM</t>
  </si>
  <si>
    <t>116700 INVEN-R&amp;D, ED SUPPL</t>
  </si>
  <si>
    <t>116800 INVEN-PURCHASE FOR RESALE</t>
  </si>
  <si>
    <t>116910 INVEN-CENTRAL STORES</t>
  </si>
  <si>
    <t>116990 INVEN-OTH MATERIAL/SUPPL</t>
  </si>
  <si>
    <t>Food stamps</t>
  </si>
  <si>
    <t>119400 FOOD STAMPS</t>
  </si>
  <si>
    <t>119100 PREPAID ITEMS</t>
  </si>
  <si>
    <t>119200 BOND ISSUANCE COST</t>
  </si>
  <si>
    <t>Securities held in trust (Sureties)</t>
  </si>
  <si>
    <t>119300 SECURITIES HELD IN TRUST</t>
  </si>
  <si>
    <t>Hedging Derivatives</t>
  </si>
  <si>
    <t>119700 HEDGING DERIVATIVES-CURR</t>
  </si>
  <si>
    <t>Non-Current Assets:</t>
  </si>
  <si>
    <t>121110 CASH ON HAND-NONCURRENT</t>
  </si>
  <si>
    <t>121120 CSH/BNK-NON INT BEAR CHK</t>
  </si>
  <si>
    <t>not new acct, but univ will begin using for fy 2002</t>
  </si>
  <si>
    <t>121130 CSH/BNK-INT BEAR ACCTS</t>
  </si>
  <si>
    <t>121140 CSH/BNK-:POOLED CASH</t>
  </si>
  <si>
    <t>121190 CSH/BNK-OTH ACCTS</t>
  </si>
  <si>
    <t>122121 NON-TREAS-CSH W/FISC AGT</t>
  </si>
  <si>
    <t>Restricted/designated pooled cash</t>
  </si>
  <si>
    <t>121220 POOL CASH-STIF-NONCURRENT</t>
  </si>
  <si>
    <t>121260 POOL CSH-BUD CODE-NONCURR</t>
  </si>
  <si>
    <t>121270 POOL CSH-ALLOTMNT-NONCURR</t>
  </si>
  <si>
    <t>121280 POOL CSH-UNALLOT APPR-NON</t>
  </si>
  <si>
    <t>121290 BOND PROCEED CSH ADJ-NONC</t>
  </si>
  <si>
    <t>122101 NON-TREAS-US GOV SEC</t>
  </si>
  <si>
    <t>122102 NON-TREAS-ST &amp; MUNI SEC</t>
  </si>
  <si>
    <t>122103 NON-TREAS-CORP BONDS</t>
  </si>
  <si>
    <t>122104 NON-TREAS-CORP STOCKS</t>
  </si>
  <si>
    <t>122105 NON-TREAS-REPO</t>
  </si>
  <si>
    <t>122106 NON-TREAS-COMM PAPER</t>
  </si>
  <si>
    <t>122107 NON-TREAS-BANKERS' ACCEP</t>
  </si>
  <si>
    <t>122108 NON-TREAS-ANNUITY CONTR</t>
  </si>
  <si>
    <t>122109 NON-TREAS-REAL ESTATE</t>
  </si>
  <si>
    <t>122110 NON-TREAS-INTL BONDS-CORP</t>
  </si>
  <si>
    <t>122111 NON-TREAS-INTL BONDS-GOV</t>
  </si>
  <si>
    <t>122112 NON-TREAS-INTL STOCKS</t>
  </si>
  <si>
    <t>122113 NON-TREAS-CD'S</t>
  </si>
  <si>
    <t>122114 NON-TREAS-INV AGREEMENTS</t>
  </si>
  <si>
    <t>122115 NON-TREAS-INVEST CONTRACT</t>
  </si>
  <si>
    <t>122116 NON-TREAS-MONEY MARKET</t>
  </si>
  <si>
    <t>122117 NON-TREAS-MUTUAL FUNDS</t>
  </si>
  <si>
    <t>122118 NON-TREAS-REIT</t>
  </si>
  <si>
    <t>122119 NON-TREAS-LIMITED PARTNER</t>
  </si>
  <si>
    <t>122120 NON-TREAS-REVERSE REPO</t>
  </si>
  <si>
    <t>122122 NON-TREAS-INV W/FIS AGT</t>
  </si>
  <si>
    <t>122123 NON-TREAS-POOLED INVEST</t>
  </si>
  <si>
    <t>122124 NON-TREAS-COLL MORT OBLIG</t>
  </si>
  <si>
    <t>122150 ALLOW-FV INVESTMENTS</t>
  </si>
  <si>
    <t>122151 ALLOW-FV INVEST FISCAL AG</t>
  </si>
  <si>
    <t>122190 NON-TREAS-OTHER INVESTS</t>
  </si>
  <si>
    <t>122191 NON-TREAS INV DERIV- NONCU</t>
  </si>
  <si>
    <t>122210 POOL INV-LONG TERM</t>
  </si>
  <si>
    <t>NEW ACCT for FY 2002-2003</t>
  </si>
  <si>
    <t>122280 ALLOW-FV OF POOLED INVEST</t>
  </si>
  <si>
    <t>122125 ENDOWMENT INVESTMENTS</t>
  </si>
  <si>
    <t>122126 NON-TREAS RESTRICT INVEST</t>
  </si>
  <si>
    <t>122152 ALLOW-FV ENDOWMENT INVEST</t>
  </si>
  <si>
    <t>122153 ALLOW-FV RESTRICT INVESTM</t>
  </si>
  <si>
    <t>123200 A/R-NON CURRENT</t>
  </si>
  <si>
    <t>123210 A/R-STUDENTS</t>
  </si>
  <si>
    <t>123220 Accounts Rec - Patients</t>
  </si>
  <si>
    <t>123300 Allow for Doubtful Accts</t>
  </si>
  <si>
    <t>123310 Allow Doubt Accts-Student</t>
  </si>
  <si>
    <t>123320 ALLOW-DOUBT ACCT-PATIENT</t>
  </si>
  <si>
    <t>123510 INT REC ON LOANS/NOTES</t>
  </si>
  <si>
    <t>123520 INT REC ON INVESTMENTS</t>
  </si>
  <si>
    <t>123370 ALLOWANCE FOR DOUBTFUL ACCTS-CONTRIBUTIONS</t>
  </si>
  <si>
    <t>123700 CONTRIBUTIONS RECEIVABLE-NONCURRENT</t>
  </si>
  <si>
    <t>Other receivables</t>
  </si>
  <si>
    <t>123360 ALLOWANCE-PLEDGES</t>
  </si>
  <si>
    <t>123910 REC-DUE FROM EMPLOYEE</t>
  </si>
  <si>
    <t>123940 PLEDGES RECEIVABLE</t>
  </si>
  <si>
    <t>123990 OTHER NONCURRENT RECEIV</t>
  </si>
  <si>
    <t>124100 RESTRIC DUE FROM PRIM GOV</t>
  </si>
  <si>
    <t>Restricted due from component unit</t>
  </si>
  <si>
    <t>124200 RESTRICTED DUE FROM STATE OF NC COMPONENT UNIT</t>
  </si>
  <si>
    <t>125100 NOTES RECEIVABLE</t>
  </si>
  <si>
    <t>125110 NOTES REC-NDSL LOANS REC</t>
  </si>
  <si>
    <t>125120 NOTES REC-OTH STUD LOANS</t>
  </si>
  <si>
    <t>125200 ALLOW-UNCOLL NOTES REC</t>
  </si>
  <si>
    <t>125210 ALLOW DOUBT ACCTS-NDSL</t>
  </si>
  <si>
    <t>125220 ALLOW DOUBT ACCT-OTH STUD</t>
  </si>
  <si>
    <t>Investment in Joint Venture</t>
  </si>
  <si>
    <t>129500 INVESTMENT IN JOINT VENTURE</t>
  </si>
  <si>
    <t>129100 PREPAID ITEMS - NON CUR</t>
  </si>
  <si>
    <t>129400 BOND ISSUANCE COST-NONCUR</t>
  </si>
  <si>
    <t>124310 Advances to General Fund</t>
  </si>
  <si>
    <t>124311 Advances to Spec Rev Fund</t>
  </si>
  <si>
    <t>124313 Advances to Cap Imp Fund</t>
  </si>
  <si>
    <t>124314 Advances to Enterpri Fund</t>
  </si>
  <si>
    <t>124315 Advances to int service fund</t>
  </si>
  <si>
    <t>124318 Advances Pension Trst Fnd</t>
  </si>
  <si>
    <t>124319 Advances Agency Fund</t>
  </si>
  <si>
    <t>124700 Adv to component Units</t>
  </si>
  <si>
    <t>129700 HEDGING DERIVATIV-NONCURR</t>
  </si>
  <si>
    <t>NEW ACCOUNT FY 2009-2010</t>
  </si>
  <si>
    <t>Total Non-Current Assets</t>
  </si>
  <si>
    <t>Capital Assets:</t>
  </si>
  <si>
    <t xml:space="preserve">     Land and permanent Easements</t>
  </si>
  <si>
    <t>127000 LAND/LAND IMPRV/NONDEPREC</t>
  </si>
  <si>
    <t>127510 PERMANENT EASEMENTS -NON DEPRECIABLE</t>
  </si>
  <si>
    <t xml:space="preserve">     Art, other artifacts &amp; literature - non-depre</t>
  </si>
  <si>
    <t>127410 ART/LIT/ARTIFAC-NONDEPREC</t>
  </si>
  <si>
    <t xml:space="preserve">     Construction in progress</t>
  </si>
  <si>
    <t>127800 CONSTRUCTION IN PROGRESS</t>
  </si>
  <si>
    <t xml:space="preserve">     Computer software in development </t>
  </si>
  <si>
    <t>127830 COMPUTER SOFTWARE IN DEVELOPMENT</t>
  </si>
  <si>
    <t xml:space="preserve">     Patents in development</t>
  </si>
  <si>
    <t>127820 PATENTS IN DEVELOPMENT</t>
  </si>
  <si>
    <t xml:space="preserve">     Other intangible assets, nondepreciable</t>
  </si>
  <si>
    <t>127505 Other intangible assets - Nondepreciable.</t>
  </si>
  <si>
    <t>Capital assets, depreciable</t>
  </si>
  <si>
    <t>127100 BUILDINGS</t>
  </si>
  <si>
    <t>127110 LEASEHOLD IMPROVEMENTS</t>
  </si>
  <si>
    <t>New FY 2010-2011</t>
  </si>
  <si>
    <t>127310 FURNITURE</t>
  </si>
  <si>
    <t>127320 EQUIPMENT</t>
  </si>
  <si>
    <t>127330 MOTOR VEH/MOTORIZED EQUIP</t>
  </si>
  <si>
    <t>127340 LIVESTOCK/OTHER ANIMALS</t>
  </si>
  <si>
    <t>Art, literature &amp; artifacts, depreciable</t>
  </si>
  <si>
    <t>127400 ART/LITERATURE/ARTIFACTS</t>
  </si>
  <si>
    <t>General Infrastructure</t>
  </si>
  <si>
    <t>127210 ROAD SYSTEMS</t>
  </si>
  <si>
    <t>127220 BRIDGES</t>
  </si>
  <si>
    <t>127230 LANDSCAPING</t>
  </si>
  <si>
    <t>127240 UTILITY SYSTEMS</t>
  </si>
  <si>
    <t>127250 TOWERS/TANKS/WELLS</t>
  </si>
  <si>
    <t>127255 DAMS</t>
  </si>
  <si>
    <t>127260 FENCES</t>
  </si>
  <si>
    <t>127265 EXTERIOR LIGHTING SYSTEMS</t>
  </si>
  <si>
    <t>127270 PARKING AREAS</t>
  </si>
  <si>
    <t>127280 TUNNELS</t>
  </si>
  <si>
    <t>127290 OTHER STRUCT/IMPROV</t>
  </si>
  <si>
    <t>127200 NCDOT HIGHWAY NETWORK</t>
  </si>
  <si>
    <t>Computer software</t>
  </si>
  <si>
    <t>127530  COMPUTER SOFTWARE</t>
  </si>
  <si>
    <t>127520  PATENTS</t>
  </si>
  <si>
    <t>Other Intangible assets- depreciable</t>
  </si>
  <si>
    <t>127500 OTHER INTANGIBLE ASSETS</t>
  </si>
  <si>
    <t>Accounts 1279XX.</t>
  </si>
  <si>
    <t>127900 ACCUMULATED DEPRECIATION-NC DOT Highway Network</t>
  </si>
  <si>
    <t>127910 DEPREC-BUILDINGS</t>
  </si>
  <si>
    <t>127911 ACCUM DEPREC - LEASEHOLD IMPOVEMENTS</t>
  </si>
  <si>
    <t>127920 DEPREC-OTHER STRUCTURES</t>
  </si>
  <si>
    <t>127930 ACCUM DEPREC-MOTOR VEH/EQ</t>
  </si>
  <si>
    <t>127931 ACCUM DEPREC-LANDSCAPING</t>
  </si>
  <si>
    <t>127932 ACCUM DEPREC-TOWERS/TANKS</t>
  </si>
  <si>
    <t>127933 ACCUM DEPREC-FENCES</t>
  </si>
  <si>
    <t>127934 ACCUM DEPREC-PARKING AREA</t>
  </si>
  <si>
    <t>127935 ACCUM DEPREC-FURNITURE</t>
  </si>
  <si>
    <t>127936 ACCUM DEPREC-EQUIPMENT</t>
  </si>
  <si>
    <t>127937 ACCDEPREC - LIVESTOCK AND OTHER ANIMALS</t>
  </si>
  <si>
    <t>127940  ACCUM DEP - ART, LIT, ARTIF</t>
  </si>
  <si>
    <t>127950 ACCUM DEP - INTANG ASSETS</t>
  </si>
  <si>
    <t>127951 ACCUM DEPREC- PATENTS</t>
  </si>
  <si>
    <t>127952  ACCUM DEPREC - COMPUTER SOFTWARE</t>
  </si>
  <si>
    <t>127960 ACCUM DEPREC-ROAD NON DOT</t>
  </si>
  <si>
    <t>127961 ACCUM DEPREC - BRIDGES</t>
  </si>
  <si>
    <t>127962 ACCUM DEPREC-UTILITY SYST</t>
  </si>
  <si>
    <t>127963 - ACCUM DEPREC - DAMS</t>
  </si>
  <si>
    <t>127964 ACCUM DEPREC - EXTERIOR LIGHTING SYSTEMS</t>
  </si>
  <si>
    <t>127965 ACCUM DEPREC - TUNNELS</t>
  </si>
  <si>
    <t>TOTAL ASSETS</t>
  </si>
  <si>
    <t>DEFERRED OUTFLOWS OF RESOURCES:</t>
  </si>
  <si>
    <t>Moved caption below assets in FY 2012-13 as per GASB 63</t>
  </si>
  <si>
    <t xml:space="preserve">   Accum dec in fair value hedg deriv</t>
  </si>
  <si>
    <t>129701 Accum Decrease in Fair Value Hedging Derivatives</t>
  </si>
  <si>
    <t>New account title for FY 2012-13</t>
  </si>
  <si>
    <t>TOTAL DEFERRED OUTFLOWS OF RESOURCES</t>
  </si>
  <si>
    <t>UNCLASSIFIED ASSETS</t>
  </si>
  <si>
    <t>None at this time.</t>
  </si>
  <si>
    <t>Valid asset accts that must be zero at year-end</t>
  </si>
  <si>
    <t>114191 UNIV INTRA REC-UNREST CUR</t>
  </si>
  <si>
    <t>moved from unclass for 2005-2006</t>
  </si>
  <si>
    <t>114192 UNIV INTRA REC-PROPRIET</t>
  </si>
  <si>
    <t>114193 UNIV INTRA REC-RESTR CUR</t>
  </si>
  <si>
    <t>114194 UNIV INTRA REC-LOAN</t>
  </si>
  <si>
    <t>114195 UNIV INTRA REC-ENDOWMENT</t>
  </si>
  <si>
    <t>114196 UNIV INTRA REC-AGENCY</t>
  </si>
  <si>
    <t>114197 UNIV INTRA REC-UNEXP PLNT</t>
  </si>
  <si>
    <t>114198 UNIV INTRA REC-DEBT SVC</t>
  </si>
  <si>
    <t>114199 UNIV INTRA REC-INV PLNT</t>
  </si>
  <si>
    <t>INVALID Asset Accounts</t>
  </si>
  <si>
    <t>Beginning 6/30/02</t>
  </si>
  <si>
    <t>113100 TAXES RECEIVABLE</t>
  </si>
  <si>
    <t>113330 ALLOW-DOUBT ACCT-TAX REV</t>
  </si>
  <si>
    <t>114290 UNIV INTER RECEIVABLE</t>
  </si>
  <si>
    <t>Moved to invalid in FY 2011-12</t>
  </si>
  <si>
    <t>114291 UNIV INTER REC-UNREST CUR</t>
  </si>
  <si>
    <t>114292 UNIV INTER REC-PROPRIET</t>
  </si>
  <si>
    <t>114293 UNIV INTER REC-RESTR CUR</t>
  </si>
  <si>
    <t>114294    UNIV INTER REC-LOAN FUND</t>
  </si>
  <si>
    <t>114295    UNIV INTER REC-ENDOWMENT</t>
  </si>
  <si>
    <t>114296    UNIV INTER REC-AGENCY FND</t>
  </si>
  <si>
    <t>114297    UNIV INTER REC-UNEXP PLNT</t>
  </si>
  <si>
    <t>114298    UNIV INTER REC-DEBT SVCE</t>
  </si>
  <si>
    <t>114299    UNIV INTER REC-INV PLANT</t>
  </si>
  <si>
    <t>114312    Due from Debt Svce Fund</t>
  </si>
  <si>
    <t>114316 GOV INTRA REC-EXP TRUST</t>
  </si>
  <si>
    <t>114317 GOV INTRA REC-NONEXP TRST</t>
  </si>
  <si>
    <t>114412    Due from Debt Svce Fund</t>
  </si>
  <si>
    <t>114416 GOV INTER REC-EXP TRUST</t>
  </si>
  <si>
    <t>114417    Due from Nonexp Trst Fund</t>
  </si>
  <si>
    <t>119500    Amt Provided for LTD Retire.</t>
  </si>
  <si>
    <t>119701 Deferred Outflow - Current</t>
  </si>
  <si>
    <t>New acct for 2009-10 - GASB 53. Moved to Invalid FY 2012-13</t>
  </si>
  <si>
    <t>124312    Advances to Debt Svc Fund</t>
  </si>
  <si>
    <t>124316    Advances to Exp Trust Fnd</t>
  </si>
  <si>
    <t>124317    Advances Nonexp Trst Fnd</t>
  </si>
  <si>
    <t>124600 Advances Prim Gov Agcy-NC</t>
  </si>
  <si>
    <t>127966 ACCUMULATED AMORTIZATION - EASEMENTS</t>
  </si>
  <si>
    <t>128100  AMT AVAIL/PROV GLT DEBT</t>
  </si>
  <si>
    <t>New acct beginning 6/30/02; for governmental only, will be invalid for proprietary</t>
  </si>
  <si>
    <t>128110 AMT AVAIL-GENERAL FUND</t>
  </si>
  <si>
    <t>128120    AMT AVAIL-DEBT SVC FUND</t>
  </si>
  <si>
    <t>128130    Amt Avail In Exp Trst Fnd</t>
  </si>
  <si>
    <t>128140    AMT AVAIL-CAP IMPROV FUND</t>
  </si>
  <si>
    <t>128150 AMT AVAIL-SPEC REV FUND</t>
  </si>
  <si>
    <t>128210 AMT PROV GLT DEBT-GENERAL</t>
  </si>
  <si>
    <t>128220    Amt to be Prov-Debt Svce</t>
  </si>
  <si>
    <t>128230 AMT PROV GLT DEBT-EXP TRS</t>
  </si>
  <si>
    <t>128240    Amt to be Prov-Cap Imp</t>
  </si>
  <si>
    <t>128250 AMT PROV GLT DEBT-SPC REV</t>
  </si>
  <si>
    <t>128260 AMT PROVIDED-GLT NONEXPEN</t>
  </si>
  <si>
    <t>129300 GOODWILL</t>
  </si>
  <si>
    <t>129900 OTHER NON-CURRENT ASSETS</t>
  </si>
  <si>
    <t>moved to invalid 7/30/2002</t>
  </si>
  <si>
    <t>Clearing Accounts</t>
  </si>
  <si>
    <t>Includes accounts 1138AA plus the ones below.</t>
  </si>
  <si>
    <t>113801 RECEIVABLES CLEARING</t>
  </si>
  <si>
    <t>113802 RECEIVABLES CLEARING</t>
  </si>
  <si>
    <t>113804    DUE FROM CAP IMP FUND</t>
  </si>
  <si>
    <t>113810 RECEIVABLES CLEARING</t>
  </si>
  <si>
    <t>113873 RECEIVABLES CLEARING</t>
  </si>
  <si>
    <t>113899    RECEIVABLES CLEARING</t>
  </si>
  <si>
    <t>113930 FEDERAL FUNDS REC CLRING</t>
  </si>
  <si>
    <t>113931 OTHER CON/GRANT REC CLEAR</t>
  </si>
  <si>
    <t>LIABILITIES:</t>
  </si>
  <si>
    <t xml:space="preserve">        Accounts payable &amp; accrued liabilities:</t>
  </si>
  <si>
    <t xml:space="preserve">   Accounts payable</t>
  </si>
  <si>
    <t>211100 ACCOUNTS PAYABLE</t>
  </si>
  <si>
    <t>211110 DUE TO EMPLOYEES</t>
  </si>
  <si>
    <t>211120  PRIZE LIABILITY</t>
  </si>
  <si>
    <t>211121 LOW TIER PRIZE LIABILITY</t>
  </si>
  <si>
    <t>211123 PRIZE LIABILITY - BREAKAGE</t>
  </si>
  <si>
    <t>211230 PAYROLL GARNISHMENT PAY</t>
  </si>
  <si>
    <t>211910 OBLIG FOR WORKERS COMP</t>
  </si>
  <si>
    <t>211940 ACCR-SALES TAX PAYABLE</t>
  </si>
  <si>
    <t>211941 DMV ACCR-SALES TAX PAY</t>
  </si>
  <si>
    <t>211950 FED 1099 WITHHOLDING PAY</t>
  </si>
  <si>
    <t>211951 ST NONRESIDENT WITHHOLD</t>
  </si>
  <si>
    <t>211952 FED/ST 1099 NONRES WITHLD</t>
  </si>
  <si>
    <t>211953 NONRESIDENT ALIEN WITHLD</t>
  </si>
  <si>
    <t>NEW ACCT for FY 2004-2005</t>
  </si>
  <si>
    <t>211954 1099 FED WITHHOLDING NONRESIDENT ALIEN WITHLD</t>
  </si>
  <si>
    <t>NEW ACCT for FY 2006-2007</t>
  </si>
  <si>
    <t>211960 ESCHEATS PAYABLE</t>
  </si>
  <si>
    <t>211990 OTH LIABILITIES-ACCRUED</t>
  </si>
  <si>
    <t>211991 INVESTMT DERIV LIAB-CURR</t>
  </si>
  <si>
    <t>NEW ACCT for FY 2009-2010</t>
  </si>
  <si>
    <t>217110 DEP PAY-CONTR RETAINAGE</t>
  </si>
  <si>
    <t xml:space="preserve">     Accrued payroll</t>
  </si>
  <si>
    <t>211210 ACCR-SALARY &amp; WAGES</t>
  </si>
  <si>
    <t>211220 W/HOLD &amp; EMPLOY MATCH PAY</t>
  </si>
  <si>
    <t xml:space="preserve">     Intergovernmental payables</t>
  </si>
  <si>
    <t>211310 INTERGOV PAY-LOCAL GOV</t>
  </si>
  <si>
    <t>211311 LIAB RESV-SALES &amp; USE TAX</t>
  </si>
  <si>
    <t>211320 INTERGOV PAY-FED AGENCY</t>
  </si>
  <si>
    <t>211325 PAYABLES TO OTHER STATES</t>
  </si>
  <si>
    <t>NEW ACCT for FY 2010-2011</t>
  </si>
  <si>
    <t>211330 LIAB RESV FOR WHITE GOODS</t>
  </si>
  <si>
    <t>211340 LIAB RESV FOR SCRAP TIRE</t>
  </si>
  <si>
    <t>211350 LIAB RESV-BEVERAGE TAX</t>
  </si>
  <si>
    <t>211360 Liab Reserve-Franchise Tx</t>
  </si>
  <si>
    <t xml:space="preserve">   Premium tax credit payable</t>
  </si>
  <si>
    <t>211601 PREMIUM TAX CREDIT PAY-ST</t>
  </si>
  <si>
    <t xml:space="preserve">     Due to plan participants</t>
  </si>
  <si>
    <t>211500 DUE TO DEFER COMP PARTIC</t>
  </si>
  <si>
    <t xml:space="preserve">     Claims payable</t>
  </si>
  <si>
    <t>215230 ESCHEATS REFUNDS PAY</t>
  </si>
  <si>
    <t>215290 CLAIMS PAY-OTH ASSISTANCE</t>
  </si>
  <si>
    <t>Unemployment benefits payable</t>
  </si>
  <si>
    <t>215220 CLAIMS PAY-UNEMPLOYMENT</t>
  </si>
  <si>
    <t>Due to fiduciary funds</t>
  </si>
  <si>
    <t>212318 GOV INTRA PAY-PENS TRST</t>
  </si>
  <si>
    <t>212319 GOV INTRA PAY-AGENCY</t>
  </si>
  <si>
    <t>212321 GOV INTRA PAY-PRIV PUR TR</t>
  </si>
  <si>
    <t>212418 GOV INTER PAY-PENS TRST</t>
  </si>
  <si>
    <t>212419 GOV INTER PAY-AGENCY</t>
  </si>
  <si>
    <t>212421 GOV INTER PAY-PRIV PUR TR</t>
  </si>
  <si>
    <t>Due to other funds</t>
  </si>
  <si>
    <t>212310 GOV INTRA PAY-GENERAL</t>
  </si>
  <si>
    <t>212311 GOV INTRA PAY-SPECIAL REV</t>
  </si>
  <si>
    <t>212313 GOV INTRA PAY-CAP IMPROV</t>
  </si>
  <si>
    <t>212314 GOV INTRA PAY-ENTERPRISE</t>
  </si>
  <si>
    <t>212315 GOV INTRA PAY-INTERN SVC</t>
  </si>
  <si>
    <t>212320 GOV INTRA PAY-PERMANENT</t>
  </si>
  <si>
    <t>212410 GOV INTER PAY-GENERAL</t>
  </si>
  <si>
    <t>212411 GOV INTER PAY-SPECIAL REV</t>
  </si>
  <si>
    <t>212413 GOV INTER PAY-CAP IMPROV</t>
  </si>
  <si>
    <t>212414 GOV INTER PAY-ENTERPRISE</t>
  </si>
  <si>
    <t>212415 GOV INTER PAY-INTERN SVC</t>
  </si>
  <si>
    <t>212420 GOV INTER PAY-PERMANENT</t>
  </si>
  <si>
    <t>Due to component units</t>
  </si>
  <si>
    <t>212600 DUE TO ST OF NC COMPONENT UNITS</t>
  </si>
  <si>
    <t>title changed for FY 2003-2004</t>
  </si>
  <si>
    <t>212700 DUE TO AG/INSTITUTION COMPONENT UNITS</t>
  </si>
  <si>
    <t>212500 DUE TO PRIMARY GOV AGENCY</t>
  </si>
  <si>
    <t>Obligations under reverse repo agre</t>
  </si>
  <si>
    <t>213100 OBL UNDER RVRSE PUR AGREE</t>
  </si>
  <si>
    <t>Obligation under securities lending</t>
  </si>
  <si>
    <t>213150 OBL UNDER SECUR LEND TRAN</t>
  </si>
  <si>
    <t>219200 Hedging deriv liab -Curr</t>
  </si>
  <si>
    <t>Medical claims payable</t>
  </si>
  <si>
    <t>215210 CLAIMS PAY-MEDICAL</t>
  </si>
  <si>
    <t>Liability insurance trust fund payable *</t>
  </si>
  <si>
    <t>215291 LIAB INS  TRUST FD PAY-CUR</t>
  </si>
  <si>
    <t>Revolving line of credit payable</t>
  </si>
  <si>
    <t>219100  Revolving line of credit</t>
  </si>
  <si>
    <t>219101  Commercial paper</t>
  </si>
  <si>
    <t>219102  Anticipation notes</t>
  </si>
  <si>
    <t>Bonds &amp; similar debt payable *</t>
  </si>
  <si>
    <r>
      <t xml:space="preserve">216100 </t>
    </r>
    <r>
      <rPr>
        <sz val="10"/>
        <rFont val="Arial"/>
        <family val="2"/>
      </rPr>
      <t>REVENUE</t>
    </r>
    <r>
      <rPr>
        <sz val="10"/>
        <rFont val="Arial"/>
        <family val="2"/>
      </rPr>
      <t xml:space="preserve"> BONDS PAYABLE</t>
    </r>
  </si>
  <si>
    <t>216105 CERTIF OF PARTICIPA PAYAB</t>
  </si>
  <si>
    <t>NEW ACCT FOR FY 2003-2004</t>
  </si>
  <si>
    <t>.  Matured Interest Payable</t>
  </si>
  <si>
    <t>216210 MATURED INTEREST PAYABLE</t>
  </si>
  <si>
    <t>.  Accrued Interest Payable</t>
  </si>
  <si>
    <t>216220 ACCRUED INTEREST PAYABLE</t>
  </si>
  <si>
    <t>217120 DEP PAY-FEDERAL GOV</t>
  </si>
  <si>
    <t>217130 N.C. Funds and Govt Units</t>
  </si>
  <si>
    <t>217140 DEP PAY-PATIENT DEPOSITS</t>
  </si>
  <si>
    <t>217150 DEP PAY-STUDENT DEPOSITS</t>
  </si>
  <si>
    <t>217160 DEP PAY-TENANTS DEPOSIT</t>
  </si>
  <si>
    <t>217170 DUE TO DEFER COMP PARTIC</t>
  </si>
  <si>
    <t>217190 FUNDS HELD FOR OTHERS</t>
  </si>
  <si>
    <t>Arbitrage rebate payable *</t>
  </si>
  <si>
    <t>See below.(moved from under A/P to separate caption)</t>
  </si>
  <si>
    <t>211400 ARBITRAGE REBATE PAYABLE</t>
  </si>
  <si>
    <t>Annuity &amp; life income payable *</t>
  </si>
  <si>
    <t>211915  ANNUITY &amp; LIFE INCOME PAYABLE</t>
  </si>
  <si>
    <t>Federal unemployment acct advances</t>
  </si>
  <si>
    <t>New caption FY 2010-2011</t>
  </si>
  <si>
    <t>211918 - Federal unemployment accounts -current</t>
  </si>
  <si>
    <t>Pollution Remediation *</t>
  </si>
  <si>
    <t xml:space="preserve">211919 -Pollution Remediation Payable - Current </t>
  </si>
  <si>
    <t xml:space="preserve">New Account FY 2008-2009. </t>
  </si>
  <si>
    <t>Accrued vacation leave *</t>
  </si>
  <si>
    <t xml:space="preserve">211920 ACCRUED VACATION </t>
  </si>
  <si>
    <t>See below.  Changed from Deferred Rev caption for 2005-2006.</t>
  </si>
  <si>
    <t>218111 UNEARNED INSURANCE PREM</t>
  </si>
  <si>
    <t>218200 OTHER DEFERRED CREDITS</t>
  </si>
  <si>
    <t>221100 ACCTS PAYABLE-NON CURR</t>
  </si>
  <si>
    <t>221910 OTHER PAYABLES-NON CURR</t>
  </si>
  <si>
    <t>221930 ESCHEATS PAYABLE</t>
  </si>
  <si>
    <t>227110 DEP PAY-CONTR RETAINAGE</t>
  </si>
  <si>
    <t>221991 INVEST DERIV LIAB NONCURR</t>
  </si>
  <si>
    <t>221601 PREMIUM TAX CREDIT PAY-LT</t>
  </si>
  <si>
    <t xml:space="preserve">   Intergovernmental payables</t>
  </si>
  <si>
    <t xml:space="preserve">See below </t>
  </si>
  <si>
    <t>221320 INTERGOV PAY-FED-NONCURR</t>
  </si>
  <si>
    <t xml:space="preserve">   Claims payable</t>
  </si>
  <si>
    <t>221990 OBLIG FOR WORKER COMP</t>
  </si>
  <si>
    <t>225290 Other Assist Claims Pay</t>
  </si>
  <si>
    <t>225220 Unemployment Claims Pay</t>
  </si>
  <si>
    <t>No accounts roll to this caption currently.</t>
  </si>
  <si>
    <t>( Blank )</t>
  </si>
  <si>
    <t>222700 DUE TO PRIMARY GOV AGENCY</t>
  </si>
  <si>
    <t>Advances from primary government</t>
  </si>
  <si>
    <t>222500 ADV FROM PRIM GOV AGENCY</t>
  </si>
  <si>
    <t>Advance from Other funds</t>
  </si>
  <si>
    <t>222310    GOV INTRA PAY-GENERAL</t>
  </si>
  <si>
    <t>222311 GOV INTRA PAY-SPECIAL REV</t>
  </si>
  <si>
    <t>222313    Advances From Cap Imp Fnd</t>
  </si>
  <si>
    <t>222314    Advances From Enterp Fund</t>
  </si>
  <si>
    <t>222315    Advances From Int Svc Fnd</t>
  </si>
  <si>
    <t>222318    Advances Pension Trst Fnd</t>
  </si>
  <si>
    <t>222319    Advances From Agency Fund</t>
  </si>
  <si>
    <t>Advances from component units</t>
  </si>
  <si>
    <t>222600 Advances from Comp Units</t>
  </si>
  <si>
    <t>Contracts payable</t>
  </si>
  <si>
    <t>( blank )</t>
  </si>
  <si>
    <t>229200 HEDGING DERIV LIAB-NONCURR</t>
  </si>
  <si>
    <t>225210 CLAIMS PAYABLE-MEDICAL</t>
  </si>
  <si>
    <t>225291 LIAB INS  TRUST FD PAY-NONCUR</t>
  </si>
  <si>
    <t>226100 REVENUE BONDS PAYABLE</t>
  </si>
  <si>
    <t>226101 GENERAL OBLIGATION BONDS PAYABLE</t>
  </si>
  <si>
    <t>226102 LSE-PURCH REV BNDS PAYABLE</t>
  </si>
  <si>
    <t>226105 CERTIFICATES OF PARTICIPATION PAYABLE</t>
  </si>
  <si>
    <t>226106 LIMITED OBLIGATION BONDS PAYABLE</t>
  </si>
  <si>
    <t>226110 UNAMORT DISC ON BONDS PAY</t>
  </si>
  <si>
    <t>226120 UNAMORT PREM ON BONDS PAY</t>
  </si>
  <si>
    <t>acct title change 7/12/02</t>
  </si>
  <si>
    <t>226130 UNAMORT CHARGE-REFUNDING BONDS</t>
  </si>
  <si>
    <t>226140 DEEP DISCOUNT DEBT</t>
  </si>
  <si>
    <t>227120 Federal Government</t>
  </si>
  <si>
    <t>227130 N.C. Funds and Govt Units</t>
  </si>
  <si>
    <t>227140 Patient Deposits</t>
  </si>
  <si>
    <t>227150 DEP PAY-STUDENT DEPOSITS</t>
  </si>
  <si>
    <t>227160 Tenants Deposits</t>
  </si>
  <si>
    <t>227170 Due to Defd Comp Plan Par</t>
  </si>
  <si>
    <t>227190 FUNDS HELD FOR OTHERS</t>
  </si>
  <si>
    <t>227191 FNDS HLD TRUST POOL PARTI</t>
  </si>
  <si>
    <t>See below. (moved from under A/P to separate caption)</t>
  </si>
  <si>
    <t>221400 ARBITRAGE REBATE PAYABLE</t>
  </si>
  <si>
    <t>221915  ANNUITY &amp; LIFE INCOME PAYABLE</t>
  </si>
  <si>
    <t>Fed unemploy acct advances- noncurr</t>
  </si>
  <si>
    <t>221918 - Federal unemployment accounts -noncurrent</t>
  </si>
  <si>
    <t>New account FY-2010-2011</t>
  </si>
  <si>
    <t>221919 -Pollution Remediation Payable - NonCurrent</t>
  </si>
  <si>
    <t>221920 ACCRUED VACATION</t>
  </si>
  <si>
    <t>Total Non-Current Liabilities</t>
  </si>
  <si>
    <t>TOTAL LIABILITIES</t>
  </si>
  <si>
    <t>Moved caption after liabilities in FY 2012-13 as per GASB 63</t>
  </si>
  <si>
    <t xml:space="preserve">   Accum incr in fair value hedg deriv</t>
  </si>
  <si>
    <t>NEW ACCT title for FY 2012-13</t>
  </si>
  <si>
    <t xml:space="preserve">  SCA revenue applicable to future year</t>
  </si>
  <si>
    <t>NEW ACCT for FY 2012-13</t>
  </si>
  <si>
    <t>TOTAL DEFERRED INFLOWS OF RESOURCES</t>
  </si>
  <si>
    <t>UNCLASSIFIED LIABILITIES</t>
  </si>
  <si>
    <t>Valid liability accts that must be zero at year-end</t>
  </si>
  <si>
    <t>212191 UNIV INTRA PAY-UNREST CUR</t>
  </si>
  <si>
    <t>212192 UNIV INTRA PAY-PROPRI</t>
  </si>
  <si>
    <t>212193 UNIV INTRA PAY-RESTR CUR</t>
  </si>
  <si>
    <t>212194 UNIV INTRA PAY-LOAN</t>
  </si>
  <si>
    <t>212195 UNIV INTRA PAY-ENDOWMENT</t>
  </si>
  <si>
    <t>212196 UNIV INTRA PAY-AGENCY</t>
  </si>
  <si>
    <t>212197 UNIV INTRA PAY-UNEXP PLNT</t>
  </si>
  <si>
    <t>212198 UNIV INTRA PAY-DEBT SVC</t>
  </si>
  <si>
    <t>212199 UNIV INTRA PAY-INV/PLANT</t>
  </si>
  <si>
    <t>INVALID Liability Accounts</t>
  </si>
  <si>
    <t>211370 Liab resv for Solid waste</t>
  </si>
  <si>
    <t>211600 TAX REFUNDS PAYABLE</t>
  </si>
  <si>
    <t>211999 AP ACCRUAL CLEARING</t>
  </si>
  <si>
    <t>moved from clearing accounts 2005-2006</t>
  </si>
  <si>
    <t>212290 UNIV INTER PAYABLE</t>
  </si>
  <si>
    <t>212291 UNIV INTER PAY-UNREST CUR</t>
  </si>
  <si>
    <t>212292 UNIV INTER PAY-PROPRI</t>
  </si>
  <si>
    <t>212293 UNIV INTER PAY-RESTR CUR</t>
  </si>
  <si>
    <t>212294    UNIV INTER PAY-LOAN</t>
  </si>
  <si>
    <t>212295 UNIV INTER PAY-ENDOWMENT</t>
  </si>
  <si>
    <t>212296    UNIV INTER PAY-AGENCY</t>
  </si>
  <si>
    <t>212297    UNIV INTER PAY-UNEX PLANT</t>
  </si>
  <si>
    <t>212298    UNIV INTER PAY-DEBT SVC</t>
  </si>
  <si>
    <t>212299    UNIV INTER PAY-INV PLANT</t>
  </si>
  <si>
    <t>212312 GOV INTRA PAY-DEBT SVC</t>
  </si>
  <si>
    <t>212316 GOV INTRA PAY-EXP TRUST</t>
  </si>
  <si>
    <t>212317    GOV INTRA PAY-NONEXP TRST</t>
  </si>
  <si>
    <t>212412    Due To Debt Service Fund</t>
  </si>
  <si>
    <t>212416 GOV INTER PAY-EXP TRUST</t>
  </si>
  <si>
    <t>212417    Due To Nonexp Trust Fund</t>
  </si>
  <si>
    <t>215110 BENEFIT PAY-PENSION</t>
  </si>
  <si>
    <t>215120    State Retirement Sys Pay</t>
  </si>
  <si>
    <t>216110 DISCNT/PREM ON BONDS PAY</t>
  </si>
  <si>
    <t>use noncurrent acct 226110</t>
  </si>
  <si>
    <t>216120 UNDERWRITERS FEES</t>
  </si>
  <si>
    <t>use noncurrent acct 226120</t>
  </si>
  <si>
    <t>216130 DEF CHRGE DUE TO ADV REF</t>
  </si>
  <si>
    <t>use noncurrent bonds payable accts 2261XX</t>
  </si>
  <si>
    <t>216140 Deep Discount Debt</t>
  </si>
  <si>
    <t>216150 MATURED BONDS PAYABLE</t>
  </si>
  <si>
    <t>216160 Unmatured Bonds Payable</t>
  </si>
  <si>
    <t>217180 INV TRUST DISTRIBUTIONS</t>
  </si>
  <si>
    <t>proprietary funds should not use/have this acct.(7/22/02)</t>
  </si>
  <si>
    <t>217191 FNDS HLD TRUST POOL PARTI</t>
  </si>
  <si>
    <t>use noncurrent acct 227191</t>
  </si>
  <si>
    <t>218120 DEF REV-UNAVAIL CURR PER</t>
  </si>
  <si>
    <t>moved from Unearned Rev 2005-2006</t>
  </si>
  <si>
    <t>219000 OTHER CURRENT LIABILITIES</t>
  </si>
  <si>
    <t>219201 Deferred Inflow - Current</t>
  </si>
  <si>
    <t>NEW ACCT for FY 2009-2010. Invalid for FY-2012-2013</t>
  </si>
  <si>
    <t>222312    Advances From Dbt Svc Fnd</t>
  </si>
  <si>
    <t>Not used since GASB 34</t>
  </si>
  <si>
    <t>222316    Advances Exp Trst Fund</t>
  </si>
  <si>
    <t>222317    Advances Nonexp Trst Fnd</t>
  </si>
  <si>
    <t>229000 OTHER NON-CURRENT LIAB</t>
  </si>
  <si>
    <t>Includes account 2138AA plus the ones below.</t>
  </si>
  <si>
    <t>211240 CENTRAL PAYROLL CLEARING</t>
  </si>
  <si>
    <t>211250 ELECTRONIC PAYABLES CLEAR</t>
  </si>
  <si>
    <t>211255 PAYROLL BENEFITS PAYABLES CLEAR</t>
  </si>
  <si>
    <t>211260 PROCUREMENT CARD CLEARING</t>
  </si>
  <si>
    <t>211270 A/P RECOVERY CLEARING</t>
  </si>
  <si>
    <t>211280 SET OFF DEBT CLEARING</t>
  </si>
  <si>
    <t>211930 HEALTH BENEFITS PAYABLE</t>
  </si>
  <si>
    <t>211970 FED CONT/GRANT PAY CLEAR</t>
  </si>
  <si>
    <t>211971 OTHER CONT/GRANT PAY CLEA</t>
  </si>
  <si>
    <t>2138AA    PAYABLES CLEARING</t>
  </si>
  <si>
    <t>NET POSITION</t>
  </si>
  <si>
    <t>330000 NET POSITION</t>
  </si>
  <si>
    <t>Change in title for FY2012-13</t>
  </si>
  <si>
    <t>Net Position Adjustments</t>
  </si>
  <si>
    <t>See below</t>
  </si>
  <si>
    <t>330001 RESTATEMENT-NET POSITION</t>
  </si>
  <si>
    <t>Revenue/expense summaries</t>
  </si>
  <si>
    <t>399998    PRIOR YEAR REV/EXP SUM</t>
  </si>
  <si>
    <t>399999 Curr Year Rev/Exp Summary</t>
  </si>
  <si>
    <t>TOTAL NET POSITION</t>
  </si>
  <si>
    <t>UNCLASSIFIED FUND EQUITY</t>
  </si>
  <si>
    <t>390000 COMPANY CLOSING ACCOUNT</t>
  </si>
  <si>
    <t>should be zero at year-end</t>
  </si>
  <si>
    <t>999999    SUSPENSE ACCOUNT</t>
  </si>
  <si>
    <t>999999998 SUSPENSE ACCOUNT</t>
  </si>
  <si>
    <t>INVALID Equity Accts</t>
  </si>
  <si>
    <t>310000 CONTRIBUTED CAPITAL</t>
  </si>
  <si>
    <t>311000 CONT CAPITAL-DONATE ASSET</t>
  </si>
  <si>
    <t>320000 FUND BALANCE</t>
  </si>
  <si>
    <t>320001 RESTATEMENT-FUND BAL</t>
  </si>
  <si>
    <t>32xxxx RESERVED BALANCES ( OLD REPORTING MODEL)</t>
  </si>
  <si>
    <t>321101 RESV BAL-INVENTORIES</t>
  </si>
  <si>
    <t>321102 RESV BAL-INVTY-VARIANCE</t>
  </si>
  <si>
    <t>321103 RESV BAL-SPECIFIC ENCUM</t>
  </si>
  <si>
    <t>321104 RESV BAL-CLEAN WATER PROJ</t>
  </si>
  <si>
    <t>321105 RESV BAL-RETRE HLTH PREM</t>
  </si>
  <si>
    <t>321106 RESV BAL-ENERGY CONSERV</t>
  </si>
  <si>
    <t>321107 RESV BAL-MEDICAID</t>
  </si>
  <si>
    <t>321108 RESV BAL-ADV FOR COM UNIT</t>
  </si>
  <si>
    <t>321109 RESV BAL-SAVINGS</t>
  </si>
  <si>
    <t>321110 RESV BAL-REPAIRS&amp;RENOV</t>
  </si>
  <si>
    <t>321111 RESV BAL-DISPROP SHARE</t>
  </si>
  <si>
    <t>321112 RESV BAL-VAC &amp; SICK LEAVE</t>
  </si>
  <si>
    <t>321113 RESV BAL-NOTES REC</t>
  </si>
  <si>
    <t>321114 RESV BAL-PUB SCHL BLDG</t>
  </si>
  <si>
    <t>321115 RESV-CRIT SCHL FAC NEEDS</t>
  </si>
  <si>
    <t>321116 RESV BAL-PREPAID EXPENSE</t>
  </si>
  <si>
    <t>321117 RESV BAL-CAPITAL PROJECTS</t>
  </si>
  <si>
    <t>321118 RESV BAL-CLAIMS/BENEFITS</t>
  </si>
  <si>
    <t>321119 RESV BAL-LOAN &amp; GRANT COM</t>
  </si>
  <si>
    <t>321120 RESV BAL-ABANDONED PROP</t>
  </si>
  <si>
    <t>321121 RESV BAL-POLITICL PARTIES</t>
  </si>
  <si>
    <t>321122 RESV BAL-WILDLIFE ENDOW</t>
  </si>
  <si>
    <t>321123 RESV BAL-RETIREMENT SYS</t>
  </si>
  <si>
    <t>321124 RES-WILDLIFE LT INTEREST</t>
  </si>
  <si>
    <t>321125 RES-WILDLIFE ST INTEREST</t>
  </si>
  <si>
    <t>321126 RES-WILDLIFE INTEREST EX</t>
  </si>
  <si>
    <t>321127 RES-WILDLIFE TRANS YOUTH</t>
  </si>
  <si>
    <t>321128 RES-CHEM ALCH TEST</t>
  </si>
  <si>
    <t>321129 RES-CULTURAL RESOURCES</t>
  </si>
  <si>
    <t>321130 RES-RESV FED RETIREE ADMIN.</t>
  </si>
  <si>
    <t>321131 RESV FED RETIREE REFUND</t>
  </si>
  <si>
    <t>321132 RESV CLEAN WATER MGMT.</t>
  </si>
  <si>
    <t>321133 RESERVE FOR INVESTMENTS</t>
  </si>
  <si>
    <t>321134 RESV BAL-INTANGIBLE TAX</t>
  </si>
  <si>
    <t>321135 RESV BAL-RAILROAD</t>
  </si>
  <si>
    <t>321137 RESV BAL-BAILEY &amp; EMORY</t>
  </si>
  <si>
    <t>321138 RESERVE FOR WORK FIRST</t>
  </si>
  <si>
    <t>321139 RESERVE FOR DPI ALLOCATIO</t>
  </si>
  <si>
    <t>321140 RESERVE-WILDLIFE TRANS IN</t>
  </si>
  <si>
    <t>321141 RESERVE FOR AQUARIUMS</t>
  </si>
  <si>
    <t>321142 RESV FOR RAILROAD DIVIDENDS</t>
  </si>
  <si>
    <t>321190 RESV BAL-OTHER RESERVED</t>
  </si>
  <si>
    <t>321198 RESV BAL-MONTHLY ACCRUALS</t>
  </si>
  <si>
    <t>321199 RESV BEG FUND BAL ADJUST</t>
  </si>
  <si>
    <t>322100 RESTR FUND BALANCE</t>
  </si>
  <si>
    <t>322101 RESTR BAL-LOANS</t>
  </si>
  <si>
    <t>322102 RESTR BAL-ENDOWMENTS</t>
  </si>
  <si>
    <t>322103 RESTR-REV BOND RETIREMENT</t>
  </si>
  <si>
    <t>322104 RESTR FOR RESTR FUNDS</t>
  </si>
  <si>
    <t>322105 RESTRICTED FOR UNEXP PLNT</t>
  </si>
  <si>
    <t>322106 REST US GOV GRANTS REFUND</t>
  </si>
  <si>
    <t>322107 RESTRICTED FOR TERM ENDOW</t>
  </si>
  <si>
    <t>322108 RESTRICT FOR QUASI-ENDOWM</t>
  </si>
  <si>
    <t>322109 REST ANNUITY LIFE INC FDS</t>
  </si>
  <si>
    <t>322110 RESTRICT REPAIR &amp; REPLACE</t>
  </si>
  <si>
    <t>322190 RESTR BEG FUND BAL ADJUST</t>
  </si>
  <si>
    <t>323110 UNRESV-UNDESIG FUND BAL</t>
  </si>
  <si>
    <t>323120 UNRESV-SUBSEQUENT YR EXP</t>
  </si>
  <si>
    <t>323130 UNRES SAVINGS RESERVE</t>
  </si>
  <si>
    <t>323201 DES REPAIRS &amp; RENOVATIONS</t>
  </si>
  <si>
    <t>323202 DES CW MANAGEMNT TRUST FD</t>
  </si>
  <si>
    <t>323203 DES DISPROPORTIONATE SHAR</t>
  </si>
  <si>
    <t>323204 DES AQUARIUMS</t>
  </si>
  <si>
    <t>323205 DES WORK FIRST</t>
  </si>
  <si>
    <t>323206 DES CAPITAL PROJECTS</t>
  </si>
  <si>
    <t>323207 DES RAILROAD DIVIDENDS</t>
  </si>
  <si>
    <t>323208 DES INTANGIBLES RESERVE</t>
  </si>
  <si>
    <t>323190 UNRSV BEG FUND BAL ADJUST</t>
  </si>
  <si>
    <t>324110 UNRESTR-UNDESIG FUND BAL</t>
  </si>
  <si>
    <t>324120 UNRESTR-SUBSEQUENT YR EXP</t>
  </si>
  <si>
    <t>324130 UNRESTRICTED QUASI ENDOW</t>
  </si>
  <si>
    <t>324190 UNRESTR-BEG FUND BAL ADJ</t>
  </si>
  <si>
    <t>331910 RET EARN-AJD TO CSH REV</t>
  </si>
  <si>
    <t>331920 RET EARN-AJD TO CSH EXP</t>
  </si>
  <si>
    <t>340000 INVESTMENT IN PROPERTY</t>
  </si>
  <si>
    <t xml:space="preserve">Note: New accounts for current fiscal year can be found at </t>
  </si>
  <si>
    <t xml:space="preserve">http://www.osc.nc.gov/sigdocs/sig_docs/sigNCAS_Data_Elements.html </t>
  </si>
  <si>
    <t>Nine digit sub accounts roll to the  6 digit account</t>
  </si>
  <si>
    <t>OPERATING REVENUES</t>
  </si>
  <si>
    <t>434101 SALES/SERVICES - BAD DEBT</t>
  </si>
  <si>
    <t>434102 SALES/SERVICES-ALLOWANCE</t>
  </si>
  <si>
    <t>434110 HOUSEHOLD/CLEANING SVC</t>
  </si>
  <si>
    <t>434120 TRANSPORTATION SALES/SVC</t>
  </si>
  <si>
    <t>434131 TELEPHONE/TELECOM SVC</t>
  </si>
  <si>
    <t>434132 COMPUTER SALES &amp; SVC</t>
  </si>
  <si>
    <t>434133 POSTGE,FRGHT &amp; DELIV SVC</t>
  </si>
  <si>
    <t>434134 PRINT, BIND &amp; DUPLIC SVC</t>
  </si>
  <si>
    <t>434139 OTHER COMMUNICATION SVC</t>
  </si>
  <si>
    <t>434140 MAINTENANCE &amp; REPAIR SVC</t>
  </si>
  <si>
    <t>434150 FOOD &amp; VENDING SVC</t>
  </si>
  <si>
    <t>434160 PROFESSIONAL SERVICES</t>
  </si>
  <si>
    <t>434170 UTILITY SALES &amp; SERVICES</t>
  </si>
  <si>
    <t>434180 AGRICULT &amp; FORESTRY SVC</t>
  </si>
  <si>
    <t>434190 OTHER SALES &amp; SERVICES</t>
  </si>
  <si>
    <t>434195 UNIV/CC AUXILIARY SALES</t>
  </si>
  <si>
    <t>434196 SALES COMMISSIONS</t>
  </si>
  <si>
    <t>434310 SALE OF PUBLICATIONS</t>
  </si>
  <si>
    <t>434390 OTH SALES OF GOODS</t>
  </si>
  <si>
    <t>434700  LOTTERY TICKET SALES</t>
  </si>
  <si>
    <t>4358XX  Tuition &amp; fees</t>
  </si>
  <si>
    <t>434200 HOSPITAL &amp; MEDICAL SALES</t>
  </si>
  <si>
    <t>434201 HOSP/MED SALES-BAD DEBT</t>
  </si>
  <si>
    <t>535611 CONTRACTUAL ADJUSTMENTS</t>
  </si>
  <si>
    <t>535612 INDIGENT CARE WRITE-OFFS</t>
  </si>
  <si>
    <t>436150 EMPLYER UNEMP INS CONTRIB</t>
  </si>
  <si>
    <t>432997 FEDERAL APPROPRIATIONS</t>
  </si>
  <si>
    <t xml:space="preserve">Accounts 4327AA </t>
  </si>
  <si>
    <t>State and local grants and contacts</t>
  </si>
  <si>
    <t>Accounts 4328AA,432CAA, 432FAA, 432HAA</t>
  </si>
  <si>
    <t>Nongovernmental grants and contacts</t>
  </si>
  <si>
    <t>Accounts 432BAA</t>
  </si>
  <si>
    <t>433200 INTEREST EARN ON LOANS-PROGRAM</t>
  </si>
  <si>
    <t>433210 CONSTRUCTION PERIOD INT</t>
  </si>
  <si>
    <t>437112 LOAN COLLECTION-INTEREST</t>
  </si>
  <si>
    <t>434410 RENTAL OF REAL PROPERTY</t>
  </si>
  <si>
    <t>434420 RENTAL OF EQUIPMENT</t>
  </si>
  <si>
    <t>434430 RENTAL PARKING LOTS</t>
  </si>
  <si>
    <t>437993 ELECTRON/DIGITAL TRAN FEE</t>
  </si>
  <si>
    <t>moved from Misc Rev 2005-2006</t>
  </si>
  <si>
    <t>437994 RETURNED CHECK FEE</t>
  </si>
  <si>
    <t>435901 UPPER PAYMENT LIMIT (UPL) HOSPITAL ASSESSMENTS</t>
  </si>
  <si>
    <t>New for FY 2011-2012</t>
  </si>
  <si>
    <t>435902 EQUITY ASSESSMENTS</t>
  </si>
  <si>
    <t>435903 PUB HOSP ENHANCED DEF PAY</t>
  </si>
  <si>
    <t>538030 FINE/PENALTY/FORFEIT -TRANSFER</t>
  </si>
  <si>
    <t>New account for FY 2010-2011</t>
  </si>
  <si>
    <t>Toll revenue</t>
  </si>
  <si>
    <t>435710 Toll receipts</t>
  </si>
  <si>
    <t>New for FY 2010-2011</t>
  </si>
  <si>
    <t>435711 Toll receipts - bad debt</t>
  </si>
  <si>
    <t>Insurance premiums</t>
  </si>
  <si>
    <t>434600 INSURANCE PREMIUMS</t>
  </si>
  <si>
    <t>437111 LOAN COLLECTION-PRINCIPAL</t>
  </si>
  <si>
    <t>437115 LIQU. DAMAGE COLLECTIONS</t>
  </si>
  <si>
    <t>437117 REBATES</t>
  </si>
  <si>
    <t>437118 PER DIEM COLLECTIONS</t>
  </si>
  <si>
    <t>437119 PUBLIC ASSIST COLLECTIONS</t>
  </si>
  <si>
    <t>437120 MED RECOUP NON-ST AGENCY</t>
  </si>
  <si>
    <t>437121 PAYBACK SETTLEMENTS</t>
  </si>
  <si>
    <t>437122 ACCTS REC INTEREST</t>
  </si>
  <si>
    <t>437123 ACCTS REC PENALTY</t>
  </si>
  <si>
    <t>437127 PROCUREMENT CARD REBATES</t>
  </si>
  <si>
    <t>NEW FOR FY 2008</t>
  </si>
  <si>
    <t>437800 RESERVE TO BDGT REDUCTION</t>
  </si>
  <si>
    <t>437990 OTHER MISC REV-PROGRAM</t>
  </si>
  <si>
    <t>437995 OTHER MISC REV-GENERAL</t>
  </si>
  <si>
    <t>UNCLASSIFIED REVENUES</t>
  </si>
  <si>
    <t>432998 COUNTY APPROPRIATIONS</t>
  </si>
  <si>
    <t>will be analyzed, when used</t>
  </si>
  <si>
    <t>Valid rev accts that must be zero at year-end</t>
  </si>
  <si>
    <t>432996 PROVIDER MATCH</t>
  </si>
  <si>
    <t>435900064 STATE ICF-MR ASSESSMENT CLEARING</t>
  </si>
  <si>
    <t>moved from fees for 2005-2006</t>
  </si>
  <si>
    <t>437210 PROCEEDS-GENERAL OBLIGATION BONDS</t>
  </si>
  <si>
    <t>437211 PROCEEDS - REVENUE BONDS</t>
  </si>
  <si>
    <t>437212 PROCEEDS OF REFUND DEBT</t>
  </si>
  <si>
    <t>437214 PROCEEDS-OTHER FINANCING</t>
  </si>
  <si>
    <t>437215 BOND PREMIUM</t>
  </si>
  <si>
    <t>437217 PROCEED-LSE PURCH REV BND</t>
  </si>
  <si>
    <t>437218 PROCEEDS - GARVEE</t>
  </si>
  <si>
    <t>NEW FOR FY 2007-2008</t>
  </si>
  <si>
    <t>437219 PROCEEDS-LIMITED OBLIGATION BONDS</t>
  </si>
  <si>
    <t>437220 PROCEEDS -FEDERAL LOAN</t>
  </si>
  <si>
    <t>NEW FOR FY 2009-2010</t>
  </si>
  <si>
    <t>437300 INDIRECT(OVERHD) COST REC</t>
  </si>
  <si>
    <t>moved from misc for 2006-2007</t>
  </si>
  <si>
    <t>437500 RETIREMENT OF INDEBTEDNES</t>
  </si>
  <si>
    <t>moved from misc for 2005-2006</t>
  </si>
  <si>
    <t>437600 PLANT FUND ADDITION-UNIV</t>
  </si>
  <si>
    <t>437992 IMP/PETTY CASH RE-DEPOSIT</t>
  </si>
  <si>
    <t>438045 INTERFUND BORROWING</t>
  </si>
  <si>
    <t>NEW FOR FY 2010-2011</t>
  </si>
  <si>
    <t>438046 INTERFUND BORROWING REPAYMENT</t>
  </si>
  <si>
    <t>4389 PRIOR YEAR CARRYFORWARD</t>
  </si>
  <si>
    <t>moved from trf in for 2005-2006</t>
  </si>
  <si>
    <t>438RAA Transfer In- ARRA Billing Rate (should be zero for year end)</t>
  </si>
  <si>
    <t>NEW ACCOUNT FOR FY 2009-2010</t>
  </si>
  <si>
    <t>INVALID Revenue Accounts</t>
  </si>
  <si>
    <t>431100 TAX REVENUES</t>
  </si>
  <si>
    <t>431101 HIGHWAY USE TAX</t>
  </si>
  <si>
    <t>431102 MOTOR FUEL TAX</t>
  </si>
  <si>
    <t>431200 TAX REVENUE REFUNDS</t>
  </si>
  <si>
    <t>431201 TAX REFUND HIGHWAY USE</t>
  </si>
  <si>
    <t>431202 TAX REFUND MOTOR FUEL</t>
  </si>
  <si>
    <t>431300 TAX DISTRIBUTION IN</t>
  </si>
  <si>
    <t>431400 TAX DISTRIBUTION OUT</t>
  </si>
  <si>
    <t xml:space="preserve">432999 FEDERAL GRANTS - NONOPER  </t>
  </si>
  <si>
    <t>433110 INT/DIV ON INVESTMENTS</t>
  </si>
  <si>
    <t>433112 INTEREST INC-BOND PROCEED</t>
  </si>
  <si>
    <t>433113 INT/DIV INC INVST-GENERAL</t>
  </si>
  <si>
    <t>433114 INT INC-BOND PROC-GENERAL</t>
  </si>
  <si>
    <t>433120 STIF INTEREST INCOME</t>
  </si>
  <si>
    <t>433122 STIF INT INC-GENERAL REV</t>
  </si>
  <si>
    <t>433130 LTIF INTEREST INCOME</t>
  </si>
  <si>
    <t>433132 LTIF INT INC-GENERAL REV</t>
  </si>
  <si>
    <t>433140 EQUITY FUND INT INCOME</t>
  </si>
  <si>
    <t>433150 REAL ESTATE FUND INT INC</t>
  </si>
  <si>
    <t>433160 VENTURE CAP FUND INT INC</t>
  </si>
  <si>
    <t>433170 LIQUID ASSET FUND INT INC</t>
  </si>
  <si>
    <t>433180 INFLATION PROTECTION INVESTMENT FUND INTEREST INCOME</t>
  </si>
  <si>
    <t>New Account FY 2009-2010</t>
  </si>
  <si>
    <t>433190 CREDIT INVESTMENT FUND INTEREST INCOME</t>
  </si>
  <si>
    <t>433201 INT EARNINGS LOAN-GENERAL</t>
  </si>
  <si>
    <t>Use acct 433200</t>
  </si>
  <si>
    <t>434320 SALE OF SURPLUS PROPERTY</t>
  </si>
  <si>
    <t>434500 SALE OF LAND</t>
  </si>
  <si>
    <t>435590 TOBACCO SETTLEMENT</t>
  </si>
  <si>
    <t>435811 RESIDENT ELDERLY TUITION WAIVER</t>
  </si>
  <si>
    <t>435829 NONRES MILITARY TUITION</t>
  </si>
  <si>
    <t>moved from Fees, Lic 2005-2006</t>
  </si>
  <si>
    <t>436110 PENS/INSUR EMPLYER CONTR</t>
  </si>
  <si>
    <t>436120 PENS/INSUR EMPLYEE CONTR</t>
  </si>
  <si>
    <t>436130 ON BEHALF CONTRIBUTIONS</t>
  </si>
  <si>
    <t>436140 RETIREE INSURANCE CONTRIB</t>
  </si>
  <si>
    <t>436160 TRUSTEE DEPOSITS</t>
  </si>
  <si>
    <t>436201 PRIV DON &amp; GIFTS - NONOP</t>
  </si>
  <si>
    <t>Use accts 436200 or 436203</t>
  </si>
  <si>
    <t>436300 PUBLIC DONATIONS &amp; GIFTS</t>
  </si>
  <si>
    <t>436301 PUB DON &amp; GIFTS - NONOPER</t>
  </si>
  <si>
    <t>437113 INSURANCE RECOVERIES</t>
  </si>
  <si>
    <t>moved from Miscell Rev 2005-2006</t>
  </si>
  <si>
    <t>437114 ESCHEAT FUND COLLECTIONS</t>
  </si>
  <si>
    <t>437216 CERTIFICATES OF PARTICIPA</t>
  </si>
  <si>
    <t>437400 REALIZED GAIN-SALE OF INV</t>
  </si>
  <si>
    <t>437401 REALIZD GAIN-SALE INV-GEN</t>
  </si>
  <si>
    <t>437410 UNREALIZD GAIN INV-PROGRM</t>
  </si>
  <si>
    <t>437411 UNREALIZD GAIN INV-GENERL</t>
  </si>
  <si>
    <t>437420 PURCHASE/REDEMPT OF UNITS</t>
  </si>
  <si>
    <t>437430 REINVESTMENT OF DISTRIB</t>
  </si>
  <si>
    <t>438030 TRANSFER FROM CIVIL FINE/PENALTY FUND</t>
  </si>
  <si>
    <t>New Account FY 2010-2011</t>
  </si>
  <si>
    <t>438072 TRANSFER NIN TO UNIV 2011 R&amp;R RESERVE</t>
  </si>
  <si>
    <t>4382AA STATEWIDE REIMBURSEMENTS</t>
  </si>
  <si>
    <t>OPERATING EXPENSES</t>
  </si>
  <si>
    <t>.  Personal services</t>
  </si>
  <si>
    <t>531110 EPA REG SALARIES-UNIV</t>
  </si>
  <si>
    <t>531111 EPA-REG SALARIES-APPRO</t>
  </si>
  <si>
    <t>531112 EPA-REG SALARIES-RECPT</t>
  </si>
  <si>
    <t>531113 EPA-REG SALARIES-UNDESIG</t>
  </si>
  <si>
    <t>531114 EPA-REG SAL/WAGE-INDIRECT</t>
  </si>
  <si>
    <t>ADDED 2004</t>
  </si>
  <si>
    <t>531120 EPA-SPC SAL-APP-DIRECTOR</t>
  </si>
  <si>
    <t>531121 EPA-SPC SAL-APP-JUDGES</t>
  </si>
  <si>
    <t>531122 EPA-SPC SAL-APP-DA/AST DA</t>
  </si>
  <si>
    <t>531123 EPA-SPC SAL-APP-MAGISTRAT</t>
  </si>
  <si>
    <t>531124 EPA-SPC SAL-APP-CRT REP</t>
  </si>
  <si>
    <t>531125 EPA-SPC SAL-APP-CLERK</t>
  </si>
  <si>
    <t>531126 EPA-SPC SAL-APP-SPEC COUN</t>
  </si>
  <si>
    <t>531127 EPA-SPC SAL-APP-CRT COUN</t>
  </si>
  <si>
    <t>531128 EPA-SPC SAL-APP-PD/AST PD</t>
  </si>
  <si>
    <t>531129 EPA-SPC SAL-APP-AD/AST AD</t>
  </si>
  <si>
    <t>531130 EPA-SPC-SAL-APP-STAFF</t>
  </si>
  <si>
    <t>531141 SEC/COUNCIL OF ST SAL-APP</t>
  </si>
  <si>
    <t>531142   EPA SEC/COUNCIL OF ST SAL</t>
  </si>
  <si>
    <t>531150 EPA-TEACH SALARIES-UNIV</t>
  </si>
  <si>
    <t>531151 EPA-TEACH SALARIES-APPRO</t>
  </si>
  <si>
    <t>531152 EPA-TEACH SALARIES-RECPT</t>
  </si>
  <si>
    <t>531153 EPA - TEACH SALARIES - UNDESIGNATED</t>
  </si>
  <si>
    <t>531154 EPA - TIME LIMITED SAL - APPROPRIATED</t>
  </si>
  <si>
    <t>531156 EPA - TIME LIMITED TEACH SAL - UNDESIGNATED</t>
  </si>
  <si>
    <t>531160 EPA - TIME LIMITED SAL - UNIVERSITY</t>
  </si>
  <si>
    <t>531155 EPA-T LIMIT TEACH SAL-REC</t>
  </si>
  <si>
    <t>NEW ACCT FOR FY 2002-2003</t>
  </si>
  <si>
    <t>531161 EPA- Time limited Sal- Approp</t>
  </si>
  <si>
    <t>Old account used in FY 2008-2009</t>
  </si>
  <si>
    <t>531162 EPA-TIME LIMITED SAL-RECP</t>
  </si>
  <si>
    <t>531191 EPA-REG SALARY -INCREASES</t>
  </si>
  <si>
    <t>531192 EPA-TEACH SAL -INCREASES</t>
  </si>
  <si>
    <t>531210 SPA-REG SALARIES-UNIV</t>
  </si>
  <si>
    <t>531211 SPA-REG SALARIES-APPRO</t>
  </si>
  <si>
    <t>531212 SPA-REG SALARIES-RECPT</t>
  </si>
  <si>
    <t>531213 SPA-REG SALARIES-UNDESIG</t>
  </si>
  <si>
    <t>531214 SPA-REG SAL/WAGE-INDIRECT</t>
  </si>
  <si>
    <t>531220 SPA TIME LIMITED SAL-UNIV</t>
  </si>
  <si>
    <t>531221 SPA TIME LIMITED SAL-APP</t>
  </si>
  <si>
    <t>531222 SPA TIME LIMITEDSAL-REC</t>
  </si>
  <si>
    <t>531223 SPA TIME LIMITED SAL-UNDE</t>
  </si>
  <si>
    <t>531230 LEO SALARIES-UNIVERSITY</t>
  </si>
  <si>
    <t>NEW ACCT FOR FY 2005-2006. Title changed in 2009-2010</t>
  </si>
  <si>
    <t>531231 LEO SALARIES -APPROPRIATED</t>
  </si>
  <si>
    <t>531232 LEO SALARIES -RECEIPTS</t>
  </si>
  <si>
    <t>531233 LEO SALARIES  -UNDESIGNATED</t>
  </si>
  <si>
    <t>531251 SPA-TEACH SALARIES-APPRO</t>
  </si>
  <si>
    <t>531252 SPA-TEACH SALARIES-RECPT</t>
  </si>
  <si>
    <t>531253 SPA-TEACH SALARIES-UNDESG</t>
  </si>
  <si>
    <t>531254 SPA TEACHING SUPPL-APPROP</t>
  </si>
  <si>
    <t>531255 SPA TEACHING SUPPLE-REC</t>
  </si>
  <si>
    <t>531256 SPA TEACHING SUPP-UNDESIG</t>
  </si>
  <si>
    <t>531257 SPA T LIMIT TEACH SAL-APP</t>
  </si>
  <si>
    <t>531258 SPA T LIMIT TEACH SAL-REC</t>
  </si>
  <si>
    <t>531291 SPA REG SALARY -INCREASES</t>
  </si>
  <si>
    <t>531292 SPA TEACH SAL -INCREASES</t>
  </si>
  <si>
    <t>531310 REG(N S) TEMP WAGES-UNIV</t>
  </si>
  <si>
    <t>531311 REG(N S) TEMP WAGES-APPR</t>
  </si>
  <si>
    <t>531312 REG(N S) TEMP WAGES-RECPT</t>
  </si>
  <si>
    <t>531313 REG(N S) TEMP WAGES-UNDES</t>
  </si>
  <si>
    <t>531320 CONTR EMPL PER IRS-UNIV</t>
  </si>
  <si>
    <t>531321 CONTR EMPL PER IRS-APPRO</t>
  </si>
  <si>
    <t>531322 CONTR EMPL PER IRS-RECPT</t>
  </si>
  <si>
    <t>531323 CONTR EMPL PER IRS-UNDES</t>
  </si>
  <si>
    <t>531350 STU TEMP WAGES - UNIV</t>
  </si>
  <si>
    <t>531351 STU TEMP WAGES - APPRO</t>
  </si>
  <si>
    <t>531352 STU TEMP WAGES - RECPTS</t>
  </si>
  <si>
    <t>531353 STU TEMP WAGES - UNDESIG</t>
  </si>
  <si>
    <t>531410 OT PAY - UNIV</t>
  </si>
  <si>
    <t>531411 OT PAY - APPROPRIATED</t>
  </si>
  <si>
    <t>531412 OT PAY - RECEIPTS</t>
  </si>
  <si>
    <t>531413 OT PAY - UNDESIGNATED</t>
  </si>
  <si>
    <t>531420 HOLIDAY PAY - UNIV</t>
  </si>
  <si>
    <t>531421 HOLIDAY PAY - APPRO</t>
  </si>
  <si>
    <t>531421000 HOLIDAY PAY - APPRO</t>
  </si>
  <si>
    <t>531422 HOLIDAY PAY - RECEIPTS</t>
  </si>
  <si>
    <t>531423 HOLIDAY PAY - UNDESIGNATD</t>
  </si>
  <si>
    <t>531430 SHIFT PREM PAY - UNIV</t>
  </si>
  <si>
    <t>531431 SHIFT PREM PAY - APPRO</t>
  </si>
  <si>
    <t>531432 SHIFT PREM PAY - RECEIPTS</t>
  </si>
  <si>
    <t>531433 SHIFT PREM PAY - UNDESIG</t>
  </si>
  <si>
    <t>531440 CALLBK/STBY PREM PAY-UNIV</t>
  </si>
  <si>
    <t>531441 CALLBK/STBY PREM PAY-APPR</t>
  </si>
  <si>
    <t>531442 CALLBK/STBY PREM PAY-RECT</t>
  </si>
  <si>
    <t>531443 CALLBK/STBY PREM PAY-UNDE</t>
  </si>
  <si>
    <t>531450 DUAL EMPL WAGES - UNIV</t>
  </si>
  <si>
    <t>531452 DUAL EMPL WAGES - RECPTS</t>
  </si>
  <si>
    <t>531453 DUAL EMPL WAGES - UNDESIG</t>
  </si>
  <si>
    <t>531620 SEVER SLRY CONTINUE-UNIV</t>
  </si>
  <si>
    <t>531621 SEVER SLRY CONTINUE-APPRO</t>
  </si>
  <si>
    <t>531622 SEVER SLRY CONTINUE-RECT</t>
  </si>
  <si>
    <t>531623 SEVER SLRY CONTINUE-UNDES</t>
  </si>
  <si>
    <t>531641 INMATE LABOR</t>
  </si>
  <si>
    <t>531642 THERAPEUTIC WAGES</t>
  </si>
  <si>
    <t>531643 NATIONAL GUARD PAYMENTS</t>
  </si>
  <si>
    <t>531649 OTH SPECIAL PROGRAM WAGES</t>
  </si>
  <si>
    <t>531651 COMPENSATION TO BOARD MEM</t>
  </si>
  <si>
    <t>531652 COMPEN TO OTH ELECTED OFF</t>
  </si>
  <si>
    <t>.  Employee benefits</t>
  </si>
  <si>
    <t>531460 EPA&amp;SPA-LONGVTY PAY-UNIV</t>
  </si>
  <si>
    <t>531461 EPA&amp;SPA-LONGVTY PAY-APPRO</t>
  </si>
  <si>
    <t>531462 EPA&amp;SPA-LONGVTY PAY-REC</t>
  </si>
  <si>
    <t>Acct 531462001 inactivated 6/1/05</t>
  </si>
  <si>
    <t>531463 EPA&amp;SPA-LONGVTY PAY-UNDES</t>
  </si>
  <si>
    <t>531464 LONGEVITY-INDIRECT COST</t>
  </si>
  <si>
    <t>531471 BONUS INCENTIVE PAY - APPROP</t>
  </si>
  <si>
    <t>531472 BONUS INCENTIVE WAGES- RECEIPTS</t>
  </si>
  <si>
    <t>531510 SOCIAL SEC CONTRIB-UNIV</t>
  </si>
  <si>
    <t>531511 SOCIAL SEC CONTRIB-APPRO</t>
  </si>
  <si>
    <t>531512 SOCIAL SEC CONTRIB-RECPTS</t>
  </si>
  <si>
    <t>531513 SOCIAL SEC CONTRIB-UNDES</t>
  </si>
  <si>
    <t>531514 SOC SECURITY-INDIRECT COS</t>
  </si>
  <si>
    <t>531520 REG RETIRE CONTRIB-UNIV</t>
  </si>
  <si>
    <t>531521 REG RETIRE CONTRIB-APPRO</t>
  </si>
  <si>
    <t>531522 REG RETIRE CONTRIB-RECPTS</t>
  </si>
  <si>
    <t>531523 REG RETIRE CONTRIB-UNDES</t>
  </si>
  <si>
    <t>531524 REG RETIRE-INDIRECT COST</t>
  </si>
  <si>
    <t>531530 LEO RETIRE CONTRIB-UNIV</t>
  </si>
  <si>
    <t>531531 LEO RETIRE CONTRIB-APPRO</t>
  </si>
  <si>
    <t>531532 LEO RETIRE CONTRIB-RECPTS</t>
  </si>
  <si>
    <t>531533 LEO RETIRE CONTRIB-UNDES</t>
  </si>
  <si>
    <t>531540 OPT RETIRE CONTRIB-UNIV</t>
  </si>
  <si>
    <t>531541 OPTIONAL RETIREMENT - APPROPRIATED</t>
  </si>
  <si>
    <t>531542 OPTIONAL RETIREMENT - RECEIPTS</t>
  </si>
  <si>
    <t>531560 MED INS CONTRIB-UNIV</t>
  </si>
  <si>
    <t>531561 MED INS CONTRIB-APPRO</t>
  </si>
  <si>
    <t>531562 MED INS CONTRIB-RECPTS</t>
  </si>
  <si>
    <t>531563 MED INS CONTRIB-UNDES</t>
  </si>
  <si>
    <t>531564 MED INS CONTRIB-INDIRECT</t>
  </si>
  <si>
    <t>531571 DISABILITY INS PREM</t>
  </si>
  <si>
    <t>531573 WORKER COMP PREMIUMS</t>
  </si>
  <si>
    <t>531574 ADDITIONAL EMPLOYEE BENEFITS</t>
  </si>
  <si>
    <t>531575 EMPLOYEE ASSISTANCE PROGR</t>
  </si>
  <si>
    <t>531576 FLEXIBLE SPENDING ACCOUNT SAVINGS TRANSFER</t>
  </si>
  <si>
    <t>531590 RESERVES FOR STAFF BENE</t>
  </si>
  <si>
    <t>531611 EMPLOYEE SUGGESTION AWARD</t>
  </si>
  <si>
    <t>531624 GRIEVANCE SETTLEMENT</t>
  </si>
  <si>
    <t>531625 ST DISABILITY PMT-UNDES/UNIV</t>
  </si>
  <si>
    <t>531626 EXTEND ST DISABILITY PMT</t>
  </si>
  <si>
    <t>531627 ST DISABILITY PMT-APPROP</t>
  </si>
  <si>
    <t>531628 ST DISABILITY PMT-RECEIPT</t>
  </si>
  <si>
    <t>531631 WRKER COMP-MED PAYMENTS</t>
  </si>
  <si>
    <t>531632 WRKER COMP-TEMP DIS PAYMN</t>
  </si>
  <si>
    <t>531633 WRKER COMP-PERM DIS PAYMN</t>
  </si>
  <si>
    <t>531634 WRKER COMP-DEATH BENEFITS</t>
  </si>
  <si>
    <t>531639 OTHER WORKERS COMP COSTS</t>
  </si>
  <si>
    <t>531660 TAXBLE EMPL EXP REIMB</t>
  </si>
  <si>
    <t>531661 TAXABLE EMPLOYEE EXPENSE REIMBURSEMENT - APPROPRIATED</t>
  </si>
  <si>
    <t>531662 TAXABLE EMPLOYEE EXPENSE REIMBURSEMENT-RECEIPTS</t>
  </si>
  <si>
    <t>531663 TAXABLE EMPLOYEE EXPENSE REIMBURSEMENT- UNDESIGNATED</t>
  </si>
  <si>
    <t>set up in 6/2/07. Not used yet.</t>
  </si>
  <si>
    <t>531664 NONTAXABLE EMPLOYEE CELL PHONE REIMBURSEMENT</t>
  </si>
  <si>
    <t>NEW ACCT FOR FY 2011-2012</t>
  </si>
  <si>
    <t>531700 CHANGE IN ACCRD VACATION</t>
  </si>
  <si>
    <t>531998 HLTH BNFITS INTRFACE SUSP</t>
  </si>
  <si>
    <t>531999 PAYROLL INTRFACE SUSPENSE</t>
  </si>
  <si>
    <t>532941 EMP EDUCATION ASSIST PROG</t>
  </si>
  <si>
    <t>moved from Other Services 2005-2006</t>
  </si>
  <si>
    <t>532942 OTHER EMP EDUCATIONAL EXP</t>
  </si>
  <si>
    <t>532950 EMP MOVING EXPENSES</t>
  </si>
  <si>
    <t>532951 STAFF TUITION WAIVER</t>
  </si>
  <si>
    <t>535840 SERVICE &amp; OTHER AWARDS</t>
  </si>
  <si>
    <t>Unemployment benefits</t>
  </si>
  <si>
    <t>535241 UNEMP COMP PAYMENTS</t>
  </si>
  <si>
    <t>533XXX Supplies except 533800</t>
  </si>
  <si>
    <t>.  Contracted personal services</t>
  </si>
  <si>
    <t>532110 LEGAL SERVICES</t>
  </si>
  <si>
    <t>532120 FINAN/AUDIT SERVICES</t>
  </si>
  <si>
    <t>532123 ARRA BILLING RATE</t>
  </si>
  <si>
    <t>532131 HOSPITAL PROVDED MED SERV</t>
  </si>
  <si>
    <t>532132 OTHER PROVIDED MED SER</t>
  </si>
  <si>
    <t>532133 EMPLYEE/EMPLYMENT PHYSICA</t>
  </si>
  <si>
    <t>532141 WAN SUPPORT SERVICES</t>
  </si>
  <si>
    <t>NEW effective July 1, 2002</t>
  </si>
  <si>
    <t>532142 VIDEO TRANSMISSION SUPPORT SVCS</t>
  </si>
  <si>
    <t>NEW effective January 1, 2003</t>
  </si>
  <si>
    <t>532143 LAN SUPPORT SERVICES</t>
  </si>
  <si>
    <t>532144 PC/PRINTER SUPPORT SVC</t>
  </si>
  <si>
    <t>532146 MAINFRAME SUPPORT SVC</t>
  </si>
  <si>
    <t>532147 IT SEAT MANAGEMENT SVC</t>
  </si>
  <si>
    <t>532150 ACADEMIC SERVICES</t>
  </si>
  <si>
    <t>532150000 ACADEMIC SERVICES</t>
  </si>
  <si>
    <t>532160 ENGINEERING SERVICES</t>
  </si>
  <si>
    <t>532170 ADMIN SERVICES</t>
  </si>
  <si>
    <t>532171 ADMIN SVCS-EXTENDED SVCS</t>
  </si>
  <si>
    <t>532181 FOOD SER AGREEMENT</t>
  </si>
  <si>
    <t>532182 LAUNDRY SER AGREEMENT</t>
  </si>
  <si>
    <t>532183 LABORATORY SER AGREEMENT</t>
  </si>
  <si>
    <t>532183000 LABORATORY SER AGREEMENT</t>
  </si>
  <si>
    <t>532185 WASTE REM/RECY SER AGREEM</t>
  </si>
  <si>
    <t>532185000 WASTE REM/RECY SER AGREEM</t>
  </si>
  <si>
    <t>532186 SECURITY SERVICE AGREE</t>
  </si>
  <si>
    <t>532187 PEST CONTROL AGREEMENT</t>
  </si>
  <si>
    <t>532188 LAWNS &amp; GROUNDS SER AGREE</t>
  </si>
  <si>
    <t>532191 DUAL EMP PAY TO AGENCY</t>
  </si>
  <si>
    <t>532192 HONORARIUMS</t>
  </si>
  <si>
    <t>532193 TRANSPORTATION SVCS</t>
  </si>
  <si>
    <t>532194 EMPLOYEE ON LOAN PAYMENTS</t>
  </si>
  <si>
    <t>532195 VETERINARY SERVICES</t>
  </si>
  <si>
    <t>NEW ACCT FOR FY 2004-2005</t>
  </si>
  <si>
    <t>532196 RESTORATION SERVICES</t>
  </si>
  <si>
    <t>532197 GAMING SYSTEMS SERVICES</t>
  </si>
  <si>
    <t>532199 MISC CONTRACTUAL SERVICES</t>
  </si>
  <si>
    <t>Acct 532199014 inactivated 5/9/05</t>
  </si>
  <si>
    <t>532199000 MISC CONTRACTUAL SERVICES</t>
  </si>
  <si>
    <t>532199001 MISC SVC-AUCTION SVC</t>
  </si>
  <si>
    <t>532199002 MISC SVC-AGRI/FORSTRY SVC</t>
  </si>
  <si>
    <t>532199003 MISC SVC-BURIAL/CREM SVCS</t>
  </si>
  <si>
    <t>532199004 MISC SVC-INTERPRETER SVCS</t>
  </si>
  <si>
    <t>532199005 MISC SVC-O/S HOUSE CSTS-M</t>
  </si>
  <si>
    <t>532199006 MISC SVC-O/S HOUSE CSTS-F</t>
  </si>
  <si>
    <t>532199007 MISC SVC-NURSE AID TR PG</t>
  </si>
  <si>
    <t>532199008 PARENT KIDNAP SVCS</t>
  </si>
  <si>
    <t>532199009 PARENT LOCATING SERVICES</t>
  </si>
  <si>
    <t>532199010 TRANSITIONAL HOME PROGRAM</t>
  </si>
  <si>
    <t>532199215 MISC CONTRACTUAL SERVICES</t>
  </si>
  <si>
    <t>532199310 MISC CONTRACTUAL SERVICES</t>
  </si>
  <si>
    <t>532199314 MISC CONTRACTUAL SERVICES</t>
  </si>
  <si>
    <t>532199356 STUDENT WORK PROGRAM</t>
  </si>
  <si>
    <t>53219935A MISC CONTRACTUAL SERVICES</t>
  </si>
  <si>
    <t>532199380 MISC CONTRACTUAL SERVICES</t>
  </si>
  <si>
    <t>532199383 MISC CONTRACTUAL SERVICES</t>
  </si>
  <si>
    <t>532199476 MISC CONTRACTUAL SERVICES</t>
  </si>
  <si>
    <t>532199604 ACQ OF ROW-DEED FROM IND</t>
  </si>
  <si>
    <t>532199619 MISC CONTRACTUAL SERVICES</t>
  </si>
  <si>
    <t>532199900 WORKSHOP/CONF EXP-MISC</t>
  </si>
  <si>
    <t>.  Utilities</t>
  </si>
  <si>
    <t>532210 ENRG SER -ELECTRICAL</t>
  </si>
  <si>
    <t>532220 ENRG SER -NAT.GAS/PROPANE</t>
  </si>
  <si>
    <t>532230 ENRG SER -WATER &amp; SEWER</t>
  </si>
  <si>
    <t>532241 ENRG SER -FUEL OIL</t>
  </si>
  <si>
    <t>532242 ENRG SER -COAL FUEL</t>
  </si>
  <si>
    <t>532243 ENRG SER -WOOD FUEL</t>
  </si>
  <si>
    <t>532244 ENRG SER -CHEM &amp; ADDIT</t>
  </si>
  <si>
    <t>532245 STEAM</t>
  </si>
  <si>
    <t>532870 CABLE TV</t>
  </si>
  <si>
    <t>.  Travel</t>
  </si>
  <si>
    <t>532711 TRANSP AIR - IN STATE</t>
  </si>
  <si>
    <t>532712 TRANS AIR-OUT STATE,IN US</t>
  </si>
  <si>
    <t>532713 TRANSP AIR-OUT OF COUNTRY</t>
  </si>
  <si>
    <t>532714 TRANSP-GRND - IN STATE</t>
  </si>
  <si>
    <t>532715 TRANS GRND-OUT STA,IN US</t>
  </si>
  <si>
    <t>532716 TRANS GRND-OUT OF COUNTRY</t>
  </si>
  <si>
    <t>532717 TRANSP OTHER - IN STATE</t>
  </si>
  <si>
    <t>532718 TRANS OTH-OUTSTATE, IN US</t>
  </si>
  <si>
    <t>532719 TRANS OTH-OUT OF COUNTRY</t>
  </si>
  <si>
    <t>532721 LODGING - IN STATE</t>
  </si>
  <si>
    <t>532722 LODGING-OUT STATE, IN US</t>
  </si>
  <si>
    <t>532723 LODGING-OUT OF COUNTRY</t>
  </si>
  <si>
    <t>532724 MEALS - IN STATE</t>
  </si>
  <si>
    <t>532725 MEALS-OUT OF STATE,IN US</t>
  </si>
  <si>
    <t>532726 MEALS  - OUT OF COUNTRY</t>
  </si>
  <si>
    <t>532727 MISC - IN STATE</t>
  </si>
  <si>
    <t>532728 MISC - OUT STATE, IN US</t>
  </si>
  <si>
    <t>532729 MISC  - OUT OF COUNTRY</t>
  </si>
  <si>
    <t>532731 BD/NON-EMPLOYEE TRANSP</t>
  </si>
  <si>
    <t>532732 BD/NON-EMPLOYEE SUBSIS</t>
  </si>
  <si>
    <t>532733 BD/NON-EMPLOYEE TRAINING</t>
  </si>
  <si>
    <t>.  Communication</t>
  </si>
  <si>
    <t>532810 BUNDLED VOICE/DATA</t>
  </si>
  <si>
    <t>new account for 2005-2006</t>
  </si>
  <si>
    <t>532811 TELEPHONE SERVICE</t>
  </si>
  <si>
    <t>532812 TELECOMMUN DATA CHRG</t>
  </si>
  <si>
    <t>532813 TELECONFERENCE CHARGES</t>
  </si>
  <si>
    <t>532814 CELLULAR PHONE SERVICES</t>
  </si>
  <si>
    <t>532815 EMAIL AND CALENDARING</t>
  </si>
  <si>
    <t>532816 VIDEO TRANSMISSION CHARGE</t>
  </si>
  <si>
    <t>532817 INTERNET SERV PROV CHARGE</t>
  </si>
  <si>
    <t>532818 DATA WIRING SVC CHRG</t>
  </si>
  <si>
    <t>532819 TELEPHONE WIRING SVC CHRG</t>
  </si>
  <si>
    <t>.  Data processing services</t>
  </si>
  <si>
    <t>532821 COMPUTER/DATA PROCESS SVC</t>
  </si>
  <si>
    <t>532822 MANAGED LAN SVC CHARGE</t>
  </si>
  <si>
    <t>.  Other services</t>
  </si>
  <si>
    <t>532184 JANITORIAL SER AGREEMENT</t>
  </si>
  <si>
    <t>532310 REPAIRS-BUILDINGS</t>
  </si>
  <si>
    <t>532320 REPAIRS-OTHER STRUCTURES</t>
  </si>
  <si>
    <t>532331 REPAIRS-MOTOR VEHICLES</t>
  </si>
  <si>
    <t>532332 REPAIRS-OTHER COMPUTER EQUIP</t>
  </si>
  <si>
    <t>532333 REPAIRS-OTHER EQUIPMENT</t>
  </si>
  <si>
    <t>532334 REPAIR-WAN EQUIP</t>
  </si>
  <si>
    <t>532335 REPAIR-VIDEO TRANSMSN EQP</t>
  </si>
  <si>
    <t>532336 REPAIRS-LAN EQUIP</t>
  </si>
  <si>
    <t>532337 REPAIRS-PC/PRINTER</t>
  </si>
  <si>
    <t>532338 REPAIRS-SERVERS</t>
  </si>
  <si>
    <t>532339 REPAIRS - VOICE COMMUNICATIONS EQUIPMENT</t>
  </si>
  <si>
    <t>532390 REPAIRS-OTHER</t>
  </si>
  <si>
    <t>532840 POSTAGE, FREIGHT &amp; DELIV</t>
  </si>
  <si>
    <t>532849 CENTRAL MAIL SUSPENSE</t>
  </si>
  <si>
    <t>532850 PRINT,BIND,DUPLICATE</t>
  </si>
  <si>
    <t>532860 ADVERTISING</t>
  </si>
  <si>
    <t>moved from unclassified for 2005-2006</t>
  </si>
  <si>
    <t>532925 INMATE TUITION</t>
  </si>
  <si>
    <t>532930 REGISTRATION FEES</t>
  </si>
  <si>
    <t>535621 INVENTOR PRICE VAR ADJUST</t>
  </si>
  <si>
    <t>535622 OTH INVENTORY ADJUSTMENTS</t>
  </si>
  <si>
    <t>535630 FIXED ASSET WRITEDOWNS</t>
  </si>
  <si>
    <t>535660 SVC CHRG-SALE SURPLUS</t>
  </si>
  <si>
    <t>535670 AD VALORUM TAX-ST SHARE</t>
  </si>
  <si>
    <t>535680 VENDOR REFUND CLEARING</t>
  </si>
  <si>
    <t>535810 STUD/PATINT ENTRTNMNT EXP</t>
  </si>
  <si>
    <t>535890 OTHER ADMIN EXPENSE</t>
  </si>
  <si>
    <t>Lottery Prize</t>
  </si>
  <si>
    <t>See below.  New Caption 2005-2006</t>
  </si>
  <si>
    <t>535980  LOTTERY PRIZE EXPENSE</t>
  </si>
  <si>
    <t>Claims</t>
  </si>
  <si>
    <t>535210 PENSION FUND PAYMENTS</t>
  </si>
  <si>
    <t>535219 OTHER NON-EMP PENSIONS</t>
  </si>
  <si>
    <t>535221 LONG TERM DISAB PAYMENTS</t>
  </si>
  <si>
    <t>535222 DIS CLAIM-DEATH BENEFITS</t>
  </si>
  <si>
    <t>535223 REIM-STATE DISABILITY PAY</t>
  </si>
  <si>
    <t>535232 LEO SEPARATION ALLOWANCE</t>
  </si>
  <si>
    <t>535242 MEDICAL CLAIM PAYMENTS</t>
  </si>
  <si>
    <t>535243 CONTRIB DEATH BENEFITS</t>
  </si>
  <si>
    <t>535244 PHARMACY CLAIM PAYMENTS</t>
  </si>
  <si>
    <t>535251 FIRE LOSS CLAIM PAYMENTS</t>
  </si>
  <si>
    <t>535252 WIND STORM LOSSES &amp; OTHR</t>
  </si>
  <si>
    <t>535253 INSURANCE EXTENDED COVER</t>
  </si>
  <si>
    <t>535254 VOL SAFETY WC CLAIM PMTS</t>
  </si>
  <si>
    <t>533800 PURCHASES FOR RESALE</t>
  </si>
  <si>
    <t>535430 DEPRECIATION</t>
  </si>
  <si>
    <t>532911 PROPERTY-INSURANCE</t>
  </si>
  <si>
    <t>532912 MOTOR VEHICLE INSURANCE</t>
  </si>
  <si>
    <t>532913 LIABILITY INSURANCE</t>
  </si>
  <si>
    <t>532919 OTHER INSURANCE</t>
  </si>
  <si>
    <t>532920 BONDING</t>
  </si>
  <si>
    <t>535218 REFUND OF CONTRIB</t>
  </si>
  <si>
    <t>536810 EDUC AWAR-APPROP GRANTS</t>
  </si>
  <si>
    <t>536820 MINORITY PRESENCE AWARD</t>
  </si>
  <si>
    <t>536840 ACAD ENHANCEMENT SCHOOL</t>
  </si>
  <si>
    <t>536850 TEACHERS SCHOLARSHIPS</t>
  </si>
  <si>
    <t>536860 MEDICAL &amp; DENTAL GRANTS</t>
  </si>
  <si>
    <t>536870 TRAINEESHIPS</t>
  </si>
  <si>
    <t>536875 GRAD ASST TUITION AWARDS</t>
  </si>
  <si>
    <t>536880 INCENTIVE SCHOLARSHIPS</t>
  </si>
  <si>
    <t>536885    NO DESCRIPTION FOUND</t>
  </si>
  <si>
    <t>536890 OTHER EDUCATIONAL AWARDS</t>
  </si>
  <si>
    <t>5368XX EDUCATIONAL AWARDS &amp; SCHOLARSHIPS</t>
  </si>
  <si>
    <t xml:space="preserve">      Other:</t>
  </si>
  <si>
    <t>.   Other fixed charges</t>
  </si>
  <si>
    <t>532410 MAINT AGREEMNT-BUILDINGS</t>
  </si>
  <si>
    <t>532420 MAINT AGREEMNT-OTH STRUCT</t>
  </si>
  <si>
    <t>532430 MAINT AGREEMENT-EQUIP</t>
  </si>
  <si>
    <t>532441 MAINT AGREEMENT-OTHER SOFTWARE</t>
  </si>
  <si>
    <t>532442 MAINT AGRMT-WAN SOFTWARE</t>
  </si>
  <si>
    <t>NEW ACCT effective July 1, 2002</t>
  </si>
  <si>
    <t>532443 MAINT AGRMT-NON-WAN DP EQ</t>
  </si>
  <si>
    <t>532444 MAINT AGRMT-WAN EQUIP</t>
  </si>
  <si>
    <t>532445 MAINT AGRMT-VIDEO TRAN EQ</t>
  </si>
  <si>
    <t>532446 MAINT AGREE-LAN EQUIP</t>
  </si>
  <si>
    <t>NEW ACCT effective January 1, 2003</t>
  </si>
  <si>
    <t>532447 MAINT AGREE-PC/PRINTER</t>
  </si>
  <si>
    <t>532448 MAINT AGREE-PC SOFTWARE</t>
  </si>
  <si>
    <t>532449 MAINT AGREE-SERVER SOFTWR</t>
  </si>
  <si>
    <t>532450 MAINT AGREE-SERVER EQUIP</t>
  </si>
  <si>
    <t>532451 MAINT AGREE-MAINFRAME EQP</t>
  </si>
  <si>
    <t>532452 MAINT AGREE-MAINFRME SFTW</t>
  </si>
  <si>
    <t>532490 MAINT AGREEMENT-OTHER</t>
  </si>
  <si>
    <t>535111 LEGAL SETTLEMENTS</t>
  </si>
  <si>
    <t>535112 TORT CLAIMS</t>
  </si>
  <si>
    <t>535113 COURT COSTS</t>
  </si>
  <si>
    <t>535114 EXPERT WITNESS FEES</t>
  </si>
  <si>
    <t>535115 REWRD,CAPTRE,EXTRDITN EXP</t>
  </si>
  <si>
    <t>535120 LICENSES &amp; PERMIT COSTS</t>
  </si>
  <si>
    <t>535830 MEMBERSHIP DUES&amp;SUBSCRIPT</t>
  </si>
  <si>
    <t>. Grants, aid and subsidies</t>
  </si>
  <si>
    <t>536J00 NGO OTHER AIDS &amp; GRANTS</t>
  </si>
  <si>
    <t>moved from invalid for 2005-2006</t>
  </si>
  <si>
    <t>536900 OTHER AIDS &amp; GRANTS</t>
  </si>
  <si>
    <t>536Q00 OTHER AIDS &amp; GRANTS TO INDIVIDUALS</t>
  </si>
  <si>
    <t>.   Other expenses</t>
  </si>
  <si>
    <t>532511 RENT/LEASE -LAND</t>
  </si>
  <si>
    <t>532512 RENT/LEASE-BLDINGS/OFFICE</t>
  </si>
  <si>
    <t>532513 RENT/LEASE-OTH FACILITIES</t>
  </si>
  <si>
    <t>532521 RENT/LEASE-MOTOR VEHICLES</t>
  </si>
  <si>
    <t>532523 RENT/LEASE-COMMUN EQUIP</t>
  </si>
  <si>
    <t>532524 RENT/LEASE-GEN OFF EQUIP</t>
  </si>
  <si>
    <t>532525 RENT/LEASE-FURN &amp; FURNISH</t>
  </si>
  <si>
    <t>532530 RENT/LEASE-NON-WAN DP EQ</t>
  </si>
  <si>
    <t>532531 RENT/LEASE-WAN EQUIP</t>
  </si>
  <si>
    <t>532532 RENT/LEASE-VIDEO TRAN EQU</t>
  </si>
  <si>
    <t>532533 RENT/LEASE OF LAN EQUIMENT</t>
  </si>
  <si>
    <t>532534 RENT/LEASE-PC/PRINTER</t>
  </si>
  <si>
    <t>532535 RENT/LEASE-SERVER EQUIP</t>
  </si>
  <si>
    <t>532536 RENT/LEASE-MAINFRAME EQP</t>
  </si>
  <si>
    <t>532541 RENT/LEASE-PC SOFTWARE</t>
  </si>
  <si>
    <t>532542 RENT/LEASE-SERVER SOFTWR</t>
  </si>
  <si>
    <t>532543 RENT/LEASE-MAINFRAME SOFTWR</t>
  </si>
  <si>
    <t>532590 RENT/LEASE OTHER PROPERTY</t>
  </si>
  <si>
    <t>535610 RECEIVABLE WRITEOFFS</t>
  </si>
  <si>
    <t>new title</t>
  </si>
  <si>
    <t>535820 ADMIN TRANSITION EXP</t>
  </si>
  <si>
    <t>535850 INTERST EXP-CASH MGMT ACT</t>
  </si>
  <si>
    <t>535900 OTHER EXPENSES</t>
  </si>
  <si>
    <t>535912 INV INCOME DISTRIBUTION</t>
  </si>
  <si>
    <t>535930 AIRCRAFT EXPENSES</t>
  </si>
  <si>
    <t>535940 COLLECTION COSTS</t>
  </si>
  <si>
    <t>535960 ELECTRONIC PAYMT PROC FEE</t>
  </si>
  <si>
    <t>UNCLASSIFIED EXPENSES</t>
  </si>
  <si>
    <t>Valid exp accts that must be zero at year-end</t>
  </si>
  <si>
    <t>531673 Ref Pr Yr Deduction Clrng</t>
  </si>
  <si>
    <t>New acct - Fiscal Year 2006-2007</t>
  </si>
  <si>
    <t>532799 TRAVEL ADVANCES</t>
  </si>
  <si>
    <t>moved from travel for 2005-2006</t>
  </si>
  <si>
    <t>535311 BOND PRINCIPAL PAYMENTS</t>
  </si>
  <si>
    <t>535311674 BOND PRINCIPAL PAYMENTS</t>
  </si>
  <si>
    <t>535312 ANTICIPATN NOTES PRIN PAY</t>
  </si>
  <si>
    <t>535314 OTHER PRINCIPAL PAYMENTS</t>
  </si>
  <si>
    <t>535333 PAY-REF DEBT ESCROW AGENT</t>
  </si>
  <si>
    <t>535334 PAYMENT OF DEBT SERVICE PRINCIPAL</t>
  </si>
  <si>
    <t>535613 ACCRUED EXPENSE ADJUSTMNT</t>
  </si>
  <si>
    <t>535640 INDIRECT (OVERHEAD) COSTS</t>
  </si>
  <si>
    <t>moved from other services for 2006-2007</t>
  </si>
  <si>
    <t>535675 P-CARD CLEARING</t>
  </si>
  <si>
    <t>535950 PETTY/IMPREST CASH</t>
  </si>
  <si>
    <t>moved from other exp for 2005-2006</t>
  </si>
  <si>
    <t>538045 INTERFUND BORROWING</t>
  </si>
  <si>
    <t>538046 INTERFUND BORROWING REPAYMENT</t>
  </si>
  <si>
    <t>5382XX STATEWIDE REIMBURSEMENT</t>
  </si>
  <si>
    <t>5383AA AGENCY REIMBURSEMENT</t>
  </si>
  <si>
    <t>5388AA AGENCY FED FUND TRANS/RECEIPT</t>
  </si>
  <si>
    <t>5389AA TRANSFER OF APPROPRIATIONS</t>
  </si>
  <si>
    <t>moved from trf out for 2005-2006</t>
  </si>
  <si>
    <t>538RAA Transfer Out - ARRA Billing Rate (should be zero for year end)</t>
  </si>
  <si>
    <t>INVALID EXPENSES</t>
  </si>
  <si>
    <t>See below - invalid accts for proprietary funds</t>
  </si>
  <si>
    <t>531451 DUAL EMPL WAGES - APPRO</t>
  </si>
  <si>
    <t>532121 SECURITIES TRANS FEE</t>
  </si>
  <si>
    <t>moved from Contracted Personal Svc 2005-2006</t>
  </si>
  <si>
    <t>532440 MAINT AGREEMENT-DP EQUIP</t>
  </si>
  <si>
    <t>stop using effective January 1, 2003</t>
  </si>
  <si>
    <t>532522 RENT/LEASE-DP EQUIPMENT</t>
  </si>
  <si>
    <t>533899 THIRTEENTH PERIOD PURCHASE FOR RESALE INVENTORY ADJUSTMENT</t>
  </si>
  <si>
    <t>533999 THIRTEENTH PERIOD SUPPLIES AND MATERIALS INVENTORY ADJUSTMENT</t>
  </si>
  <si>
    <t>534522 COMPUTER EQUIPMENT</t>
  </si>
  <si>
    <t>534710 COMPUTER SOFTWARE</t>
  </si>
  <si>
    <t>535233 RETIREMENT SUPPLEMENT</t>
  </si>
  <si>
    <t>moved from Claims 2005-2006</t>
  </si>
  <si>
    <t>535335 RETIREMENT OF INDEBTEDNESS</t>
  </si>
  <si>
    <t>535337 BOND DISCOUNT</t>
  </si>
  <si>
    <t>Moved to Invalid for FY 2011-2012</t>
  </si>
  <si>
    <t>535410 DEPRECIATION-BUILDINGS</t>
  </si>
  <si>
    <t>use acct 535430 Depreciation</t>
  </si>
  <si>
    <t>535420 DEPRCIATN-OTH STR&amp;IMPROV</t>
  </si>
  <si>
    <t>535440 AMORTIZATION</t>
  </si>
  <si>
    <t>535631 FIXED ASSET WRTDWNS-NONOP</t>
  </si>
  <si>
    <t>moved from Fixed Asset Writedown 2005-2006</t>
  </si>
  <si>
    <t>535710 LOSS-REFUNDING OF DEBT</t>
  </si>
  <si>
    <t>535909 REALIZD LOSS-SALE INV-GEN</t>
  </si>
  <si>
    <t>535910 REALIZED LOSS SALE ON INV</t>
  </si>
  <si>
    <t>535911 UNREALIZD LOSS INV-PROGRM</t>
  </si>
  <si>
    <t>535913 UNREALIZD LOSS INV-GENERL</t>
  </si>
  <si>
    <t>535970 PAYMENTS UNDER TRUST</t>
  </si>
  <si>
    <t>535993 UNALLOT APP-BROUGHT FORWD</t>
  </si>
  <si>
    <t>536XXX except 5368XX, 536900, 536997, 536999, 536J00,536J99, 536Q00 and 536Q99</t>
  </si>
  <si>
    <t>537XXX Agency Reserves</t>
  </si>
  <si>
    <t>538010 Statewide Operating Transfer</t>
  </si>
  <si>
    <t>NON OPERATING REVENUES (EXPENSES)</t>
  </si>
  <si>
    <t>439100 State appropriations</t>
  </si>
  <si>
    <t>538044 Transfer to Reimburse Appropriation for payroll.</t>
  </si>
  <si>
    <t xml:space="preserve">State Aid- General </t>
  </si>
  <si>
    <t>432908 State Aid - General</t>
  </si>
  <si>
    <t>State Aid-Program</t>
  </si>
  <si>
    <t>432990 State Aid-Program</t>
  </si>
  <si>
    <t>432906 State aid- National Mortgage Settlement</t>
  </si>
  <si>
    <t>State aid - lottery proceeds</t>
  </si>
  <si>
    <t>432992 state aid - Lottery proceeds</t>
  </si>
  <si>
    <t>Noncapital grants</t>
  </si>
  <si>
    <t xml:space="preserve">Accounts 4321AA, 4322AA, 4323AA, 4324AA, </t>
  </si>
  <si>
    <t>4325AA, 4326AA, 432995</t>
  </si>
  <si>
    <t>436200 NONCAP GIFTS</t>
  </si>
  <si>
    <t>436202 NONCAP GIFTS-BAD DEBT</t>
  </si>
  <si>
    <t>Interest &amp; fees on capital asset-related debt</t>
  </si>
  <si>
    <t xml:space="preserve">.    Debt interest </t>
  </si>
  <si>
    <t>535321 BOND INTEREST PAYMENTS</t>
  </si>
  <si>
    <t>535322 ANTICIPATN NOTES INT PAY</t>
  </si>
  <si>
    <t>535324 OTHER INTEREST PAYMENTS</t>
  </si>
  <si>
    <t>535325 OTH INT PAY-NONOPERATING</t>
  </si>
  <si>
    <t>535326 AMORTIZATION - DEBT DISCOUNTS, PREMIUMS, AND REFUNDING DEFERRALS</t>
  </si>
  <si>
    <t>NEW ACCT FOR FY 2011-12</t>
  </si>
  <si>
    <t>.    Other debt service costs</t>
  </si>
  <si>
    <t>535331 FISCAL AGENT &amp; OTH FEES</t>
  </si>
  <si>
    <t>535336 ARBITRAGE EXPENSE</t>
  </si>
  <si>
    <t>Gain (loss) on sale of property &amp; equip</t>
  </si>
  <si>
    <t>Accounts 434330 and 535650.</t>
  </si>
  <si>
    <t xml:space="preserve">Gain on extinguishment of Debt </t>
  </si>
  <si>
    <t>437510 Gain on Extinguishment of Debt</t>
  </si>
  <si>
    <t>Investment earnings, net</t>
  </si>
  <si>
    <t>433111 INT/DIV ON INV - NONOPER</t>
  </si>
  <si>
    <t>433121 STIF INT INCOME - NONOPER</t>
  </si>
  <si>
    <t>433131 LTIF INT INCOME - NONOPER</t>
  </si>
  <si>
    <t>433300 ENDOWMENT INCOME</t>
  </si>
  <si>
    <t>433400 SECURITIES LENDING INCOME</t>
  </si>
  <si>
    <t>437402 REAL GAIN INV-NONOP-PROG</t>
  </si>
  <si>
    <t>437412 UNREA GAIN INV-NONOP-PROG</t>
  </si>
  <si>
    <t>532122 SECURITIES TRANS FEE NOOP</t>
  </si>
  <si>
    <t>535914 REAL LOSS INV-NONOP-PROG</t>
  </si>
  <si>
    <t>535916 UNREA LOSS INV-NONOP-PROG</t>
  </si>
  <si>
    <t>535918 INVESTMENT EXP-NONOP-PROG</t>
  </si>
  <si>
    <t>437116 INSURANCE RECOV - NONOPER</t>
  </si>
  <si>
    <t>Grants, aid and subsidies</t>
  </si>
  <si>
    <t>536J99 NGO OTHER AIDS &amp; GRANTS</t>
  </si>
  <si>
    <t>536997  FEDERAL LOAN SUBSIDY</t>
  </si>
  <si>
    <t>536999  OTHER GRANTS &amp; AIDS-NONOP</t>
  </si>
  <si>
    <t xml:space="preserve">536Q99  OTHER AIDS AND GRANTS TO INDIVIDUALS - NONOPERATING
</t>
  </si>
  <si>
    <t>Federal interest Subsidy on debt</t>
  </si>
  <si>
    <t>432907 FEDERAL INTEREST SUBSIDY ON DEBT</t>
  </si>
  <si>
    <t>Miscellaneous:</t>
  </si>
  <si>
    <t>.   Miscellaneous non-operating rev</t>
  </si>
  <si>
    <t>434321 SALE OF SURP PROP-NONOPER</t>
  </si>
  <si>
    <t>437991 OTHER MISC REV-NONOP-PROG</t>
  </si>
  <si>
    <t>437996 NATIONAL MORTGAGE SETTLEMENT</t>
  </si>
  <si>
    <t>NEW FY 2012-13</t>
  </si>
  <si>
    <t>4383AA OTH REV-COMPONENT UNITS (as directed only by OSC)</t>
  </si>
  <si>
    <t>Moved from Invalid for FY 2011-2012</t>
  </si>
  <si>
    <t>.   Miscellaneous non-operating exp</t>
  </si>
  <si>
    <t>535332 BOND ISSUE COST</t>
  </si>
  <si>
    <t>Moved from Other debt service in FY 2011-2012</t>
  </si>
  <si>
    <t>535901 OTHER EXPENSES, NON-OPER</t>
  </si>
  <si>
    <t>NEW FY 2008-2009</t>
  </si>
  <si>
    <t>535920 REFUNDED TO GRANTORS</t>
  </si>
  <si>
    <t xml:space="preserve">535923 LEGISLATIVE MANDATED TRANSFER </t>
  </si>
  <si>
    <t>NEW FY 2011-12</t>
  </si>
  <si>
    <t>535925 COMPONENT UNIT CI REVERSION</t>
  </si>
  <si>
    <t>535926 REVRSN CI- PROJECT RES 40703</t>
  </si>
  <si>
    <t>535927 COMPONENT UNIT TRANSFER TO CONTINGENCY RESERVE</t>
  </si>
  <si>
    <t>Other Revenues, expenses, gains ,or losses:</t>
  </si>
  <si>
    <t>Capital Contributions</t>
  </si>
  <si>
    <t>.   State capital aid</t>
  </si>
  <si>
    <t>.   Capital grants</t>
  </si>
  <si>
    <t xml:space="preserve">Account 432DAA, 432EAA, 432JAA, </t>
  </si>
  <si>
    <t>.   Capital gifts, net</t>
  </si>
  <si>
    <t>436203, 436204</t>
  </si>
  <si>
    <t>436205  PERMANENT ENDOWMENTS</t>
  </si>
  <si>
    <t>436206  TERM ENDOWMENTS</t>
  </si>
  <si>
    <t>4380XX STATEWIDE OPERATING TRANSFERS (Invalid for Universities and Component Units)</t>
  </si>
  <si>
    <t>Except 438030 rolls to 536XXX, 438045 and 438046 roll to valid accounts that zero at Year end</t>
  </si>
  <si>
    <t>4381XX OPERATING TRANSFERS (Invalid for Universities and Component Units)</t>
  </si>
  <si>
    <t>4384XX AGENCY NONROUTINE TRANSFR (Invalid for Universities and Component Units)</t>
  </si>
  <si>
    <t>5380XX STATEWIDE OPERATING TRANSFERS (Invalid for Universities and Component Units)</t>
  </si>
  <si>
    <t>538010 is invalid. Effective July 1, 2008. 538030 rolls to Fees, Licenses and fines. 538045 and 538046 roll to valid expenses which are zero at year end. 538044 rolls to State appropriations</t>
  </si>
  <si>
    <t>5381XX OPERATING TRANSFERS (Invalid for Universities and Component Units)</t>
  </si>
  <si>
    <t>5384XX AGENCY NONROUTINE TRANSFR (Invalid for Universities and Component Units)</t>
  </si>
  <si>
    <t>4385XX Mandatory</t>
  </si>
  <si>
    <t>4386XX Non Mandatory</t>
  </si>
  <si>
    <t>4387XX Inter-Institutional</t>
  </si>
  <si>
    <t>5385XX Mandatory</t>
  </si>
  <si>
    <t>5386XX Non Mandatory</t>
  </si>
  <si>
    <t>5387XX Inter-Institutional</t>
  </si>
  <si>
    <t>Accounts 437750, 535750</t>
  </si>
  <si>
    <t>Extraordinary gain (loss):</t>
  </si>
  <si>
    <t>.   Extraordinary gain</t>
  </si>
  <si>
    <t>437700 EXTRAORDINARY GAIN</t>
  </si>
  <si>
    <t>.   Extraordinary loss</t>
  </si>
  <si>
    <t>535700 EXTRAORDINARY LOSS</t>
  </si>
  <si>
    <t>Account 330001</t>
  </si>
  <si>
    <t>226103 GRANT ANTIC REV BONDS PAY</t>
  </si>
  <si>
    <t>NEW ACCT FOR FY 2006-2007</t>
  </si>
  <si>
    <t>Deferred outflows of resources:</t>
  </si>
  <si>
    <t>3) Condensed Statement of Revenues, Expenses and Changes in Net Position:</t>
  </si>
  <si>
    <t>Change in net position</t>
  </si>
  <si>
    <t>Beginning net position</t>
  </si>
  <si>
    <t>Ending net position</t>
  </si>
  <si>
    <t>Total deferred outflows</t>
  </si>
  <si>
    <t>Deferred inflows of resources:</t>
  </si>
  <si>
    <t>SCA revenue applicable to future year</t>
  </si>
  <si>
    <t>Accumulated increase in fair value of hedging derivatives</t>
  </si>
  <si>
    <t>Accumulated decrease in fair value of hedging derivatives</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</si>
  <si>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</si>
  <si>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Was any of the debt reported on this worksheet variable rate debt?</t>
  </si>
  <si>
    <t>Foreign exchange futures</t>
  </si>
  <si>
    <t>B.  - Other Significant Commitments, including investment contracts</t>
  </si>
  <si>
    <t>The transferor (government) conveys to the operator (private party or government) the right and</t>
  </si>
  <si>
    <t>The transferor is entitled to significant residual interest in the service utility of the facility at the end</t>
  </si>
  <si>
    <t xml:space="preserve">GASB Fund No: </t>
  </si>
  <si>
    <t>GASB Statement 60 establishes accounting and financial reporting standards for service concession</t>
  </si>
  <si>
    <t xml:space="preserve">exchange for significant consideration, such as an up-front payment, installment payments, a new </t>
  </si>
  <si>
    <t>facility, or improvements to an existing facility.</t>
  </si>
  <si>
    <t xml:space="preserve">GASB Statement 60 requires certain disclosures about an agency's service concession arrangements.  The </t>
  </si>
  <si>
    <t xml:space="preserve">The transferor determines or has the ability to modify or approve (1) what services the operator is </t>
  </si>
  <si>
    <r>
      <t xml:space="preserve">required to provide, (2) to whom the operator is required to provide the services, </t>
    </r>
    <r>
      <rPr>
        <b/>
        <u/>
        <sz val="10"/>
        <rFont val="Arial"/>
        <family val="2"/>
      </rPr>
      <t>AND</t>
    </r>
    <r>
      <rPr>
        <sz val="10"/>
        <rFont val="Arial"/>
        <family val="2"/>
      </rPr>
      <t xml:space="preserve"> (3) the prices</t>
    </r>
  </si>
  <si>
    <t>or rates that can be charged for the services.</t>
  </si>
  <si>
    <t>rather than ancillary services operated in conjunction with the facility (e.g., vendor concessions at</t>
  </si>
  <si>
    <r>
      <t xml:space="preserve">related obligation to provide </t>
    </r>
    <r>
      <rPr>
        <u/>
        <sz val="10"/>
        <rFont val="Arial"/>
        <family val="2"/>
      </rPr>
      <t>public services</t>
    </r>
    <r>
      <rPr>
        <sz val="10"/>
        <rFont val="Arial"/>
        <family val="2"/>
      </rPr>
      <t xml:space="preserve"> through the use and operation of a capital asset in </t>
    </r>
  </si>
  <si>
    <t>Note: The services should relate to the primary function of the facility (e.g., operating a stadium)</t>
  </si>
  <si>
    <r>
      <t xml:space="preserve">The operator collects and is compensated by fees from </t>
    </r>
    <r>
      <rPr>
        <u/>
        <sz val="10"/>
        <rFont val="Arial"/>
        <family val="2"/>
      </rPr>
      <t>third parties</t>
    </r>
    <r>
      <rPr>
        <sz val="10"/>
        <rFont val="Arial"/>
        <family val="2"/>
      </rPr>
      <t xml:space="preserve"> (not by the transferor government).</t>
    </r>
  </si>
  <si>
    <r>
      <t xml:space="preserve">still in force and meet </t>
    </r>
    <r>
      <rPr>
        <b/>
        <u/>
        <sz val="10"/>
        <rFont val="Arial"/>
        <family val="2"/>
      </rPr>
      <t>ALL</t>
    </r>
    <r>
      <rPr>
        <sz val="10"/>
        <rFont val="Arial"/>
        <family val="2"/>
      </rPr>
      <t xml:space="preserve"> of the above criteria (Indicate with an "X")?</t>
    </r>
  </si>
  <si>
    <t>Has your agency/university entered into any public-private or public-public partnership arrangements that are</t>
  </si>
  <si>
    <t xml:space="preserve">As used in this Statement, an SCA is an arrangement between a transferor (a government) and an operator </t>
  </si>
  <si>
    <r>
      <t xml:space="preserve">(governmental or nongovernmental entity) in which </t>
    </r>
    <r>
      <rPr>
        <b/>
        <u/>
        <sz val="10"/>
        <rFont val="Arial"/>
        <family val="2"/>
      </rPr>
      <t>ALL</t>
    </r>
    <r>
      <rPr>
        <sz val="10"/>
        <rFont val="Arial"/>
        <family val="2"/>
      </rPr>
      <t xml:space="preserve"> of the following criteria are met:</t>
    </r>
  </si>
  <si>
    <t>arrangements (SCAs), which are a type of public-private or public-public partnership.</t>
  </si>
  <si>
    <t>the stadium).</t>
  </si>
  <si>
    <t>COPS</t>
  </si>
  <si>
    <t>Short Term Debt</t>
  </si>
  <si>
    <t>Click here</t>
  </si>
  <si>
    <t>Select Type of Debt:</t>
  </si>
  <si>
    <t>Net Investment in capital assets</t>
  </si>
  <si>
    <t>Other-_____________</t>
  </si>
  <si>
    <t>Limited Obligation Bonds</t>
  </si>
  <si>
    <t xml:space="preserve">$ Change </t>
  </si>
  <si>
    <t>Analytical Review (625)</t>
  </si>
  <si>
    <t>check: Assets + Def outflows - Liab - Def inflows = Net position</t>
  </si>
  <si>
    <t>Total net position</t>
  </si>
  <si>
    <t xml:space="preserve">check: Net position between statements </t>
  </si>
  <si>
    <t>SEGMENTS (635)</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</si>
  <si>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</si>
  <si>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r>
      <rPr>
        <u/>
        <sz val="9"/>
        <rFont val="Arial"/>
        <family val="2"/>
      </rPr>
      <t>Note</t>
    </r>
    <r>
      <rPr>
        <sz val="9"/>
        <rFont val="Arial"/>
        <family val="2"/>
      </rPr>
      <t>: Please do not key to this worksheet. It is populated from the 906-6B and 906-6C worksheets</t>
    </r>
  </si>
  <si>
    <t xml:space="preserve">Statement of Net Position verification </t>
  </si>
  <si>
    <r>
      <rPr>
        <u/>
        <sz val="9"/>
        <rFont val="Arial"/>
        <family val="2"/>
      </rPr>
      <t>Note</t>
    </r>
    <r>
      <rPr>
        <sz val="9"/>
        <rFont val="Arial"/>
        <family val="2"/>
      </rPr>
      <t>: Please do not key to this worksheet. It is populated from the 905 and PriorYr905 worksheets, so the cells are locked.</t>
    </r>
  </si>
  <si>
    <r>
      <rPr>
        <u/>
        <sz val="9"/>
        <rFont val="Arial"/>
        <family val="2"/>
      </rPr>
      <t>Note</t>
    </r>
    <r>
      <rPr>
        <sz val="9"/>
        <rFont val="Arial"/>
        <family val="2"/>
      </rPr>
      <t>: Please do not key to this worksheet. It is populated from the 905Hosp and PriorYr905 worksheets, so the cells are locked.</t>
    </r>
  </si>
  <si>
    <t>From 905Hosp Tab</t>
  </si>
  <si>
    <t>From 906-6B tab</t>
  </si>
  <si>
    <t>Net position—July 1</t>
  </si>
  <si>
    <t>Net position—June 30</t>
  </si>
  <si>
    <t>Verification of Net Position between statements</t>
  </si>
  <si>
    <t>From 906-6C tab</t>
  </si>
  <si>
    <t>3318</t>
  </si>
  <si>
    <t>3324</t>
  </si>
  <si>
    <t>Note: for 6B - Deferred Comp only-NA all other agencies</t>
  </si>
  <si>
    <t>Note: for 6C - NC 401(k) only-NA all other agencies</t>
  </si>
  <si>
    <t>UNC System total</t>
  </si>
  <si>
    <t>Net position between Stmt of Net Position  and Operating Stmnt</t>
  </si>
  <si>
    <t>on the 905, but this serves as a general guide for how</t>
  </si>
  <si>
    <t>the accounts should roll for year-end reporting.</t>
  </si>
  <si>
    <t>ANNUAL DEBT SERVICE REQUIREMENTS (315)</t>
  </si>
  <si>
    <t>CHANGES IN LONG-TERM LIABILITIES AND SHORT-TERM DEBT (305)</t>
  </si>
  <si>
    <t xml:space="preserve">NA for State Health Plan </t>
  </si>
  <si>
    <t>NA for State Health Plan</t>
  </si>
  <si>
    <t>ANNUAL DEBT SERVICE REQUIREMENTS (320)</t>
  </si>
  <si>
    <t>Pollution Remediation Obligations (322)</t>
  </si>
  <si>
    <r>
      <t xml:space="preserve">Traded? </t>
    </r>
    <r>
      <rPr>
        <vertAlign val="superscript"/>
        <sz val="11"/>
        <rFont val="Arial"/>
        <family val="2"/>
      </rPr>
      <t>(1)</t>
    </r>
  </si>
  <si>
    <r>
      <t>Type</t>
    </r>
    <r>
      <rPr>
        <vertAlign val="superscript"/>
        <sz val="10"/>
        <color indexed="8"/>
        <rFont val="Arial"/>
        <family val="2"/>
      </rPr>
      <t xml:space="preserve"> </t>
    </r>
  </si>
  <si>
    <t>Government-wide Net Position – OSC Only (Automatic Calculations)</t>
  </si>
  <si>
    <t>GENERAL FUND (401)</t>
  </si>
  <si>
    <t>SPECIAL REVENUE FUNDS (405)</t>
  </si>
  <si>
    <t>CAPITAL PROJECTS FUNDS (410)</t>
  </si>
  <si>
    <t>PERMANENT FUNDS (415)</t>
  </si>
  <si>
    <t>Juvenile offenders</t>
  </si>
  <si>
    <t>Rejection rate</t>
  </si>
  <si>
    <t>2.  Art, literature, and artifacts</t>
  </si>
  <si>
    <t>3c. Other intangible assets</t>
  </si>
  <si>
    <t>6.  Art, literature, and artifacts</t>
  </si>
  <si>
    <t>7. General infrastructure</t>
  </si>
  <si>
    <t>11.Other intangible assets</t>
  </si>
  <si>
    <t>906-6BC</t>
  </si>
  <si>
    <t xml:space="preserve">CAPITAL ASSET STATISTICS (220) </t>
  </si>
  <si>
    <t>PLEDGED REVENUE COVERAGE (325)</t>
  </si>
  <si>
    <t>DEBT DEFEASANCES (330)</t>
  </si>
  <si>
    <t>CONSTRUCTION AND OTHER SIGNIFICANT COMMITMENTS (350)</t>
  </si>
  <si>
    <t>BUSINESS TYPE ACTIVITIES (420)</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</si>
  <si>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</si>
  <si>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48HP</t>
  </si>
  <si>
    <t>48CW</t>
  </si>
  <si>
    <t>Caldwell Memorial Hospital</t>
  </si>
  <si>
    <t>High Point Regional</t>
  </si>
  <si>
    <t xml:space="preserve">Caldwell Memorial </t>
  </si>
  <si>
    <t xml:space="preserve">Service Concession Arrangements </t>
  </si>
  <si>
    <t xml:space="preserve">Restricted and Unrestricted Net Position - Business Type Activities </t>
  </si>
  <si>
    <t xml:space="preserve">Offline Fiduciary - Stmt of Net Position &amp; Stmt of Chgs in Net position NC 401(k)-6C </t>
  </si>
  <si>
    <t>Offline Fiduciary - Stmt of Net Position &amp; Stmt of Chgs in Net position-Combined DefComp&amp;401(k)</t>
  </si>
  <si>
    <t>Offline Proprietary Proforma - Stmt of Net Position &amp; Stmt of Revs, Exps and Chgs in Net Position and Certification of Data file for Universities</t>
  </si>
  <si>
    <t>Sue Kearney</t>
  </si>
  <si>
    <t>(919) 707-3036</t>
  </si>
  <si>
    <t>(919) 707-4219</t>
  </si>
  <si>
    <t>Anita Bunch</t>
  </si>
  <si>
    <t>(828) 231-5109</t>
  </si>
  <si>
    <t>(336) 285-3028</t>
  </si>
  <si>
    <t>Terry Dail</t>
  </si>
  <si>
    <t>(910) 343-6414</t>
  </si>
  <si>
    <t>336-506-4410</t>
  </si>
  <si>
    <t>David Holman</t>
  </si>
  <si>
    <t>910-362-7074</t>
  </si>
  <si>
    <t>919-718-7498</t>
  </si>
  <si>
    <t>Michelle Stiles</t>
  </si>
  <si>
    <t>910-938-6218</t>
  </si>
  <si>
    <t>(919) 754-2518</t>
  </si>
  <si>
    <t>Jackie McKoy</t>
  </si>
  <si>
    <t>(919) 754-2524</t>
  </si>
  <si>
    <t>Joe Belnak</t>
  </si>
  <si>
    <t>(919) 301-3436</t>
  </si>
  <si>
    <t>(704) 687-5755</t>
  </si>
  <si>
    <t>OPERATING INDICATORS BY FUNCTION (105)</t>
  </si>
  <si>
    <t>CONTINGENCIES (345)</t>
  </si>
  <si>
    <t>STEWARDSHIP, COMPLIANCE, AND ACCOUNTABILITY (425)</t>
  </si>
  <si>
    <t>Restricted Assets (365)</t>
  </si>
  <si>
    <t>Trina Warren</t>
  </si>
  <si>
    <t xml:space="preserve">       Total  deferred outflows of resources</t>
  </si>
  <si>
    <t xml:space="preserve">Deferred gain on refunding </t>
  </si>
  <si>
    <t>SCHEDULE OF INTRA-AGENCY RECEIVABLES AND PAYABLES (501)</t>
  </si>
  <si>
    <t>SCHEDULE OF INTER-AGENCY RECEIVABLES (505)</t>
  </si>
  <si>
    <t>SCHEDULE OF INTER-AGENCY PAYABLES (510)</t>
  </si>
  <si>
    <t>(919) 707-0768</t>
  </si>
  <si>
    <t>David Jamison</t>
  </si>
  <si>
    <t>(828) 262-6426</t>
  </si>
  <si>
    <t>SUBSEQUENT EVENTS / OTHER ITEMS (355)</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</si>
  <si>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</si>
  <si>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Total GASB 5100</t>
  </si>
  <si>
    <t>Total GASB 5200</t>
  </si>
  <si>
    <t>Totals</t>
  </si>
  <si>
    <t>For business-type fund activity, Capital Transactions total should tie back to worksheets 201 and 210 Prior Year Adjustments column totals.</t>
  </si>
  <si>
    <t>For business-type fund activity, Long term/short term transactions total should tie back to worksheet 310 Prior Year Adjustments column total.</t>
  </si>
  <si>
    <t>3a</t>
  </si>
  <si>
    <t>3b</t>
  </si>
  <si>
    <t>3c</t>
  </si>
  <si>
    <t>Deferred inflows-nonexchange transactions</t>
  </si>
  <si>
    <r>
      <t xml:space="preserve">Complete an individual schedule for each GASB fund that has restated </t>
    </r>
    <r>
      <rPr>
        <b/>
        <i/>
        <sz val="10"/>
        <rFont val="Arial"/>
        <family val="2"/>
      </rPr>
      <t>fund equity</t>
    </r>
    <r>
      <rPr>
        <b/>
        <sz val="10"/>
        <rFont val="Arial"/>
        <family val="2"/>
      </rPr>
      <t xml:space="preserve">.  </t>
    </r>
  </si>
  <si>
    <t xml:space="preserve">Do not complete if GASB reclass is between governmental funds.  </t>
  </si>
  <si>
    <t>Construction Commitments</t>
  </si>
  <si>
    <t>Amount of
Other Commitments</t>
  </si>
  <si>
    <t>Total Other Commitments</t>
  </si>
  <si>
    <t>on the appropriate narrative page.</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</si>
  <si>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</si>
  <si>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Deferred loss on refunding</t>
  </si>
  <si>
    <t>Agency GASB number</t>
  </si>
  <si>
    <t xml:space="preserve">905Hosp - Offline Proprietary Proforma for UNC-Health Care Reporting Unit  - Combining Stmt of Net Position &amp; 
Stmt of Revenues, Expenses and Changes in Net Position </t>
  </si>
  <si>
    <t>**</t>
  </si>
  <si>
    <t>**Code in column A is OSC WTB code - for OSC use</t>
  </si>
  <si>
    <r>
      <rPr>
        <b/>
        <u/>
        <sz val="9.75"/>
        <rFont val="Arial"/>
        <family val="2"/>
      </rPr>
      <t>Note</t>
    </r>
    <r>
      <rPr>
        <sz val="9.75"/>
        <rFont val="Arial"/>
        <family val="2"/>
      </rPr>
      <t>: GASB Standards require most investments to be reported at fair value but permit or require cost-based</t>
    </r>
  </si>
  <si>
    <t>Final</t>
  </si>
  <si>
    <t>Payment</t>
  </si>
  <si>
    <t>List method for amortizing premiums/discounts on long-term debt and deferred charges on refundings</t>
  </si>
  <si>
    <t>(e.g., straight-line, effective interest, proportionate-to-stated interest requirements).</t>
  </si>
  <si>
    <t>Government Wide - Debt Issuances (370)</t>
  </si>
  <si>
    <t>ANALYSIS OF UNAVAILABLE REVENUES (620)</t>
  </si>
  <si>
    <t>Analysis of Unavailable Revenues</t>
  </si>
  <si>
    <t>Complete the following information only for Deferred Inflows that are for unavailable revenues in the current period (Account 218120).</t>
  </si>
  <si>
    <t>CUSTODIAL CREDIT RISK - DEPOSITS (705)</t>
  </si>
  <si>
    <t>CUSTODIAL CREDIT RISK - INVESTMENTS (710)</t>
  </si>
  <si>
    <t>CUSTODIAL CREDIT RISK - DEPOSITS (715)</t>
  </si>
  <si>
    <t>INTEREST RATE RISK (720)</t>
  </si>
  <si>
    <t>ADDITIONAL LEVEL OF DETAIL (730)</t>
  </si>
  <si>
    <t>CONCENTRATION OF CREDIT RISK (735)</t>
  </si>
  <si>
    <t>Investments Held Outside the State Treasurer - Foreign Currency</t>
  </si>
  <si>
    <t>FOREIGN CURRENCY (740)</t>
  </si>
  <si>
    <t>A.  Foreign Currency Risk</t>
  </si>
  <si>
    <t>B.  Foreign Currency Transactions</t>
  </si>
  <si>
    <t>Total Amount</t>
  </si>
  <si>
    <t xml:space="preserve">Transaction gains or losses result from a change in exchange rates between the U.S. dollar and the currency in which a foreign currency transaction is </t>
  </si>
  <si>
    <t xml:space="preserve">2.  Provide the total amount of unsettled foreign currency transaction balances at year-end.  </t>
  </si>
  <si>
    <t>DEPOSIT AND INVESTMENT POLICIES (745)</t>
  </si>
  <si>
    <t xml:space="preserve">                                  CREDIT RISK (725)</t>
  </si>
  <si>
    <t xml:space="preserve">GASB Statement 70 provides new recognition, measurement, and disclosure guidance for state and local </t>
  </si>
  <si>
    <t>governments that extend or receive nonexchange financial guarantees.</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</si>
  <si>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</si>
  <si>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</si>
  <si>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</si>
  <si>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Nonexchange financial guarantees that meet certain recognition and measurement requirements should be </t>
  </si>
  <si>
    <t>reported in the financial statements.</t>
  </si>
  <si>
    <t>For more information on GASB 70, refer to the GASB Resources link on OSC's homepage (or see link below).</t>
  </si>
  <si>
    <t>Financial Reporting Update GASB 70</t>
  </si>
  <si>
    <t>Has your agency/university been a party to any nonexchange financial guarantees during the year?</t>
  </si>
  <si>
    <t>GASB Statement 70 requires certain disclosures for both the guarantor government and issuer government.</t>
  </si>
  <si>
    <t>Nonexchange Financial Guarantees</t>
  </si>
  <si>
    <t>Revenue Allocation:</t>
  </si>
  <si>
    <t>This question is to help when making government-wide entry needed per GASB 34.</t>
  </si>
  <si>
    <t>NONEXCHANGE FINANCIAL GUARANTEES (338)</t>
  </si>
  <si>
    <t>Savings accounts, NOW accounts, money market accounts, pooled cash accounts (AOC only)</t>
  </si>
  <si>
    <t>Total investments held outside the State Treasurer (Worksheet 710)</t>
  </si>
  <si>
    <t>Less: Certificates of deposit (Worksheet 710)</t>
  </si>
  <si>
    <t>Total investments does not equal Total per CAFR 11G/11P/11F.</t>
  </si>
  <si>
    <t>Gina Knight</t>
  </si>
  <si>
    <t>(252) 335-4822</t>
  </si>
  <si>
    <t>Note:  If a proprietary fund has a prior year adjustment, the adjustment must be reported on the 430BTA Restatements worksheet and reflected in the financial statements as a restatement.</t>
  </si>
  <si>
    <t xml:space="preserve">Note:  If a proprietary fund has a prior year adjustment, the adjustment must be reported on the 430BTA Restatements worksheet and reflected in the financial statements as a restatement.  </t>
  </si>
  <si>
    <t>UNIVERSITY OPTIONAL RETIREMENT PROGRAM (605)</t>
  </si>
  <si>
    <t>Laketha Miller</t>
  </si>
  <si>
    <t>(919) 855-3700</t>
  </si>
  <si>
    <t>01</t>
  </si>
  <si>
    <t>02</t>
  </si>
  <si>
    <t>04</t>
  </si>
  <si>
    <t>05</t>
  </si>
  <si>
    <t>06</t>
  </si>
  <si>
    <t>07</t>
  </si>
  <si>
    <t>08</t>
  </si>
  <si>
    <t>09</t>
  </si>
  <si>
    <t>10</t>
  </si>
  <si>
    <t>11</t>
  </si>
  <si>
    <t>12</t>
  </si>
  <si>
    <t>14</t>
  </si>
  <si>
    <t>15</t>
  </si>
  <si>
    <t>16</t>
  </si>
  <si>
    <t>17</t>
  </si>
  <si>
    <t>43</t>
  </si>
  <si>
    <t>45</t>
  </si>
  <si>
    <t>46</t>
  </si>
  <si>
    <t>50</t>
  </si>
  <si>
    <t>60</t>
  </si>
  <si>
    <t>67</t>
  </si>
  <si>
    <t>8a. NC Toll Road System</t>
  </si>
  <si>
    <t xml:space="preserve">8a. NC Toll Road System </t>
  </si>
  <si>
    <t>* GASB 14XX is Capital Outlay function</t>
  </si>
  <si>
    <r>
      <t>Separate analysis required</t>
    </r>
    <r>
      <rPr>
        <b/>
        <sz val="10"/>
        <rFont val="MS Sans Serif"/>
        <family val="2"/>
      </rPr>
      <t>**</t>
    </r>
  </si>
  <si>
    <r>
      <t>1599</t>
    </r>
    <r>
      <rPr>
        <b/>
        <sz val="10"/>
        <rFont val="MS Sans Serif"/>
        <family val="2"/>
      </rPr>
      <t>*</t>
    </r>
  </si>
  <si>
    <t>Capital Outlay</t>
  </si>
  <si>
    <t>076</t>
  </si>
  <si>
    <t>077</t>
  </si>
  <si>
    <t>** Analysis of accounts needed to determine functionality</t>
  </si>
  <si>
    <t>035</t>
  </si>
  <si>
    <t>Amy Penson</t>
  </si>
  <si>
    <t>LaTasha Moore</t>
  </si>
  <si>
    <t>919-209-2070</t>
  </si>
  <si>
    <t>Debbie Cashwell</t>
  </si>
  <si>
    <t>910-410-1803</t>
  </si>
  <si>
    <t>Lettie Navarrete</t>
  </si>
  <si>
    <t>910-272-3552</t>
  </si>
  <si>
    <t>336-342-4261 x2186</t>
  </si>
  <si>
    <t>704-216-7235</t>
  </si>
  <si>
    <t>Kelly Jackson</t>
  </si>
  <si>
    <t>Karen Polyasko</t>
  </si>
  <si>
    <t>Leah Englebright</t>
  </si>
  <si>
    <t>Marla Tart</t>
  </si>
  <si>
    <t>Annette Woodard</t>
  </si>
  <si>
    <t>Jessica Jones</t>
  </si>
  <si>
    <t>Larna Griffin</t>
  </si>
  <si>
    <t>919-248-4698</t>
  </si>
  <si>
    <t>John House</t>
  </si>
  <si>
    <t>919-829-8132</t>
  </si>
  <si>
    <t>919-954-7601</t>
  </si>
  <si>
    <t>Joan Fontes</t>
  </si>
  <si>
    <t>Toll revenues</t>
  </si>
  <si>
    <t xml:space="preserve">Notes: This worksheet is only for Deferred Comp, so NA for all others. </t>
  </si>
  <si>
    <t xml:space="preserve">   Change in net position</t>
  </si>
  <si>
    <t>High Point</t>
  </si>
  <si>
    <t>Regional</t>
  </si>
  <si>
    <t>Caldwell</t>
  </si>
  <si>
    <t>Memorial</t>
  </si>
  <si>
    <t>Stmnt of Changes in Fid Net Position verification</t>
  </si>
  <si>
    <t>Net position — July 1</t>
  </si>
  <si>
    <t>Net position — June 30</t>
  </si>
  <si>
    <t>Prior year 906- Offline Fiduciary Proforma for 401(k) and Deferred Compensation Plans
Stmt of Plan Net Position &amp; Stmt of Changes in Plan Net Position
To populate prior year balances on 906 and 911 worksheeets</t>
  </si>
  <si>
    <t>Prepaid Items</t>
  </si>
  <si>
    <t>Total Deferred Outflows of Resources</t>
  </si>
  <si>
    <t xml:space="preserve">Supplies and materials </t>
  </si>
  <si>
    <t>SUMMARY OF SIGNIFICANT ACCOUNTING POLICIES (101)</t>
  </si>
  <si>
    <t>CAPITAL ASSET IMPAIRMENTS (215)</t>
  </si>
  <si>
    <t>Derivative Instruments (340)</t>
  </si>
  <si>
    <t>Hedging Derivative Instruments (341)</t>
  </si>
  <si>
    <t>Investment Derivative Instruments (342)</t>
  </si>
  <si>
    <t>GASB Statement No. 42 requires certain disclosures about an agency's impaired capital assets. The required</t>
  </si>
  <si>
    <t xml:space="preserve">Other revenues </t>
  </si>
  <si>
    <t>430G</t>
  </si>
  <si>
    <t>430BTA</t>
  </si>
  <si>
    <t xml:space="preserve"> RECEIVABLES (570)</t>
  </si>
  <si>
    <t>Part 1 of 2 for Fund Equity Restatements</t>
  </si>
  <si>
    <r>
      <t>RESTATEMENTS GOVERNMENTAL FUNDS</t>
    </r>
    <r>
      <rPr>
        <b/>
        <sz val="11"/>
        <rFont val="Arial"/>
        <family val="2"/>
      </rPr>
      <t xml:space="preserve"> (430G)</t>
    </r>
  </si>
  <si>
    <r>
      <t xml:space="preserve">RESTATEMENTS Business Type Activities </t>
    </r>
    <r>
      <rPr>
        <b/>
        <sz val="11"/>
        <rFont val="Arial"/>
        <family val="2"/>
      </rPr>
      <t>(430BTA)</t>
    </r>
  </si>
  <si>
    <t>Agrees to page 710</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</si>
  <si>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</si>
  <si>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 xml:space="preserve">Notes: This worksheet is only for 401(k) , so NA for all others. </t>
  </si>
  <si>
    <t>Unavailable</t>
  </si>
  <si>
    <t>Revenues Earned</t>
  </si>
  <si>
    <t>in Current Year</t>
  </si>
  <si>
    <t>In Unavailable</t>
  </si>
  <si>
    <t>amount is not included in the current year unavailable revenue balance.</t>
  </si>
  <si>
    <t>Narrative NA for component units</t>
  </si>
  <si>
    <t>State appropriations(for CUs only)</t>
  </si>
  <si>
    <t>SIGNIFICANT TRANSACTIONS BETWEEN COMPONENT UNITS (610)</t>
  </si>
  <si>
    <t>(2) Other significant transactions ($10 million threshold) with other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</si>
  <si>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</si>
  <si>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Aggregate Gain or Loss</t>
  </si>
  <si>
    <t xml:space="preserve">1.  Provide the aggregate amount of foreign currency transaction gains or losses recognized in the period.  Specify gain or loss by entering gains as </t>
  </si>
  <si>
    <t>Governmental Funds Only; NA Dept. of State Treasurer Statewide Debt</t>
  </si>
  <si>
    <t>All component units must complete this worksheet - it cannot be marked NA for component units.</t>
  </si>
  <si>
    <t>Significant Transactions Between Component Units (required worksheet for all component units)</t>
  </si>
  <si>
    <t>112243 EXTERNAL FIXED INCOME INVESTMENT</t>
  </si>
  <si>
    <t>NEW ACCT FOR FY 2013-2014</t>
  </si>
  <si>
    <t>112287 ALLOWANCE - FAIR VALUE OF EXTERNAL FIXED INCOME INVESTMENT</t>
  </si>
  <si>
    <t>Prepaid Items -Noncurrent</t>
  </si>
  <si>
    <t>129200 UNAMORTIZED DREDGING</t>
  </si>
  <si>
    <t>Account title changed FY2014</t>
  </si>
  <si>
    <t xml:space="preserve">  Deferred loss on refunding</t>
  </si>
  <si>
    <t>New caption FY 2013-14</t>
  </si>
  <si>
    <t>129702 DEF LOSS ON REFUNDING BOND</t>
  </si>
  <si>
    <t>New account FY 2013-14</t>
  </si>
  <si>
    <t xml:space="preserve">  Deferred outflows - Other</t>
  </si>
  <si>
    <t>129703 OTH DEF OUTFLOW OF RESRCS</t>
  </si>
  <si>
    <t>Moved to Invalid FY 2014</t>
  </si>
  <si>
    <t>Moved in FY 2013-14</t>
  </si>
  <si>
    <t>211122 PRIZE LIABILITY - ROLLOVER</t>
  </si>
  <si>
    <t xml:space="preserve">216103 GRANT ANTICIPATION REVENUE BONDS PAYABLE-CURRENT </t>
  </si>
  <si>
    <t>218110 UNEARNED REVENUE</t>
  </si>
  <si>
    <t xml:space="preserve">   Death benefit payable</t>
  </si>
  <si>
    <t>221500 DEATH BEN PAYABLE</t>
  </si>
  <si>
    <t>Account title updated FY 2014</t>
  </si>
  <si>
    <t>229201 ACCUM INCR FV HEDG DERIV</t>
  </si>
  <si>
    <t>229202 SCA REV APPLIC FUTURE YRS</t>
  </si>
  <si>
    <t xml:space="preserve">  Deferred Gain on refunding</t>
  </si>
  <si>
    <t>New caption for FY 2013-14</t>
  </si>
  <si>
    <t>229203 DEF GAIN ON REFUNDNG BOND</t>
  </si>
  <si>
    <t>New account for  FY 2013-14</t>
  </si>
  <si>
    <t xml:space="preserve">  Deferred inflows - nonexchange transactions</t>
  </si>
  <si>
    <t>229204 DEF INFLOW-NONEXCH TXNS</t>
  </si>
  <si>
    <t>New account for FY 2013-14</t>
  </si>
  <si>
    <t xml:space="preserve">  Deferred inflows - other</t>
  </si>
  <si>
    <t>229205 OTH DEF INFLOW OF RESRCS</t>
  </si>
  <si>
    <t>Moved for FY 2013-14</t>
  </si>
  <si>
    <t>435500005 FEED TAX</t>
  </si>
  <si>
    <t xml:space="preserve"> Moved from Fees, licenses and fines in FY 2012-2013</t>
  </si>
  <si>
    <t>435500006 FERTILIZER TAX</t>
  </si>
  <si>
    <t>435500007 LIME TAX</t>
  </si>
  <si>
    <t>435500008 SEED TAX</t>
  </si>
  <si>
    <t>435500031 FOREST PRODUCTION ASSESSMENT</t>
  </si>
  <si>
    <t>435500118 911 FEE</t>
  </si>
  <si>
    <t>New for FY 2012-13</t>
  </si>
  <si>
    <t>531572 UNEMP COMP PAYMNTS TO DES</t>
  </si>
  <si>
    <t>TITLE UPDATED FY 2013-14</t>
  </si>
  <si>
    <t>531577 UNEMPLOYMENT INSURANCE 1% PAYMENT TO DIVISION OF EMPLOYMENT SECURITY</t>
  </si>
  <si>
    <t>NEW ACCT FOR FY 2013-14</t>
  </si>
  <si>
    <t xml:space="preserve">   .534XXX Capital outlay (Accounts 534XXX. 534522 and 534710 are invalid accounts)</t>
  </si>
  <si>
    <t xml:space="preserve"> (moved from Other to be under supplies and materials in FY 2013)</t>
  </si>
  <si>
    <t>532140 OTH INFORMATION TECH SVCS</t>
  </si>
  <si>
    <t>Revised title FY 2013-14</t>
  </si>
  <si>
    <t>532145 MANAGE SERVER SUPPORT SVC</t>
  </si>
  <si>
    <t>532148 APPLICATION DEVELOPMENT</t>
  </si>
  <si>
    <t>532149 IT PROJ MGMT ANLSIS SVCS</t>
  </si>
  <si>
    <t>532823 AUTHENTIC &amp; AUTHORIZ SVCS</t>
  </si>
  <si>
    <t>532824 MANAGED SERVER SVCS</t>
  </si>
  <si>
    <t>532825 MANAGED WAN SVCS</t>
  </si>
  <si>
    <t>532826 SOFTWARE SUBSCRIPTIONS</t>
  </si>
  <si>
    <t>532827 ELECTRONIC SERVICES</t>
  </si>
  <si>
    <t>532828 MANAGED DESKTOP SVCS</t>
  </si>
  <si>
    <t>See below. Exceptions are 435811 and 435829 which are invalid</t>
  </si>
  <si>
    <t>See below. Accts 435XXX except for 4358XX, 435500005 to 435500008,435500031, 435500118, 435590, 435710, 435711 and  435900064.</t>
  </si>
  <si>
    <t>Compensated absences (Gen. Assembly only)</t>
  </si>
  <si>
    <t>NA for Primary Gov agencies – for Component units only</t>
  </si>
  <si>
    <t>Number of employees participating in the program</t>
  </si>
  <si>
    <t xml:space="preserve">Chatham </t>
  </si>
  <si>
    <t>Physicians Ntwrk</t>
  </si>
  <si>
    <t>Total deferred outflows of resources</t>
  </si>
  <si>
    <t>Deferred gain on refunding</t>
  </si>
  <si>
    <t>Workers compensation-current (ws 310)</t>
  </si>
  <si>
    <t>Workers compensation (ws 310)</t>
  </si>
  <si>
    <t>Workers compensation - current</t>
  </si>
  <si>
    <t>Oblig for Workers Comp</t>
  </si>
  <si>
    <t xml:space="preserve">  Fed unemploy acct advances- current</t>
  </si>
  <si>
    <t>Obligation for Workers comp - Current *</t>
  </si>
  <si>
    <t>Restatements Governmental Funds (Part 1 of 2)</t>
  </si>
  <si>
    <t>Restatements Business Type Activities (Part 1 of 2)</t>
  </si>
  <si>
    <t>Fund Balance Classifications Special Revenue Funds</t>
  </si>
  <si>
    <t>Fund Balance Classifications General Fund</t>
  </si>
  <si>
    <t>Fund Balance Classifications Capital Projects Funds</t>
  </si>
  <si>
    <t>Fund Balance Classifications Permanent Funds</t>
  </si>
  <si>
    <t>NetPosition</t>
  </si>
  <si>
    <t>NetPosition and GASB Table for worksheets 905 &amp; 906</t>
  </si>
  <si>
    <t>AllAgencies</t>
  </si>
  <si>
    <t>SERVICE CONCESSION ARRANGEMENTS (110)</t>
  </si>
  <si>
    <t>Offline Fiduciary Analytical Review for  NC 401(k)  - Computed Variances - 911-6C</t>
  </si>
  <si>
    <t>Offline Fiduciary Analytical Review for Deferred Comp  - Computed Variances - 911-6B</t>
  </si>
  <si>
    <t>Death benefit payable</t>
  </si>
  <si>
    <r>
      <t xml:space="preserve">If </t>
    </r>
    <r>
      <rPr>
        <b/>
        <u/>
        <sz val="11"/>
        <color indexed="8"/>
        <rFont val="Calibri"/>
        <family val="2"/>
      </rPr>
      <t>revenue</t>
    </r>
    <r>
      <rPr>
        <sz val="11"/>
        <color indexed="8"/>
        <rFont val="Calibri"/>
        <family val="2"/>
      </rPr>
      <t xml:space="preserve"> is collected in this fund, how much is a contribution to the principal?</t>
    </r>
  </si>
  <si>
    <t>Prior Yr 906 worksheet - Stmt of Plan Net Position  &amp; Stmnt of Changes in PNP for Variances 911 ws</t>
  </si>
  <si>
    <t>Combination hunting/fishing licenses sold</t>
  </si>
  <si>
    <t>GASB Statement 69 establishes accounting and financial reporting standards related to government</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</si>
  <si>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</si>
  <si>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</si>
  <si>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significant consideration.</t>
  </si>
  <si>
    <t>Government acquisitions are transactions in which a government acquires another entitiy,</t>
  </si>
  <si>
    <t>or its operations, in exchange for significant consideration.</t>
  </si>
  <si>
    <t>Immaterial gain on refunding written off in current period</t>
  </si>
  <si>
    <t>RECONCILIATION OF DEFERRED LOSS ON REFUNDING:</t>
  </si>
  <si>
    <t>Beginning balance</t>
  </si>
  <si>
    <t>Additions (should agree with amount above)</t>
  </si>
  <si>
    <t>Deletions (enter as negative)</t>
  </si>
  <si>
    <t>Ending Balance (should agree with account # 129702)</t>
  </si>
  <si>
    <t>(Note to Preparer: The attached narratives should not include disclosures for debt defeased in prior years.)</t>
  </si>
  <si>
    <t>(Note: Old debt premium/discount above refers to amounts actually booked.)</t>
  </si>
  <si>
    <r>
      <t>(b)  Less: Accumulated depreciation (</t>
    </r>
    <r>
      <rPr>
        <i/>
        <sz val="10"/>
        <rFont val="Arial"/>
        <family val="2"/>
      </rPr>
      <t>Proprietary funds only</t>
    </r>
    <r>
      <rPr>
        <sz val="10"/>
        <rFont val="Arial"/>
        <family val="2"/>
      </rPr>
      <t>) (enter as negative).</t>
    </r>
  </si>
  <si>
    <t>Issuance discounts</t>
  </si>
  <si>
    <t>Issuance premium</t>
  </si>
  <si>
    <t>GOVERNMENT COMBINATIONS AND DISPOSALS OF GOVERNMENT OPERATIONS (120)</t>
  </si>
  <si>
    <t xml:space="preserve">  Other employee benefits</t>
  </si>
  <si>
    <t xml:space="preserve">  Pension benefits</t>
  </si>
  <si>
    <t>See below. Caption title changed FY 2014</t>
  </si>
  <si>
    <t>See below. New Caption FY 2013-14</t>
  </si>
  <si>
    <t>See below. Caption title updated FY 2014</t>
  </si>
  <si>
    <t>updated for 2014 on 1/15/15 dkd</t>
  </si>
  <si>
    <t>Net pension liability</t>
  </si>
  <si>
    <t>Visitation to state parks</t>
  </si>
  <si>
    <t>Visitation to state aquariums</t>
  </si>
  <si>
    <t>A. – Prior Year Defeasance of Debt</t>
  </si>
  <si>
    <t>B. – Current Year Defeasances</t>
  </si>
  <si>
    <r>
      <t xml:space="preserve">Deferred loss on refunding – Additions </t>
    </r>
    <r>
      <rPr>
        <sz val="10"/>
        <rFont val="Arial"/>
        <family val="2"/>
      </rPr>
      <t>(should agree with amount below)</t>
    </r>
  </si>
  <si>
    <t>Higher education student aid</t>
  </si>
  <si>
    <t>Highway construction/preservation</t>
  </si>
  <si>
    <t>Highway maintenance</t>
  </si>
  <si>
    <t>Capital projects/repairs and renovations</t>
  </si>
  <si>
    <r>
      <rPr>
        <b/>
        <sz val="10"/>
        <rFont val="Arial"/>
        <family val="2"/>
      </rPr>
      <t>NOTE:</t>
    </r>
    <r>
      <rPr>
        <sz val="10"/>
        <rFont val="Arial"/>
        <family val="2"/>
      </rPr>
      <t xml:space="preserve"> Outstanding encumbrances (excluding those for capital improvements) or purchase orders are</t>
    </r>
  </si>
  <si>
    <t>not considered to be commitments.</t>
  </si>
  <si>
    <t>NC OSC Policy 102.13</t>
  </si>
  <si>
    <t>ZM</t>
  </si>
  <si>
    <t>disaster, mold remediation, and asbestos removal.</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</si>
  <si>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</si>
  <si>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</si>
  <si>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r>
      <t>Other</t>
    </r>
    <r>
      <rPr>
        <sz val="8"/>
        <rFont val="Arial Narrow"/>
        <family val="2"/>
      </rPr>
      <t xml:space="preserve"> (Call OSC/describe in Explanations tab)</t>
    </r>
  </si>
  <si>
    <r>
      <t xml:space="preserve">Other </t>
    </r>
    <r>
      <rPr>
        <sz val="9"/>
        <rFont val="Arial Narrow"/>
        <family val="2"/>
      </rPr>
      <t>(Call OSC/describe in Explanations tab)</t>
    </r>
  </si>
  <si>
    <t>Economic Development Partnership of NC</t>
  </si>
  <si>
    <t>New in 2015</t>
  </si>
  <si>
    <t>Deferred outflows for pensions</t>
  </si>
  <si>
    <t>Compensated absences-current (ws 310)</t>
  </si>
  <si>
    <t>Net pension liability-current (ws 310)</t>
  </si>
  <si>
    <t>Compensated absences (ws 310)</t>
  </si>
  <si>
    <t>Net pension liability (ws 310)</t>
  </si>
  <si>
    <t>Deferred inflows for pensions</t>
  </si>
  <si>
    <t>Deferred state aid</t>
  </si>
  <si>
    <t>Excess consideration provided for acquisition</t>
  </si>
  <si>
    <t xml:space="preserve">Compensated absences-current </t>
  </si>
  <si>
    <t xml:space="preserve">Compensated absences </t>
  </si>
  <si>
    <t xml:space="preserve">Net pension liability </t>
  </si>
  <si>
    <t>Compensated absences - current</t>
  </si>
  <si>
    <t>Disaster relief (OSC only)</t>
  </si>
  <si>
    <t>Financial Reporting Update for GASB 69</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</si>
  <si>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</si>
  <si>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</si>
  <si>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</si>
  <si>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(Indicate with an "X")</t>
  </si>
  <si>
    <t>Government merger</t>
  </si>
  <si>
    <t>Government acquisition</t>
  </si>
  <si>
    <t>Transfer of operations</t>
  </si>
  <si>
    <t>combinations and disposals of government operations. Additional guidance is included as follows:</t>
  </si>
  <si>
    <t>2) Condensed Statement of Net Position</t>
  </si>
  <si>
    <t>Total deferred inflows</t>
  </si>
  <si>
    <t>Mary Jane Westphal</t>
  </si>
  <si>
    <t>(252)523-1351x303</t>
  </si>
  <si>
    <t>Kathy Burckley</t>
  </si>
  <si>
    <t>Lori Oldham</t>
  </si>
  <si>
    <t>Please scroll down to see instructions.</t>
  </si>
  <si>
    <t>Revenue bonds which are pledged by general revenues should be excluded.</t>
  </si>
  <si>
    <t>Select type of debt from drop-down box. A separate worksheet is required for each type of debt.</t>
  </si>
  <si>
    <t>Row D (Net Revenue Available for Debt Service) should equal  Y (Net Revenue Available) on the narrative worksheet 326.</t>
  </si>
  <si>
    <t>Row E (Principal) plus Row F (Interest) should equal X ( Principal plus Interest) on the narrative worksheet 326.</t>
  </si>
  <si>
    <t xml:space="preserve">For Universities,  Row D (Net available Revenue), Row E (Principal) Plus Row F (Interest) for this year should equal </t>
  </si>
  <si>
    <t>Pledged Revenue Coverage (325) - Continue scrolling down for additional instructions.</t>
  </si>
  <si>
    <t>Tommy Clark</t>
  </si>
  <si>
    <t>(252)523-1351x316</t>
  </si>
  <si>
    <t>113450 ALLOWANCE -INTERGOVT REC</t>
  </si>
  <si>
    <t xml:space="preserve">  Forward funded state aid</t>
  </si>
  <si>
    <t>129704 Forward funded state aid</t>
  </si>
  <si>
    <t xml:space="preserve">112205 POOL INV-ST INVESTMT POOL </t>
  </si>
  <si>
    <t>New for  FY15. For State Treasurer use only</t>
  </si>
  <si>
    <t>Accrued Interest Payable</t>
  </si>
  <si>
    <t>226220 ACCRUED INTEREST PAYABLE</t>
  </si>
  <si>
    <t>NEW ACCT for FY 2014-15</t>
  </si>
  <si>
    <t xml:space="preserve">  Deferred State aid</t>
  </si>
  <si>
    <t>229206 Deferred state aid</t>
  </si>
  <si>
    <t>Moved from Other Services FY 2015</t>
  </si>
  <si>
    <t>531570 NO STATEWIDE DESC FOUND</t>
  </si>
  <si>
    <t>acct has not been set up in NCAS as of 7/1/14</t>
  </si>
  <si>
    <t>437997 SETTLEMENTS</t>
  </si>
  <si>
    <t>NEW FY 2014-15</t>
  </si>
  <si>
    <t>Foreign Currency Denomination</t>
  </si>
  <si>
    <t>Other limited partnerships</t>
  </si>
  <si>
    <t>IN410</t>
  </si>
  <si>
    <t>NSIRR330</t>
  </si>
  <si>
    <t xml:space="preserve">Government mergers include combinations of legally separate entities without the exchange of </t>
  </si>
  <si>
    <t>NA - Proprietary Funds and Component Units</t>
  </si>
  <si>
    <t>1398</t>
  </si>
  <si>
    <t>1330</t>
  </si>
  <si>
    <t>1357</t>
  </si>
  <si>
    <t xml:space="preserve">  Excess consideration provided for acqusition</t>
  </si>
  <si>
    <t>New caption FY 2014-15</t>
  </si>
  <si>
    <t>129705 Excss cons prov for aqstn</t>
  </si>
  <si>
    <t>New account FY 2014-15</t>
  </si>
  <si>
    <t>Christine Jumalon</t>
  </si>
  <si>
    <t>(910) 672-1163</t>
  </si>
  <si>
    <t xml:space="preserve">    Deferred outflows for Pensions</t>
  </si>
  <si>
    <t>129710 Def outflows for Pensions</t>
  </si>
  <si>
    <t>229150 Net pension liab - Noncur</t>
  </si>
  <si>
    <t>New account for FY 2014-15</t>
  </si>
  <si>
    <t xml:space="preserve">  Deferred Inflows for Pensions</t>
  </si>
  <si>
    <t>New caption for FY 2014-15</t>
  </si>
  <si>
    <t>229210 Def inflows for Pensions</t>
  </si>
  <si>
    <t>Select Function/Purpose (Click here)</t>
  </si>
  <si>
    <t>(Note: The Department of State Treasurer should include all investments)</t>
  </si>
  <si>
    <t>Government Combinations and Disposals of Government Operations</t>
  </si>
  <si>
    <t>Higher Education - Student aid</t>
  </si>
  <si>
    <t>Provide explanations for significant changes from the prior year at the bottom of this worksheet.</t>
  </si>
  <si>
    <t>Significant Change Explanations (if need additional space, use Explanations tab):</t>
  </si>
  <si>
    <t>(Losses should be negative)</t>
  </si>
  <si>
    <t>531595 PENSION EXPENSE</t>
  </si>
  <si>
    <t>NEW FOR FY 2014-2015</t>
  </si>
  <si>
    <t>Other deferred outflows</t>
  </si>
  <si>
    <t>Other deferred inflows</t>
  </si>
  <si>
    <t>Net pension liabiilty - current</t>
  </si>
  <si>
    <t>(1) Employer's share of medical insurance premiums paid to State Health Plan</t>
  </si>
  <si>
    <t xml:space="preserve">      (enter as negative).</t>
  </si>
  <si>
    <t>Amount of pension expense recognized during the reporting period</t>
  </si>
  <si>
    <t xml:space="preserve">Amount of forfeitures reflected in pension expense recognized during the </t>
  </si>
  <si>
    <t>reporting period</t>
  </si>
  <si>
    <t>Thresholds:</t>
  </si>
  <si>
    <t>Percent change</t>
  </si>
  <si>
    <t>Offline Computed Variances  - 910</t>
  </si>
  <si>
    <t>$ value of change</t>
  </si>
  <si>
    <t>From the 905 for Analytical Review ws 625</t>
  </si>
  <si>
    <t>Number of comments</t>
  </si>
  <si>
    <t>For ws 625</t>
  </si>
  <si>
    <t>C=Comment</t>
  </si>
  <si>
    <t>Review</t>
  </si>
  <si>
    <t>Net Position for</t>
  </si>
  <si>
    <t>reasonableness</t>
  </si>
  <si>
    <t>Review net position changes and classifications for reasonableness</t>
  </si>
  <si>
    <r>
      <rPr>
        <b/>
        <u/>
        <sz val="8"/>
        <rFont val="Arial"/>
        <family val="2"/>
      </rPr>
      <t>SNP</t>
    </r>
    <r>
      <rPr>
        <b/>
        <sz val="8"/>
        <rFont val="Arial"/>
        <family val="2"/>
      </rPr>
      <t xml:space="preserve"> - ASSETS</t>
    </r>
  </si>
  <si>
    <t xml:space="preserve">Accumulated decr in fair value of hedging derivative </t>
  </si>
  <si>
    <t xml:space="preserve">Accumulated incr in fair value of hedging derivative </t>
  </si>
  <si>
    <t xml:space="preserve">Serv concess arrangmt rev applicable to future yrs </t>
  </si>
  <si>
    <t>Offline Computed Variances  - 910Hosp
For 48X UNC Health Care Combined Pkg; NA for others</t>
  </si>
  <si>
    <t>Bonds and similar debt payable:</t>
  </si>
  <si>
    <t>216106 LIMITED OBLIGATION BONDS PAYABLE - CURRENT</t>
  </si>
  <si>
    <t>Restricted due from Prim Gov</t>
  </si>
  <si>
    <t>437985 OTHER MISC REVENUE-GRANT RELATED PROGRAM REVENUE</t>
  </si>
  <si>
    <t>NEW FOR FY 2014-15</t>
  </si>
  <si>
    <t xml:space="preserve">                                                               Office of the State Controller                                                                </t>
  </si>
  <si>
    <t>431G</t>
  </si>
  <si>
    <t>431BTA</t>
  </si>
  <si>
    <t>RESTATEMENTS GOVERNMENTAL FUNDS (431G)</t>
  </si>
  <si>
    <t>RESTATEMENTS BTA's (431BTA)</t>
  </si>
  <si>
    <t>as Restated</t>
  </si>
  <si>
    <t>Deferred Outflows of Resources</t>
  </si>
  <si>
    <t>Deferred Inflows of Resources</t>
  </si>
  <si>
    <t>Program Revenues</t>
  </si>
  <si>
    <t>General Revenues</t>
  </si>
  <si>
    <t xml:space="preserve">    Charges for services</t>
  </si>
  <si>
    <t xml:space="preserve">    Operating Grants &amp; Contributions</t>
  </si>
  <si>
    <t xml:space="preserve">    Capital Grants &amp; Contributions</t>
  </si>
  <si>
    <t xml:space="preserve">    Miscellaneous</t>
  </si>
  <si>
    <t>Total Revenues</t>
  </si>
  <si>
    <t>Unemployment Comp Fund</t>
  </si>
  <si>
    <t>NC State Lottery</t>
  </si>
  <si>
    <t>EPA Revolving Loan</t>
  </si>
  <si>
    <t>NC Turnpike Authority</t>
  </si>
  <si>
    <t>Regulatory Programs</t>
  </si>
  <si>
    <t>Insurance Programs</t>
  </si>
  <si>
    <t>NC State Fair</t>
  </si>
  <si>
    <t>Other business-type Activities</t>
  </si>
  <si>
    <t>Net Position (beginning restated)</t>
  </si>
  <si>
    <t>8a</t>
  </si>
  <si>
    <t>Clean water grants/loans and other cost reimbursement grants</t>
  </si>
  <si>
    <r>
      <t xml:space="preserve">is a </t>
    </r>
    <r>
      <rPr>
        <b/>
        <u/>
        <sz val="10"/>
        <rFont val="Arial"/>
        <family val="2"/>
      </rPr>
      <t>long-term</t>
    </r>
    <r>
      <rPr>
        <sz val="10"/>
        <rFont val="Arial"/>
        <family val="2"/>
      </rPr>
      <t xml:space="preserve"> contractual obligation with suppliers for future purchases at specified prices and sometimes</t>
    </r>
  </si>
  <si>
    <t>contracts are the most common example of a commitment.  Other examples of commitments are cost</t>
  </si>
  <si>
    <t>reimbursement grants/loans, software in development contracts, and supply contracts.  A supply contract</t>
  </si>
  <si>
    <t>of grant/loan commitments would be Clean Water grants/loans and 911 cost reimbursement grants.</t>
  </si>
  <si>
    <t>at specified quantities.  A common supply contract is an utility fuel purchase contract.  Common examples</t>
  </si>
  <si>
    <t xml:space="preserve">Restricted </t>
  </si>
  <si>
    <t xml:space="preserve">Unrestricted </t>
  </si>
  <si>
    <t xml:space="preserve">Balance Sheet Change </t>
  </si>
  <si>
    <t>Operating Statement Change</t>
  </si>
  <si>
    <t>Total Expenditures</t>
  </si>
  <si>
    <t>Taxes</t>
  </si>
  <si>
    <t xml:space="preserve">   Individual Income Tax</t>
  </si>
  <si>
    <t xml:space="preserve">   Corporate Tax</t>
  </si>
  <si>
    <t xml:space="preserve">   Sales and Use Tax</t>
  </si>
  <si>
    <t xml:space="preserve">   Gasoline Tax</t>
  </si>
  <si>
    <t xml:space="preserve">   Franchise Tax</t>
  </si>
  <si>
    <t xml:space="preserve">   Highway Use Tax</t>
  </si>
  <si>
    <t xml:space="preserve">   Insurance Tax</t>
  </si>
  <si>
    <t xml:space="preserve">   Beverage Tax</t>
  </si>
  <si>
    <t xml:space="preserve">   Tobacco Products Tax</t>
  </si>
  <si>
    <t xml:space="preserve">   Other Taxes</t>
  </si>
  <si>
    <t xml:space="preserve">Federal grants not restricted to </t>
  </si>
  <si>
    <t xml:space="preserve">     specifc programs</t>
  </si>
  <si>
    <t xml:space="preserve">   General government</t>
  </si>
  <si>
    <t xml:space="preserve">   Primary &amp; secondary education</t>
  </si>
  <si>
    <t xml:space="preserve">   Higher education</t>
  </si>
  <si>
    <t xml:space="preserve">   Health &amp; human services</t>
  </si>
  <si>
    <t xml:space="preserve">   Economic development</t>
  </si>
  <si>
    <t xml:space="preserve">   Environment &amp; natural resources</t>
  </si>
  <si>
    <t xml:space="preserve">   Public safety, corrections &amp; reg</t>
  </si>
  <si>
    <t xml:space="preserve">   Transportation</t>
  </si>
  <si>
    <t xml:space="preserve">   Agriculture</t>
  </si>
  <si>
    <t>Contributions to permanent funds</t>
  </si>
  <si>
    <t>Beginning Fund Equity (restated)</t>
  </si>
  <si>
    <r>
      <t>Complete an individual schedule for each GASB fund that has restated</t>
    </r>
    <r>
      <rPr>
        <b/>
        <i/>
        <sz val="10"/>
        <rFont val="Arial"/>
        <family val="2"/>
      </rPr>
      <t xml:space="preserve"> net position</t>
    </r>
    <r>
      <rPr>
        <b/>
        <sz val="10"/>
        <rFont val="Arial"/>
        <family val="2"/>
      </rPr>
      <t xml:space="preserve">.  </t>
    </r>
  </si>
  <si>
    <t xml:space="preserve">Department of Commerce - Division of Employment Security </t>
  </si>
  <si>
    <t>Certification required for UNC Health Care System:</t>
  </si>
  <si>
    <t>Certification required for Universities and UNC Hospitals:</t>
  </si>
  <si>
    <t>data file has been reviewed by the University Controller/UNC Hospitals management.</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</si>
  <si>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</si>
  <si>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I hereby certify that the financial information for the UNC Health Care System above is complete and includes every</t>
  </si>
  <si>
    <t>member of the UNC Health Care System financial reporting entity.  I further certify that the balances for each member</t>
  </si>
  <si>
    <t>Department of Military &amp; Veterans Affairs</t>
  </si>
  <si>
    <t>Department of Information Technology</t>
  </si>
  <si>
    <t>Department of Environmental Quality</t>
  </si>
  <si>
    <t>Department of Natural and Cultural Resources</t>
  </si>
  <si>
    <t>Elizabeth Theora</t>
  </si>
  <si>
    <t>(984) 974-1002</t>
  </si>
  <si>
    <t>Heather Iannucci</t>
  </si>
  <si>
    <t>(910) 962-3144</t>
  </si>
  <si>
    <t>Amy Causby</t>
  </si>
  <si>
    <t>Commercial Paper</t>
  </si>
  <si>
    <t>Anticipation Notes</t>
  </si>
  <si>
    <t xml:space="preserve">    Total ST Debt</t>
  </si>
  <si>
    <t>Other LT Liabilities (Cur &amp; NonCur) tie to SNP</t>
  </si>
  <si>
    <t>GASB Statement 68 Requirements</t>
  </si>
  <si>
    <t>Amount of liability at the end of the reporting period, if applicable</t>
  </si>
  <si>
    <t>Mary E. Hall</t>
  </si>
  <si>
    <t>531653 COMPEN TO NATIONAL GUARD</t>
  </si>
  <si>
    <t>531473 BONUS/INCENTIVE WAGES - UNDESIGNATED</t>
  </si>
  <si>
    <t>NEW ACCT FOR FY 2015-16</t>
  </si>
  <si>
    <t>531474 BONUS/INCENTIVE WAGES - UNIVERSITIES</t>
  </si>
  <si>
    <t>531550 PENSION SPIKE PMT UNIV</t>
  </si>
  <si>
    <t>CHANGED TITLE IN FY2015-16</t>
  </si>
  <si>
    <t>531551 PENSION SPIKE PMT APPROPR</t>
  </si>
  <si>
    <t>531552 PENSION SPIKE PMT RECIPTS</t>
  </si>
  <si>
    <t>531553 PENSIONS SPIKE PMT UNDESIG</t>
  </si>
  <si>
    <t>53214B IT SUBSCRIPTION SUPPORT</t>
  </si>
  <si>
    <t>532189 ELECTRONIC MONITORING</t>
  </si>
  <si>
    <t>NEW ACCT FOR FY 2014-15</t>
  </si>
  <si>
    <t>NEW effective January 1, 2003. Revised title FY 2013-14</t>
  </si>
  <si>
    <t>See below. New caption for FY 2014-2015</t>
  </si>
  <si>
    <t>If OSC makes a revision to the package, agencies will be notified and the file revision date will be updated.</t>
  </si>
  <si>
    <t>for all of the worksheets, as well as other information for certain worksheets.</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</si>
  <si>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</si>
  <si>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you may see an updated revision date, but we will not contact the agencies unless the update is mandatory.</t>
  </si>
  <si>
    <t>Offline Proprietary Proforma for UNC Health Care Reporting Unit- Combining Statement of Net Position &amp; Statement of Revenues, Expenses and Changes in Net Position</t>
  </si>
  <si>
    <t>reviewed by appropriate management of the UNC Health Care System.</t>
  </si>
  <si>
    <t>Out of Balance Amount</t>
  </si>
  <si>
    <t>to an investment derivative instrument, (b) contingent features, (c) companion instrument for a hybrid, and (d) synthetic guaranteed investment contracts.</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</si>
  <si>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</si>
  <si>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</si>
  <si>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t>INVESTMENTS HELD OUTSIDE THE STATE TREASURER AND DERIVATIVES</t>
  </si>
  <si>
    <t>FAIR VALUE MEASUREMENTS (755)</t>
  </si>
  <si>
    <t>Fair Value Measurements Using</t>
  </si>
  <si>
    <t>Quoted Prices in</t>
  </si>
  <si>
    <t>Significant Other</t>
  </si>
  <si>
    <t>Significant</t>
  </si>
  <si>
    <t>Valuation</t>
  </si>
  <si>
    <t>Active Markets for</t>
  </si>
  <si>
    <t>Observable</t>
  </si>
  <si>
    <t>Unobservable</t>
  </si>
  <si>
    <t>Technique</t>
  </si>
  <si>
    <t>Identicial Assets</t>
  </si>
  <si>
    <t>Inputs</t>
  </si>
  <si>
    <t xml:space="preserve"> Not reported</t>
  </si>
  <si>
    <t>(Level 1)</t>
  </si>
  <si>
    <t>(Level 2)</t>
  </si>
  <si>
    <t>(Level 3)</t>
  </si>
  <si>
    <t>at Fair Value</t>
  </si>
  <si>
    <t>Investments (excluding NAV investments):</t>
  </si>
  <si>
    <t>Investments measured at net asset value (NAV):</t>
  </si>
  <si>
    <t>Investment derivative instruments:</t>
  </si>
  <si>
    <t>Interest rate swaps</t>
  </si>
  <si>
    <t>Foreign currency futures</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</si>
  <si>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</si>
  <si>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</si>
  <si>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</si>
  <si>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</si>
  <si>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</si>
  <si>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INVESTMENTS MEASURED AT NAV (760)</t>
  </si>
  <si>
    <t>Investments Measured at the NAV</t>
  </si>
  <si>
    <t>Redemption</t>
  </si>
  <si>
    <t>Unfunded</t>
  </si>
  <si>
    <t>Frequency (if</t>
  </si>
  <si>
    <t>Notice</t>
  </si>
  <si>
    <t>Commitments</t>
  </si>
  <si>
    <t>Currently Eligible)</t>
  </si>
  <si>
    <t>Period</t>
  </si>
  <si>
    <t/>
  </si>
  <si>
    <t>Total investments measured at the NAV</t>
  </si>
  <si>
    <t>1 - For example, quarterly and/or annually.</t>
  </si>
  <si>
    <t>2 - For example, number of days (30-45 days, 30-60 days, etc.)</t>
  </si>
  <si>
    <t>EXTERNAL INVESTMENT POOLS AND POOL PARTICIPANTS (765)</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</si>
  <si>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</si>
  <si>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</si>
  <si>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</si>
  <si>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</si>
  <si>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</si>
  <si>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</si>
  <si>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</si>
  <si>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</si>
  <si>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</si>
  <si>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</si>
  <si>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</si>
  <si>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</si>
  <si>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</si>
  <si>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</si>
  <si>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</si>
  <si>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</si>
  <si>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</si>
  <si>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Matthew Longobardi</t>
  </si>
  <si>
    <t>(919) 716-6077</t>
  </si>
  <si>
    <t xml:space="preserve">(Select from </t>
  </si>
  <si>
    <t>columns G - J)</t>
  </si>
  <si>
    <t>Select</t>
  </si>
  <si>
    <t>Techniques</t>
  </si>
  <si>
    <t>Number of Adult Correction Vehicles:</t>
  </si>
  <si>
    <t>Contract Value adjustment (401(k) &amp; Def Comp only)</t>
  </si>
  <si>
    <t>905 Ref. no.</t>
  </si>
  <si>
    <t>State Bureau of Investigation</t>
  </si>
  <si>
    <t>Write-offs/uncollectible amounts are amounts reported as unavailable revenue in previous years but are now deemed uncollectible.  This</t>
  </si>
  <si>
    <t>(Note: The required GASB 72 disclosures on fair value measurements should be disclosed on Worksheet 755 and narratives.)</t>
  </si>
  <si>
    <t>This worksheet is only applicable to the University System, the State Treasurer, Department of Transportation, the State 401(k) plan, and the State Deferred Compensation Plan.</t>
  </si>
  <si>
    <t>Only Applies to Department of State Treasurer, Department of Transportation, the UNC System,</t>
  </si>
  <si>
    <t>the State 401(k) plan, and the State Deferred Compensation Plan.</t>
  </si>
  <si>
    <t>2740/2750</t>
  </si>
  <si>
    <t>Net investment in captial assets</t>
  </si>
  <si>
    <t xml:space="preserve"> Part 2 of 2 — NA Component Units and Fiduciary Funds</t>
  </si>
  <si>
    <t>Part 2 of 2 — NA Component Units and Fiduciary Funds</t>
  </si>
  <si>
    <t xml:space="preserve">Please note that if OSC makes changes that do not impact the integrity of the package (i.e. cosmetic changes) </t>
  </si>
  <si>
    <t>919-821-9530</t>
  </si>
  <si>
    <r>
      <rPr>
        <b/>
        <u/>
        <sz val="10"/>
        <rFont val="Arial"/>
        <family val="2"/>
      </rPr>
      <t>Examples</t>
    </r>
    <r>
      <rPr>
        <sz val="10"/>
        <rFont val="Arial"/>
        <family val="2"/>
      </rPr>
      <t xml:space="preserve"> – Abandonment of a software project, prison closure, building damaged during a natural</t>
    </r>
  </si>
  <si>
    <t xml:space="preserve">Pollution remediation liabilities equal to or in excess of the applicable threshold should be accrued at year-end.  </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</si>
  <si>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</si>
  <si>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</si>
  <si>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For additional guidance, refer to the OSC policy on Pollution Remediation Obligations (see below link):</t>
  </si>
  <si>
    <t xml:space="preserve">Change in </t>
  </si>
  <si>
    <t>Change in</t>
  </si>
  <si>
    <t>whether or not you need to download the updated version.  Contact your OSC analyst if you have any questions.</t>
  </si>
  <si>
    <t>Capital projects/Repairs &amp; renovations</t>
  </si>
  <si>
    <t>Other (Specify at bottom of worksheet)</t>
  </si>
  <si>
    <t>If "Other" was selected above, then list the specific purpose of the fund balance below. Please note whether the fund balance purpose</t>
  </si>
  <si>
    <t>is for restricted, committed, and/or assigned.</t>
  </si>
  <si>
    <t>None</t>
  </si>
  <si>
    <t>(919) 814-3898</t>
  </si>
  <si>
    <t xml:space="preserve">Other </t>
  </si>
  <si>
    <t>—</t>
  </si>
  <si>
    <t xml:space="preserve">Matrix Pricing (M1)  </t>
  </si>
  <si>
    <t xml:space="preserve">Market Multiples (M2)  </t>
  </si>
  <si>
    <t xml:space="preserve">Present value using discounted cash flows (I1)  </t>
  </si>
  <si>
    <t xml:space="preserve">Options Pricing (I2)  </t>
  </si>
  <si>
    <t xml:space="preserve">Multiperiod Excess Earnings (I3)  </t>
  </si>
  <si>
    <t xml:space="preserve">Relief-from-royalty method (I4)  </t>
  </si>
  <si>
    <t xml:space="preserve">Depreciated replacement cost (C1)  </t>
  </si>
  <si>
    <t>(919) 707-8566</t>
  </si>
  <si>
    <t>40</t>
  </si>
  <si>
    <t>FV100</t>
  </si>
  <si>
    <t>FV120</t>
  </si>
  <si>
    <t>FV140</t>
  </si>
  <si>
    <t>FV160</t>
  </si>
  <si>
    <t>FV180</t>
  </si>
  <si>
    <t>FV200</t>
  </si>
  <si>
    <t>FV220</t>
  </si>
  <si>
    <t>FV240</t>
  </si>
  <si>
    <t>FV260</t>
  </si>
  <si>
    <t>FV300</t>
  </si>
  <si>
    <t>FV280</t>
  </si>
  <si>
    <t>FV340</t>
  </si>
  <si>
    <t>FV360</t>
  </si>
  <si>
    <t>FV380</t>
  </si>
  <si>
    <t>FV400</t>
  </si>
  <si>
    <t>FV420</t>
  </si>
  <si>
    <t>FV440</t>
  </si>
  <si>
    <t>FV460</t>
  </si>
  <si>
    <t>FV480</t>
  </si>
  <si>
    <t>FV500</t>
  </si>
  <si>
    <t>FV520</t>
  </si>
  <si>
    <t>FV540</t>
  </si>
  <si>
    <t>FV560</t>
  </si>
  <si>
    <t>FV580</t>
  </si>
  <si>
    <t>FV600</t>
  </si>
  <si>
    <t>FV620</t>
  </si>
  <si>
    <t>NV700</t>
  </si>
  <si>
    <t>NV720</t>
  </si>
  <si>
    <t>NV740</t>
  </si>
  <si>
    <t>NV760</t>
  </si>
  <si>
    <t>NV780</t>
  </si>
  <si>
    <t>NV800</t>
  </si>
  <si>
    <t>NV820</t>
  </si>
  <si>
    <t>Date of Change</t>
  </si>
  <si>
    <t>Analyst</t>
  </si>
  <si>
    <t>Web Team Notified to Update SIG</t>
  </si>
  <si>
    <t>Revision Date for SIG</t>
  </si>
  <si>
    <t>Date Agencies Notified</t>
  </si>
  <si>
    <t>Worksheet / Narrative #</t>
  </si>
  <si>
    <t>OSC Only</t>
  </si>
  <si>
    <t>Description of Change</t>
  </si>
  <si>
    <t>If yes, please describe:</t>
  </si>
  <si>
    <t>x</t>
  </si>
  <si>
    <t>Please provide the following information regarding covered payroll and contributions to the Optional Retirement Program (ORP) for those employees covered by the Teachers' Insurance and Annuity Association (TIAA) and Fidelity Investments:</t>
  </si>
  <si>
    <t xml:space="preserve">University Optional Retirement Program </t>
  </si>
  <si>
    <t>UNC Healthcare System)</t>
  </si>
  <si>
    <t>Only applies to 07 Treasurer, 13 Administration, 15 Transportation, 16 Environmental Quality,</t>
  </si>
  <si>
    <t>(919) 416-2870</t>
  </si>
  <si>
    <r>
      <t xml:space="preserve">the accounts should roll for year-end reporting. </t>
    </r>
    <r>
      <rPr>
        <b/>
        <sz val="10"/>
        <color indexed="8"/>
        <rFont val="Arial"/>
        <family val="2"/>
      </rPr>
      <t>The roll up table is for all proprietary funds and may include accounts that are not applicable to Univesities</t>
    </r>
  </si>
  <si>
    <t>Prepare/Phone:</t>
  </si>
  <si>
    <t>Total Other</t>
  </si>
  <si>
    <t>Total GASB Reclass</t>
  </si>
  <si>
    <t>the narrative 326,  second table current year Revenues net of expenses (Y)</t>
  </si>
  <si>
    <t>Policy on OSC's website:</t>
  </si>
  <si>
    <t>NC OSC Policy 101.4</t>
  </si>
  <si>
    <t>1. Program Name:</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</si>
  <si>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</si>
  <si>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r>
      <t>The issuance and sale of revenue bonds is a prime example of a subsequent event (</t>
    </r>
    <r>
      <rPr>
        <b/>
        <sz val="10"/>
        <rFont val="Arial"/>
        <family val="2"/>
      </rPr>
      <t xml:space="preserve">exclude debt issued </t>
    </r>
  </si>
  <si>
    <t>primarily for refunding of bonds).</t>
  </si>
  <si>
    <t>moved from Personal Serv to invalid 2005-2006. Moved back in FY 2016-17</t>
  </si>
  <si>
    <t>531480 SUBSIDIZED WAGE SUPPLMNT</t>
  </si>
  <si>
    <t>NEW ACCT FOR FY 2016-17</t>
  </si>
  <si>
    <t>535935 EQUIPMENT USAGE</t>
  </si>
  <si>
    <t>New effective FY2017</t>
  </si>
  <si>
    <t xml:space="preserve">438054 TRANSFER -CONNECT GO BOND </t>
  </si>
  <si>
    <t>New account FY 2016-17</t>
  </si>
  <si>
    <t>Account 432901, 432902, 432903, 432904, 432993, 432991, 432994, 980000</t>
  </si>
  <si>
    <t>2. Specific Tax Abated:</t>
  </si>
  <si>
    <t>3. Authority for Abatement:</t>
  </si>
  <si>
    <t>Schedule of Due from / Due to University Component Units (616)</t>
  </si>
  <si>
    <t>(Universities Only)</t>
  </si>
  <si>
    <t>SECTION 1 - SCHEDULE OF DUE FROM UNIVERSITY COMPONENT UNITS</t>
  </si>
  <si>
    <t>SECTION 2 - SCHEDULE OF DUE TO UNIVERSITY COMPONENT UNITS</t>
  </si>
  <si>
    <t>212700</t>
  </si>
  <si>
    <t>Due from agency/institution component units (ws 616)</t>
  </si>
  <si>
    <t>Due to agency/institution component units  (w/s 616)</t>
  </si>
  <si>
    <t>Foundations  Survey (615)</t>
  </si>
  <si>
    <t>This worksheet should be completed by State agencies and component units, excluding universities.</t>
  </si>
  <si>
    <t>Foundations Survey</t>
  </si>
  <si>
    <t>Financial Reporting Update GASB 77</t>
  </si>
  <si>
    <t>For more information on GASB 77, refer to the GASB Resources link on the OSC website (or see link below).</t>
  </si>
  <si>
    <t>Please provide below the employer's share of medical insurance premiums for employees paid to the State</t>
  </si>
  <si>
    <t>Health Plan for this fiscal year. For agencies using NCAS,  this corresponds with account 531560 MED</t>
  </si>
  <si>
    <t>INS CONTRIB-UNIV, 531561 MED INS CONTRIB-APPRO, or 531562 MED INS CONTRIB-RECPTS.</t>
  </si>
  <si>
    <t>(2) Transactions with other component units of the State of NC:</t>
  </si>
  <si>
    <t>the Instructions file.</t>
  </si>
  <si>
    <t>State of NC.  For a list of component units, please see the 'All Agencies' tab at the end of this workbook or</t>
  </si>
  <si>
    <t xml:space="preserve">Describe the nature and amount of any other significant transactions with component units of the </t>
  </si>
  <si>
    <t>Threshold: There is no threshold applicable to this section and a dollar amount is required even</t>
  </si>
  <si>
    <t>if the amount is $0.</t>
  </si>
  <si>
    <t>accrual basis.</t>
  </si>
  <si>
    <t>Threshold: For purposes of this section, 'significant' is defined as $10 million or greater on an</t>
  </si>
  <si>
    <t>Due to agency/institution component units (ws 616)</t>
  </si>
  <si>
    <t xml:space="preserve">Policy on OSC's Website: </t>
  </si>
  <si>
    <t>Debt service (07 State Treasurer only)</t>
  </si>
  <si>
    <t>5. General Statute or Authority preventing details from being disclosed:</t>
  </si>
  <si>
    <t>TAX ABATEMENTS (640)</t>
  </si>
  <si>
    <t>Foreign currency forwards</t>
  </si>
  <si>
    <t>Investments Held Outside the State Treasurer And Derivatives - Fair Value Measurements</t>
  </si>
  <si>
    <t>Investments Held Outside the State Treasurer - Investments Measured at NAV</t>
  </si>
  <si>
    <t>Investments Held Outside the State Treasurer - External Investment Pools and Pool Participants</t>
  </si>
  <si>
    <t>Offline Fiduciary - Stmt of Net Position &amp; Stmt of Chgs in Net position Deferred Comp-6B</t>
  </si>
  <si>
    <t>organization associated with your agency that have assets or revenues of $10 million or more.</t>
  </si>
  <si>
    <t>ONLY INCLUDES AGENCIES</t>
  </si>
  <si>
    <t>ONLY COMPONENT UNITS</t>
  </si>
  <si>
    <t>UNC Physicians Network</t>
  </si>
  <si>
    <t>OPERATING TRANSFERS IN (550)</t>
  </si>
  <si>
    <t>NA-Component Units</t>
  </si>
  <si>
    <t>Company</t>
  </si>
  <si>
    <t>Account No.</t>
  </si>
  <si>
    <t>Agency No./Budget Code</t>
  </si>
  <si>
    <t>GASB No.</t>
  </si>
  <si>
    <t>4381AA</t>
  </si>
  <si>
    <t>Transferred From</t>
  </si>
  <si>
    <t>OPERATING TRANSFERS OUT (555)</t>
  </si>
  <si>
    <t>5381AA</t>
  </si>
  <si>
    <t>Transferred To</t>
  </si>
  <si>
    <t>SCHEDULE OF AGENCY NONROUTINE TRANSFERS (560)</t>
  </si>
  <si>
    <t xml:space="preserve">  Agency No:</t>
  </si>
  <si>
    <t xml:space="preserve">   Preparer/Phone:</t>
  </si>
  <si>
    <t xml:space="preserve">  Agency Name:</t>
  </si>
  <si>
    <t xml:space="preserve">   Email:</t>
  </si>
  <si>
    <t xml:space="preserve">  GASB Fund No:</t>
  </si>
  <si>
    <t>Transfers In (Account 4384AA)</t>
  </si>
  <si>
    <t>Transfers Out (Account 5384AA)</t>
  </si>
  <si>
    <t>Reason/Description</t>
  </si>
  <si>
    <t>SCHEDULE OF INTRA-AGENCY OPERATING TRANSFERS (540)</t>
  </si>
  <si>
    <t>Intra-Agency Operating Transfers In</t>
  </si>
  <si>
    <t>Intra-Agency Operating Transfers Out</t>
  </si>
  <si>
    <t>Operating Transfers In</t>
  </si>
  <si>
    <t>Operating Transfers Out</t>
  </si>
  <si>
    <t>investments with significantly different risk profiles, such as U.S. Treasury bills and U.S. Treasury strips, should not be aggregated into a single investment type. (GASB</t>
  </si>
  <si>
    <t>Restatements Governmental Funds (Part 2 of 2)</t>
  </si>
  <si>
    <t>Restatements Business Type Activities (Part 2 of 2)</t>
  </si>
  <si>
    <t>joint ventures / jointly governed organizations?</t>
  </si>
  <si>
    <t>Please provide the following information for each tax abatement program:</t>
  </si>
  <si>
    <t>UNC Physicians</t>
  </si>
  <si>
    <t>Current Assets</t>
  </si>
  <si>
    <t>Noncurrent Assets</t>
  </si>
  <si>
    <t>Capital assets: Nondepreciable</t>
  </si>
  <si>
    <t>Capital assets: Depreciable</t>
  </si>
  <si>
    <t>Deferred outflows of resources</t>
  </si>
  <si>
    <t>Current liabilities</t>
  </si>
  <si>
    <t>Deferred inflows of resources</t>
  </si>
  <si>
    <t>Net position</t>
  </si>
  <si>
    <t>Balance Sheet Change</t>
  </si>
  <si>
    <t>WS 431BTA dropdowns</t>
  </si>
  <si>
    <t>Select Caption</t>
  </si>
  <si>
    <t>Pooled Cash</t>
  </si>
  <si>
    <t>Restricted Pooled Cash</t>
  </si>
  <si>
    <t>Securities Lending Collateral</t>
  </si>
  <si>
    <t>Accounts Receivable</t>
  </si>
  <si>
    <t>Interest Receivable</t>
  </si>
  <si>
    <t>Premiums receivable</t>
  </si>
  <si>
    <t>Non-current Assets</t>
  </si>
  <si>
    <t>Current Liabilities</t>
  </si>
  <si>
    <t>Accounts Payable</t>
  </si>
  <si>
    <t>Claims Payable</t>
  </si>
  <si>
    <t>Bond &amp; similar debt payable</t>
  </si>
  <si>
    <t>Accrued interest payable</t>
  </si>
  <si>
    <t>Annuity &amp; life income payable</t>
  </si>
  <si>
    <t>Non-current liabilities</t>
  </si>
  <si>
    <t>Advances from other funds</t>
  </si>
  <si>
    <t>Notes Payable</t>
  </si>
  <si>
    <t>Net Pension Liability</t>
  </si>
  <si>
    <t>This worksheet is only applicable to the University System, Department of Transportation, and Department of State Treasurer.</t>
  </si>
  <si>
    <t>FV320</t>
  </si>
  <si>
    <t>FV640</t>
  </si>
  <si>
    <t>NV840</t>
  </si>
  <si>
    <t>NV860</t>
  </si>
  <si>
    <t>Elizabeth Haynes</t>
  </si>
  <si>
    <t xml:space="preserve"> not using ws 905/must hand key</t>
  </si>
  <si>
    <t>If amounts reported in column E are $1 million or greater, then complete WS 756.</t>
  </si>
  <si>
    <t>VALUATION OF INVESTMENTS (756)</t>
  </si>
  <si>
    <t>Investments Held Outside the State Treasurer - Valuation of Investments (formerly 711)</t>
  </si>
  <si>
    <t>Prabha Vijayaraghavan</t>
  </si>
  <si>
    <t>The Certification Letter should indicate material contingent liabilities are disclosed on Worksheet 345.</t>
  </si>
  <si>
    <t>Material contingent liabilities disclosed on the worksheet should be indicated in the Certification Letter.</t>
  </si>
  <si>
    <t>828-726-2200</t>
  </si>
  <si>
    <t>Christie Medford</t>
  </si>
  <si>
    <t>828-565-4168</t>
  </si>
  <si>
    <t>(919) 807-7073</t>
  </si>
  <si>
    <t>Sherry Raby</t>
  </si>
  <si>
    <t>252-527-6223 x358</t>
  </si>
  <si>
    <t>Crystal Huffman</t>
  </si>
  <si>
    <t>336-838-6109</t>
  </si>
  <si>
    <t>Joy Darden</t>
  </si>
  <si>
    <t>OSC Analysts</t>
  </si>
  <si>
    <t>List of OSC Statewide Accounting Financial Reporting Analyst Names and Numbers</t>
  </si>
  <si>
    <t>Contact Name</t>
  </si>
  <si>
    <t>Phone Number</t>
  </si>
  <si>
    <t>Email Address</t>
  </si>
  <si>
    <t>919-707-0590</t>
  </si>
  <si>
    <t>Ellen Rockefeller</t>
  </si>
  <si>
    <t>ellen.rockefeller@osc.nc.gov</t>
  </si>
  <si>
    <t>919-707-0525</t>
  </si>
  <si>
    <t>Kim Battle</t>
  </si>
  <si>
    <t>919-707-0521</t>
  </si>
  <si>
    <t>Kim.Battle@osc.nc.gov</t>
  </si>
  <si>
    <t>Joannie.Burtoft@osc.nc.gov</t>
  </si>
  <si>
    <t>Joannie Burtoft</t>
  </si>
  <si>
    <t>919-707-0520</t>
  </si>
  <si>
    <t>Joy.darden@osc.nc.gov</t>
  </si>
  <si>
    <t>919-707-0530</t>
  </si>
  <si>
    <t>Virginia.Sisson@osc.nc.gov</t>
  </si>
  <si>
    <t>Virginia Sisson</t>
  </si>
  <si>
    <t>919-707-0528</t>
  </si>
  <si>
    <t>919-707-0527</t>
  </si>
  <si>
    <t>Only Applies to UNC Chapel Hill, the State 401(k) plan, and the State Deferred Compensation Plan.</t>
  </si>
  <si>
    <t>If Restricted Assets are listed, please provide additional detail on the specific assets on the Narrative for 365.</t>
  </si>
  <si>
    <t>Shivani Jani</t>
  </si>
  <si>
    <t>shivani.jani@osc.nc.gov</t>
  </si>
  <si>
    <t xml:space="preserve">Tax Abatements </t>
  </si>
  <si>
    <t xml:space="preserve">Schedule of Due from / Due to University Component Units  </t>
  </si>
  <si>
    <t xml:space="preserve">Schedule of Agency Nonroutine Transfers  </t>
  </si>
  <si>
    <t xml:space="preserve">Schedule of Inter-Agency Operating Transfers Out </t>
  </si>
  <si>
    <t xml:space="preserve">Schedule of Inter-Agency Operating Transfers In </t>
  </si>
  <si>
    <t xml:space="preserve">Schedule of Intra-Agency Operating Transfers </t>
  </si>
  <si>
    <t>112215 BOND INDEX FUND</t>
  </si>
  <si>
    <t>NEW ACCT FOR FY 2016-2017</t>
  </si>
  <si>
    <t xml:space="preserve">112288 ALLOWANCE - FAIR VALUE BOND INDEX FUND </t>
  </si>
  <si>
    <t>228110 UNEARNED REVENUE - NONCURRENT</t>
  </si>
  <si>
    <t>NEW ACCOUNT FOR FY 2016-2017</t>
  </si>
  <si>
    <t>433136 BOND INDEX FUND INTEREST INCOME - NONOPER PROG</t>
  </si>
  <si>
    <t>433135 BOND INDEX FUND INTEREST INCOME-PROGRAM REV</t>
  </si>
  <si>
    <t>433137 BOND INDEX FUND INTEREST INCOME-GENERAL REV</t>
  </si>
  <si>
    <t>New Account FY 2016-2017</t>
  </si>
  <si>
    <t xml:space="preserve">Beneficial interest in Assets Held by Others </t>
  </si>
  <si>
    <t xml:space="preserve">114910 BENEFICIAL INTEREST IN ASSETS HELD BY OTHERS </t>
  </si>
  <si>
    <t>Net OPEB Asset</t>
  </si>
  <si>
    <t>119780 NET OPEB ASSET</t>
  </si>
  <si>
    <t>NEW ACCT FOR FY 2017-2018</t>
  </si>
  <si>
    <t>124910 BENEFICIAL INTEREST IN ASSETS HELD BY OTHERS</t>
  </si>
  <si>
    <t>129780 NET OPEB ASSET-NONCURR</t>
  </si>
  <si>
    <t>NEW ACCT FY 2017-2018</t>
  </si>
  <si>
    <t xml:space="preserve">    Deferred outflows for OPEB</t>
  </si>
  <si>
    <t>129720 DEF OUTFLOWS FOR OPEB</t>
  </si>
  <si>
    <t>NEW ACCT FY2017-2018</t>
  </si>
  <si>
    <t>New caption FY 2017-2018</t>
  </si>
  <si>
    <t>Net OPEB Liabilities</t>
  </si>
  <si>
    <t xml:space="preserve">219151 NET OPEB LIABILITY </t>
  </si>
  <si>
    <t>Net OPEB liability</t>
  </si>
  <si>
    <t>See below. New caption for FY 2017-2018</t>
  </si>
  <si>
    <t xml:space="preserve">  Deferred Inflows for OPEB</t>
  </si>
  <si>
    <t>229220 DEF INFLOWS FOR OPEB</t>
  </si>
  <si>
    <t>New caption for FY 2017-2018</t>
  </si>
  <si>
    <t>229207 DEFERRED INFLOW OF IRREVOCABLE SPLIT-INTEREST AGRMNT</t>
  </si>
  <si>
    <t>Gain on in-substance defeasance of debt</t>
  </si>
  <si>
    <t>437520 GAIN ON IN-SUBSTANCE DEFEASANCE OF DEBT</t>
  </si>
  <si>
    <t>437550 GAIN ON TERMINATION OF IRREVOCABLE SPLLIT-INTEREST AGR</t>
  </si>
  <si>
    <t>531598 OPEB EXPENSE</t>
  </si>
  <si>
    <t>NEW FOR FY 2017-2018</t>
  </si>
  <si>
    <t>Loss on In-Substance Defeasance of Debt</t>
  </si>
  <si>
    <t>535341 LOSS ON IN-SUBSTANCE DEFEASANCE OF DEBT</t>
  </si>
  <si>
    <t>Net OPEB asset</t>
  </si>
  <si>
    <t>Deferred outflows for pension</t>
  </si>
  <si>
    <t>Deferred outflows for OPEB</t>
  </si>
  <si>
    <t>Other deferred outflows of resources</t>
  </si>
  <si>
    <t>Beneficial interest in assets held by others</t>
  </si>
  <si>
    <t>Net OPEB liability-current (ws 310)</t>
  </si>
  <si>
    <t>Net OPEB liability (ws 310)</t>
  </si>
  <si>
    <t>Deferred inflows for OPEB</t>
  </si>
  <si>
    <t>Deferred inflows for irrevocable split-interest agreements</t>
  </si>
  <si>
    <t>0104</t>
  </si>
  <si>
    <t>0101</t>
  </si>
  <si>
    <t>Example</t>
  </si>
  <si>
    <t>0211</t>
  </si>
  <si>
    <t>0201</t>
  </si>
  <si>
    <t>Receiving Agency Information</t>
  </si>
  <si>
    <t>Sending Agency Information</t>
  </si>
  <si>
    <t>13/13100</t>
  </si>
  <si>
    <t>Transfer Accounts - Purpose and Use</t>
  </si>
  <si>
    <t>90/19950</t>
  </si>
  <si>
    <t>Beth McAndrew</t>
  </si>
  <si>
    <t>(919) 843-2694</t>
  </si>
  <si>
    <r>
      <t xml:space="preserve">4. Gross dollar amount of taxes abated during the fiscal year, </t>
    </r>
    <r>
      <rPr>
        <b/>
        <u/>
        <sz val="10"/>
        <rFont val="Arial"/>
        <family val="2"/>
      </rPr>
      <t>on an accrual basis</t>
    </r>
    <r>
      <rPr>
        <b/>
        <sz val="10"/>
        <rFont val="Arial"/>
        <family val="2"/>
      </rPr>
      <t xml:space="preserve"> as a result of the agreement:</t>
    </r>
  </si>
  <si>
    <t xml:space="preserve">of Monetary </t>
  </si>
  <si>
    <t xml:space="preserve">Assets </t>
  </si>
  <si>
    <t>Old debt prepaid insurance</t>
  </si>
  <si>
    <t>Investments as a position in an External Investment Pool:</t>
  </si>
  <si>
    <t>19 Public Safety, 46 Natural and Cultural Resources, and UNC System Entities (including</t>
  </si>
  <si>
    <t>prohibited, disclose the balance at June 30 for which the risk of substitution exists. See instructions for more information.</t>
  </si>
  <si>
    <t xml:space="preserve">Balance </t>
  </si>
  <si>
    <t xml:space="preserve">(In Thousands) </t>
  </si>
  <si>
    <t xml:space="preserve">for which Risk </t>
  </si>
  <si>
    <t>of Substitution</t>
  </si>
  <si>
    <t>Hide Columns G-J before publishing to the web.</t>
  </si>
  <si>
    <t>SCHEDULE OF INTRA-AGENCY INTER-COMPANY</t>
  </si>
  <si>
    <t>University System (UNC-System Office)</t>
  </si>
  <si>
    <t>State Health Plan</t>
  </si>
  <si>
    <t>CU-Major</t>
  </si>
  <si>
    <t>Gain (Loss) on in-substance defeasance of debt</t>
  </si>
  <si>
    <t>229160 NET OPEB LIABILITY - NONCURRENT</t>
  </si>
  <si>
    <t xml:space="preserve">  Deferred Inflow for Irrevocable Split-Interest Agreement</t>
  </si>
  <si>
    <t>Net pension liability-current</t>
  </si>
  <si>
    <t>Net OPEB liability-current</t>
  </si>
  <si>
    <t>Providence Hakizimana</t>
  </si>
  <si>
    <t>Mark Stohlman</t>
  </si>
  <si>
    <t>(919) 549-8850</t>
  </si>
  <si>
    <t xml:space="preserve">In general, key positive numbers for financial statement presentation, however on the Statement of Net Position, </t>
  </si>
  <si>
    <t xml:space="preserve">You will need to review prior to submitting your package to determine if the changes impact your entity and </t>
  </si>
  <si>
    <t>(919) 814-4633</t>
  </si>
  <si>
    <t>Cheryl Davis</t>
  </si>
  <si>
    <t>Participation in special supplemental nutrition program</t>
  </si>
  <si>
    <t>Total Expendable and Nonexpendable amount does not match the total of the Restricted Net Position column.</t>
  </si>
  <si>
    <t>Eliminations</t>
  </si>
  <si>
    <t>Hospital-wide</t>
  </si>
  <si>
    <t>Do not complete for GASB 5100 capital assets or GASB 5200 Long Term Liabilities.</t>
  </si>
  <si>
    <t>Net OPEB liabiilty - current</t>
  </si>
  <si>
    <t>Gain (loss) on in-substance defeasance of debt</t>
  </si>
  <si>
    <t>Other deferred inflows of resources</t>
  </si>
  <si>
    <t>GOVERNMENTAL FUND CAPITAL ASSETS (202)</t>
  </si>
  <si>
    <t>NA for Agencies not on NCAS Fixed Asset System</t>
  </si>
  <si>
    <t>GASB Fund:  5100</t>
  </si>
  <si>
    <t xml:space="preserve">Yes </t>
  </si>
  <si>
    <t>If yes, give the type of asset and the value of the donation below:</t>
  </si>
  <si>
    <t xml:space="preserve">Type of Asset: </t>
  </si>
  <si>
    <t>(i.e. land, bldg, equip, etc)</t>
  </si>
  <si>
    <t xml:space="preserve">Value of donated asset: </t>
  </si>
  <si>
    <t>Has the donated asset been added to the Fixed Asset System?</t>
  </si>
  <si>
    <t>If no, give an explanation below.</t>
  </si>
  <si>
    <t xml:space="preserve">Does your agency report Construction in Progress (CIP)? </t>
  </si>
  <si>
    <r>
      <t xml:space="preserve">If yes, provide the following information below and </t>
    </r>
    <r>
      <rPr>
        <b/>
        <sz val="10"/>
        <rFont val="Arial"/>
        <family val="2"/>
      </rPr>
      <t>complete the corresponding narrative, CIP/CSID for Capital Assets</t>
    </r>
    <r>
      <rPr>
        <sz val="10"/>
        <rFont val="Arial"/>
        <family val="2"/>
      </rPr>
      <t>.</t>
    </r>
  </si>
  <si>
    <t>Decrease</t>
  </si>
  <si>
    <t>Prior year adj</t>
  </si>
  <si>
    <t>Write-offs</t>
  </si>
  <si>
    <t>in 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</si>
  <si>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</si>
  <si>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</si>
  <si>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</si>
  <si>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</si>
  <si>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System?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</si>
  <si>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</si>
  <si>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</si>
  <si>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</si>
  <si>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</si>
  <si>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</si>
  <si>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</si>
  <si>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</si>
  <si>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</si>
  <si>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</si>
  <si>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</si>
  <si>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System.  </t>
  </si>
  <si>
    <t xml:space="preserve">Did you record the newly created software or patent in the FAS for the current fiscal year? </t>
  </si>
  <si>
    <t>If no, list the software or patent, cost and an explanation below.</t>
  </si>
  <si>
    <t>202</t>
  </si>
  <si>
    <t xml:space="preserve">Governmental Fund Capital Assets </t>
  </si>
  <si>
    <t xml:space="preserve">NA - Agencies with governmental fund assets (GASB 5100) using NCAS Fixed Asset System </t>
  </si>
  <si>
    <t>CAPITAL ASSETS RECONCILIATION CERTIFICATION (203)</t>
  </si>
  <si>
    <t>If yes, list the FAS asset number, type of asset (i.e. land, bldg, equip, etc)  and the cost below:</t>
  </si>
  <si>
    <t>FAS Asset Number</t>
  </si>
  <si>
    <t>Cost</t>
  </si>
  <si>
    <t>Printed Name</t>
  </si>
  <si>
    <t>Title</t>
  </si>
  <si>
    <t xml:space="preserve">GASB Statement 83 establishes accounting and financial reporting standards for certain asset retirement </t>
  </si>
  <si>
    <t xml:space="preserve"> R</t>
  </si>
  <si>
    <r>
      <t xml:space="preserve">If yes, complete the column for </t>
    </r>
    <r>
      <rPr>
        <u/>
        <sz val="10"/>
        <rFont val="Arial"/>
        <family val="2"/>
      </rPr>
      <t xml:space="preserve">Capital Assets GASB 5100 </t>
    </r>
    <r>
      <rPr>
        <sz val="10"/>
        <rFont val="Arial"/>
        <family val="2"/>
      </rPr>
      <t xml:space="preserve">on worksheet 430G-Fund Equity Restatement. </t>
    </r>
  </si>
  <si>
    <t xml:space="preserve">GASB Statement 83 requires certain disclosures about an agency's asset retirement obligations.  The </t>
  </si>
  <si>
    <t>External obligating events (indicate with an "X" each that applies):</t>
  </si>
  <si>
    <t>Approval of federal, state or local laws or regulations</t>
  </si>
  <si>
    <t>Issuance of a court judgment</t>
  </si>
  <si>
    <t>Internal obligating events (indicate with an "X" each that applies):</t>
  </si>
  <si>
    <t>Placing into operation a tangible capital asset that is required to be retired</t>
  </si>
  <si>
    <t xml:space="preserve">Abandoning a tangible capital asset before it is placed into operation </t>
  </si>
  <si>
    <t>Acquiring a tangible capital asset that has an existing ARO</t>
  </si>
  <si>
    <t>Initial ARO Measurement (Liability) accrual basis:</t>
  </si>
  <si>
    <t>Current value of outlays expected to be incurred</t>
  </si>
  <si>
    <t>Corresponding Deferred Outflow of Resources:</t>
  </si>
  <si>
    <t>Corresponding deferred outflow of resources</t>
  </si>
  <si>
    <t>Provide the following details about external and internal obligating events related to your tangible capital asset:</t>
  </si>
  <si>
    <t>Subsequent Measurement and Recognition of the ARO:</t>
  </si>
  <si>
    <t>First year of recognition</t>
  </si>
  <si>
    <t>Subsequent years of recognition</t>
  </si>
  <si>
    <r>
      <t xml:space="preserve">Provide the following details about your ARO </t>
    </r>
    <r>
      <rPr>
        <i/>
        <sz val="10"/>
        <rFont val="Arial"/>
        <family val="2"/>
      </rPr>
      <t>(Note: GASB 5200 for governmental funds)</t>
    </r>
    <r>
      <rPr>
        <sz val="10"/>
        <rFont val="Arial"/>
        <family val="2"/>
      </rPr>
      <t>:</t>
    </r>
  </si>
  <si>
    <t>obligations (AROs).  For additional guidance on GASB 83, refer to the FRU included in the link below:</t>
  </si>
  <si>
    <t>Shirley Trollinger</t>
  </si>
  <si>
    <t>(828) 433-2384</t>
  </si>
  <si>
    <t>If you answered yes, the following reports from FAS can be used as documentation:</t>
  </si>
  <si>
    <t>If you answered yes, the following report from FAS can be used as documentation:</t>
  </si>
  <si>
    <t>Creation of a legally binding contract</t>
  </si>
  <si>
    <t>Subsequent Measurement and Recognition of a Deferred Outflow of Resources:</t>
  </si>
  <si>
    <t>immediately.</t>
  </si>
  <si>
    <t>Unrestricted Net Position</t>
  </si>
  <si>
    <t>Restricted Net Position for:</t>
  </si>
  <si>
    <t>Specify GASB type&gt;&gt;&gt;</t>
  </si>
  <si>
    <t>WS 420 dropdowns</t>
  </si>
  <si>
    <t>GASB Type</t>
  </si>
  <si>
    <t>Enterprise (25XX)</t>
  </si>
  <si>
    <t>Internal Service (27XX)</t>
  </si>
  <si>
    <t>Component Units (26XX)</t>
  </si>
  <si>
    <t>Other purposes</t>
  </si>
  <si>
    <t>Debt service</t>
  </si>
  <si>
    <t>GASB Type (Click here)</t>
  </si>
  <si>
    <t>Total Restricted</t>
  </si>
  <si>
    <t>48RH</t>
  </si>
  <si>
    <t>Rockingham</t>
  </si>
  <si>
    <t>Health Care</t>
  </si>
  <si>
    <t>UNC Rockingham Health Care</t>
  </si>
  <si>
    <t>UNC Rockingham</t>
  </si>
  <si>
    <t>Joy Klenke</t>
  </si>
  <si>
    <t>336-417-5511</t>
  </si>
  <si>
    <t>SCHEDULE OF INTER-AGENCY TRANSFERS</t>
  </si>
  <si>
    <t>4380XX</t>
  </si>
  <si>
    <t>438FAA</t>
  </si>
  <si>
    <t>Description/Legislation/Comments</t>
  </si>
  <si>
    <t>X</t>
  </si>
  <si>
    <t>Asset retirement obligation</t>
  </si>
  <si>
    <t>Short-term debt:
   Revolving line of credit</t>
  </si>
  <si>
    <t>Notes from direct borrowings</t>
  </si>
  <si>
    <r>
      <t xml:space="preserve"> Notes from Direct Borrowings </t>
    </r>
    <r>
      <rPr>
        <sz val="9"/>
        <rFont val="Arial"/>
        <family val="2"/>
      </rPr>
      <t>(Exclude Short-term Debt)</t>
    </r>
  </si>
  <si>
    <r>
      <t xml:space="preserve"> Notes from Direct Borrowings </t>
    </r>
    <r>
      <rPr>
        <sz val="10"/>
        <rFont val="Arial"/>
        <family val="2"/>
      </rPr>
      <t>(Exclude Short-term Debt)</t>
    </r>
  </si>
  <si>
    <t>(DOT - indicate Highway Fund or NC Turnpike Authority)</t>
  </si>
  <si>
    <t>Deferred outflows for ARO</t>
  </si>
  <si>
    <t>Asset retirement obligation (ws 310)</t>
  </si>
  <si>
    <t xml:space="preserve">    Deferred outflows for ARO</t>
  </si>
  <si>
    <t>129706 Def outflows for ARO</t>
  </si>
  <si>
    <t>New caption FY 2018-19</t>
  </si>
  <si>
    <t>Asset Retirement Obligation*</t>
  </si>
  <si>
    <t>211925 Asset Retirement Obligation - Current</t>
  </si>
  <si>
    <t>New Account FY 2018-2019</t>
  </si>
  <si>
    <t>Asset Retirement Obligation *</t>
  </si>
  <si>
    <t>221925 Asset Retirement Obligation - NonCurrent</t>
  </si>
  <si>
    <t>New account FY 2018-19</t>
  </si>
  <si>
    <t>Asset Retirement Obligation-current (ws 310)</t>
  </si>
  <si>
    <t>Asset Retirement Obligation (ws 310)</t>
  </si>
  <si>
    <t>Asset retirement obligation - current</t>
  </si>
  <si>
    <t>UNC-System Office</t>
  </si>
  <si>
    <t>Jennifer Brady</t>
  </si>
  <si>
    <t>(919) 515-3823</t>
  </si>
  <si>
    <t>Debbie Dryer</t>
  </si>
  <si>
    <t>(919) 962-3992</t>
  </si>
  <si>
    <t>Joan Saucier</t>
  </si>
  <si>
    <t>Joan.Saucier@osc.nc.gov</t>
  </si>
  <si>
    <t>Revolving line of credit (ws 310)</t>
  </si>
  <si>
    <t>Notes from direct borrowings (ws 310)</t>
  </si>
  <si>
    <t>Notes from direct borrowings-current (ws 310)</t>
  </si>
  <si>
    <t xml:space="preserve">Revolving line of credit </t>
  </si>
  <si>
    <t>Notes from direct borrowings-current</t>
  </si>
  <si>
    <t>Revolving line of credit</t>
  </si>
  <si>
    <t>Asset retirement obligation-current</t>
  </si>
  <si>
    <t>Revolving Line of Credit</t>
  </si>
  <si>
    <t>Functional Table to be used for Worksheets 401, 405, 410, 415 and 420</t>
  </si>
  <si>
    <t>(919) 807-3741</t>
  </si>
  <si>
    <t>Asset retirement obligation-current (ws 310)</t>
  </si>
  <si>
    <t>positive and losses as negative.</t>
  </si>
  <si>
    <r>
      <t xml:space="preserve">INVENTORY VALUATION </t>
    </r>
    <r>
      <rPr>
        <sz val="9"/>
        <rFont val="Arial"/>
        <family val="2"/>
      </rPr>
      <t>(Indicate "NA" if no inventories)</t>
    </r>
  </si>
  <si>
    <t>(Otherwise, indicate "NA" below)</t>
  </si>
  <si>
    <t>If no long-term bonds were outstanding, indicate “NA”. If amounts are immaterial and are not deferred,</t>
  </si>
  <si>
    <r>
      <t xml:space="preserve">INTERNAL ACTIVITY </t>
    </r>
    <r>
      <rPr>
        <sz val="9"/>
        <rFont val="Arial"/>
        <family val="2"/>
      </rPr>
      <t>(NA FOR COMPONENT UNITS)</t>
    </r>
  </si>
  <si>
    <t xml:space="preserve">If you answered no to question 1, please refer to questions 2 and 3 below to provide adjustments. </t>
  </si>
  <si>
    <t>Amortization of the deferred outflow of resources</t>
  </si>
  <si>
    <t xml:space="preserve">The amount of amortization recognized </t>
  </si>
  <si>
    <t>for the current fiscal year</t>
  </si>
  <si>
    <t xml:space="preserve">The amount of amortization recognized   </t>
  </si>
  <si>
    <t>(Initial amount of the ARO liability)</t>
  </si>
  <si>
    <t>Adjustments to the ARO liability should be reported on worksheets 305 or 310</t>
  </si>
  <si>
    <t>Janina Thomas</t>
  </si>
  <si>
    <t>(984) 215-3810</t>
  </si>
  <si>
    <t>Richard Wilson</t>
  </si>
  <si>
    <t>(919) 215-3497</t>
  </si>
  <si>
    <t>Jean Kaseke</t>
  </si>
  <si>
    <t>(984) 784-7702</t>
  </si>
  <si>
    <t>amounts should agree to the amounts shown on the operating statement.  (see note below)</t>
  </si>
  <si>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</si>
  <si>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</si>
  <si>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</si>
  <si>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t>Workers Compensation</t>
  </si>
  <si>
    <t>Gateway Research Park, Inc.</t>
  </si>
  <si>
    <t>Gateway Research Park is a component unit of the UNC System.</t>
  </si>
  <si>
    <t>NEW ACCT FOR FY 2018-2019</t>
  </si>
  <si>
    <t>112216 EQUITY INDEX FUND</t>
  </si>
  <si>
    <t>112289 ALLOW-FV EQUITY INDEX FUND</t>
  </si>
  <si>
    <t>535971 PAYMENTS UNDER CUSTODIAL</t>
  </si>
  <si>
    <t>433125 EIF INT INC-PROG</t>
  </si>
  <si>
    <t>UPDATED for FY 2020</t>
  </si>
  <si>
    <t>EMPLOYER CONTRIBUTION AMOUNTS FOR TSERS AND OPEB (602)</t>
  </si>
  <si>
    <t>contributions (on the detail tab, see example below)</t>
  </si>
  <si>
    <t>Please provide the following information regarding your RHBF employer contributions.</t>
  </si>
  <si>
    <t>Please provide the following information regarding your DIPNC employer contributions.</t>
  </si>
  <si>
    <t>University/UNC System Only</t>
  </si>
  <si>
    <r>
      <t xml:space="preserve">During the fiscal year, did you </t>
    </r>
    <r>
      <rPr>
        <u/>
        <sz val="9"/>
        <rFont val="Arial"/>
        <family val="2"/>
      </rPr>
      <t>add or remove</t>
    </r>
    <r>
      <rPr>
        <sz val="9"/>
        <rFont val="Arial"/>
        <family val="2"/>
      </rPr>
      <t xml:space="preserve"> any component units or participate in any new </t>
    </r>
  </si>
  <si>
    <t>Direct Placements</t>
  </si>
  <si>
    <t>Any of these balances that have restrictions imposed should be disclosed below.</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</si>
  <si>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</si>
  <si>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</si>
  <si>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(g) foreign currency risk.  Additionally, describe any other significant terms or other quantitative method of evaluating effectiveness, if applicable.</t>
  </si>
  <si>
    <t>table, except for any netting arrangement liability).  Also, credit risk disclosures are limited to hedging derivative instruments that are reported as of the end of the reporting period.</t>
  </si>
  <si>
    <t>Expenses, and Changes in Fund Net Position (for proprietary funds).</t>
  </si>
  <si>
    <t>CERTAIN ASSET RETIREMENT OBLIGATIONS (323)</t>
  </si>
  <si>
    <t>USS North Carolina Battleship Commission</t>
  </si>
  <si>
    <t>Visitation to USS North Carolina Battleship</t>
  </si>
  <si>
    <t>(910) 399-9104</t>
  </si>
  <si>
    <t>For governmental funds, Capital Assets column should be filled in for any prior year asset adjustments on worksheets 202/203.</t>
  </si>
  <si>
    <t xml:space="preserve">Capital Assets Reconciliation Certification </t>
  </si>
  <si>
    <t>Long-Term and Short-Term Debt (Governmental) (Narrative Only)</t>
  </si>
  <si>
    <t xml:space="preserve">Long-Term and Short-Term Debt (Business-Type) (Narrative Only) </t>
  </si>
  <si>
    <t>NC Toll Road System</t>
  </si>
  <si>
    <t xml:space="preserve">Type of Adjustment </t>
  </si>
  <si>
    <t>Did your agency/university complete a government merger, a government acquisition, a transfer of</t>
  </si>
  <si>
    <t xml:space="preserve">If the answer to the above question is "Yes", indicate the type(s) of government combination(s) or disposal of </t>
  </si>
  <si>
    <t>operations:</t>
  </si>
  <si>
    <t>Disposal of operations</t>
  </si>
  <si>
    <t xml:space="preserve">GASB Statement 69 requires certain disclosures about an agency's government combinations and disposals of </t>
  </si>
  <si>
    <t>Adjustments will only be accepted if documentation is provided from the Fixed Asset System by</t>
  </si>
  <si>
    <t xml:space="preserve">Did your agency have any prior year acquisitions, retirements, or cost adjustments that did not get reported in the Fixed Asset System </t>
  </si>
  <si>
    <t>Direct placements</t>
  </si>
  <si>
    <t>Descriptive Name of Defeased Debt (1)</t>
  </si>
  <si>
    <t xml:space="preserve">   Date (2)</t>
  </si>
  <si>
    <t>Exists (3)</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</si>
  <si>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</si>
  <si>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</si>
  <si>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</si>
  <si>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</si>
  <si>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t>Removed FY20</t>
  </si>
  <si>
    <t>Direct placements (ws 310)</t>
  </si>
  <si>
    <t>Compensated Absences</t>
  </si>
  <si>
    <t>Notes from Direct Borrowings</t>
  </si>
  <si>
    <t>Net OPEB Liability</t>
  </si>
  <si>
    <t>Asset Retirement Obligation</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</si>
  <si>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</si>
  <si>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</si>
  <si>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 xml:space="preserve"> AND DIRECT PLACEMENTS - WITHOUT INTEREST RATE SWAPS</t>
  </si>
  <si>
    <t>BONDS, SPECIAL INDEBTEDNESS, NOTES from DIRECT BORROWINGS</t>
  </si>
  <si>
    <r>
      <t xml:space="preserve"> Direct Placements </t>
    </r>
    <r>
      <rPr>
        <sz val="9"/>
        <rFont val="Arial"/>
        <family val="2"/>
      </rPr>
      <t>(Exclude Short-term Debt)</t>
    </r>
  </si>
  <si>
    <t>AND DIRECT PLACEMENTS - WITH INTEREST RATE SWAPS</t>
  </si>
  <si>
    <t xml:space="preserve">BONDS, SPECIAL INDEBTEDNESS, NOTES from DIRECT BORROWINGS </t>
  </si>
  <si>
    <r>
      <t xml:space="preserve"> Direct Placements </t>
    </r>
    <r>
      <rPr>
        <sz val="10"/>
        <rFont val="Arial"/>
        <family val="2"/>
      </rPr>
      <t>(Exclude Short-term Debt)</t>
    </r>
  </si>
  <si>
    <r>
      <rPr>
        <b/>
        <u/>
        <sz val="10"/>
        <rFont val="Arial"/>
        <family val="2"/>
      </rPr>
      <t>C. – DEFERRED LOSS ON REFUNDING</t>
    </r>
    <r>
      <rPr>
        <b/>
        <sz val="10"/>
        <rFont val="Arial"/>
        <family val="2"/>
      </rPr>
      <t xml:space="preserve"> </t>
    </r>
    <r>
      <rPr>
        <sz val="10"/>
        <rFont val="Arial"/>
        <family val="2"/>
      </rPr>
      <t>(Applies to State Treasurer and Dept. of Transportation Only (Excludes NCTPA))</t>
    </r>
  </si>
  <si>
    <t xml:space="preserve">UNC System Entities Only </t>
  </si>
  <si>
    <t>905 -  Offline Proprietary Proforma - Statement of Net Position and
 Statement of Revenues, Expenses and Changes in Net Position and Certification of Data File for Universities</t>
  </si>
  <si>
    <t>213200 NOTES FROM DIRECT BORROWINGS</t>
  </si>
  <si>
    <t>New FY2020</t>
  </si>
  <si>
    <t>223200 NOTES FROM DIRECT BORROWINGS - NONCURRENT</t>
  </si>
  <si>
    <t>216104  DIRECT PLACEMENTS</t>
  </si>
  <si>
    <t>NEW ACCT FOR FY 2020</t>
  </si>
  <si>
    <t>226104  DIRECT PLACEMENTS-NONCURRENT</t>
  </si>
  <si>
    <t>Notes from Direct Borrowings *</t>
  </si>
  <si>
    <r>
      <t xml:space="preserve">RESTATEMENTS Fiduciary Activities </t>
    </r>
    <r>
      <rPr>
        <b/>
        <sz val="11"/>
        <rFont val="Arial"/>
        <family val="2"/>
      </rPr>
      <t>(430F)</t>
    </r>
  </si>
  <si>
    <t xml:space="preserve">Total Other </t>
  </si>
  <si>
    <t>Total restatements in "Other" should tie back to "restatements" caption on the 52G.</t>
  </si>
  <si>
    <t>Total restatements should tie back to "restatements" caption on the 53P/905 (does not include GASB reclassifications).</t>
  </si>
  <si>
    <t>Total restatements in "Other" should tie back to "restatements" caption on the 54F.</t>
  </si>
  <si>
    <t>Part 1 of 1 for Fiduciary Activities Fund Equity Restatements</t>
  </si>
  <si>
    <t>Dept. State Treasurer - State Health Plan</t>
  </si>
  <si>
    <t>Beth Lane</t>
  </si>
  <si>
    <t>(919) 609-3421</t>
  </si>
  <si>
    <t>maturity of less than one year. (GASB Codification Section I50.741-5)</t>
  </si>
  <si>
    <t>Codification Section I50.734-1)</t>
  </si>
  <si>
    <t>(GASB Codification Section I50.736-1)</t>
  </si>
  <si>
    <t xml:space="preserve">Specific bond covenants related to the investment of debt proceeds should also be considered an investment policy. </t>
  </si>
  <si>
    <t>(GASB Codification Section I50.736-2)</t>
  </si>
  <si>
    <t>indicate that the agency has not adopted an investment policy on that point. (GASB Codification Section I50.736-3)</t>
  </si>
  <si>
    <t>of the policy that is related to the risks discussed in GASB 40 should be disclosed. (GASB Codification Section I50.736-1)</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</si>
  <si>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</si>
  <si>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</si>
  <si>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</si>
  <si>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</si>
  <si>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</si>
  <si>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[GASB Codification T10 .105a.(1)]</t>
  </si>
  <si>
    <t>[GASB Codification T10 .105 a,(2)]</t>
  </si>
  <si>
    <t>[GASB Codification T10 .105a.(3)]</t>
  </si>
  <si>
    <t>[GASB Codification T10 .105b]</t>
  </si>
  <si>
    <t>[GASB Codification T10 .105f]</t>
  </si>
  <si>
    <t>that are exchange-traded, such as futures</t>
  </si>
  <si>
    <t>do not extend to derivative instruments</t>
  </si>
  <si>
    <t>A hedging derivative instrument can only expose a government to credit risk if it is reported as an asset (i.e., derivative instrument with negative fair values should be excluded from the above</t>
  </si>
  <si>
    <t>instrument transaction with the same counterparty, (b) each party owes the other determinable amounts, (c) the government has the right to set off the amount owed by the counterparty, and</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</si>
  <si>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</si>
  <si>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</si>
  <si>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contracts (GASB Codification Section D40.170.a).</t>
  </si>
  <si>
    <t>measures for certain investments and in certain circumstances (per GASB Statements 31 and 72.)</t>
  </si>
  <si>
    <t>Note: The paragraph numbers refer to the paragraph numbers in the GASB Codification for Tax Abatements.</t>
  </si>
  <si>
    <t>Fiduciary Activities:</t>
  </si>
  <si>
    <t>Complete the following schedule for any GASB fund that has restated numbers.</t>
  </si>
  <si>
    <t>Debt Service</t>
  </si>
  <si>
    <r>
      <t xml:space="preserve">3.  Material contingent liability is defined as </t>
    </r>
    <r>
      <rPr>
        <b/>
        <sz val="10"/>
        <rFont val="Arial"/>
        <family val="2"/>
      </rPr>
      <t>$20 million or greater</t>
    </r>
    <r>
      <rPr>
        <sz val="10"/>
        <rFont val="Arial"/>
        <family val="2"/>
      </rPr>
      <t>.</t>
    </r>
  </si>
  <si>
    <t>198</t>
  </si>
  <si>
    <t>updated 3/27/2020</t>
  </si>
  <si>
    <t>John Storment</t>
  </si>
  <si>
    <t>(984) 974-1043</t>
  </si>
  <si>
    <t>Malinda Peters</t>
  </si>
  <si>
    <t>(919) 733-7500</t>
  </si>
  <si>
    <t>Jason Cottle</t>
  </si>
  <si>
    <t>(919) 814-6719</t>
  </si>
  <si>
    <t>(919) 814-5320</t>
  </si>
  <si>
    <t>(984) 236-0626</t>
  </si>
  <si>
    <t>Natasha Farrington</t>
  </si>
  <si>
    <t>(919) 707-0657</t>
  </si>
  <si>
    <t>Note: This worksheet only applies to a University's transactions with its discretely presented</t>
  </si>
  <si>
    <t xml:space="preserve">          component units.  It does not apply to a University's transactions with its blended</t>
  </si>
  <si>
    <t xml:space="preserve">          component units. The amount reported as due from the component unit (due to the </t>
  </si>
  <si>
    <t xml:space="preserve">          component unit) by the University should be reconciled with the component unit and </t>
  </si>
  <si>
    <t xml:space="preserve">          submitted to OSC.</t>
  </si>
  <si>
    <t xml:space="preserve">          reported as due to the University (due from the University) on the foundation template </t>
  </si>
  <si>
    <t>Agrees to 'Due to agency/institution component</t>
  </si>
  <si>
    <t>of Net Position</t>
  </si>
  <si>
    <t>Agrees to 'Due from agency/institution</t>
  </si>
  <si>
    <t>Position</t>
  </si>
  <si>
    <t>State aid - Coronavirus Relief Fund</t>
  </si>
  <si>
    <t>438CAA</t>
  </si>
  <si>
    <t>Explain the purpose of transfers for all accounts over $4 million.  Use explanation tab if additional space is required.</t>
  </si>
  <si>
    <t>Cash Basis</t>
  </si>
  <si>
    <t>Accrual Basis</t>
  </si>
  <si>
    <t>Total COVID-19 funds</t>
  </si>
  <si>
    <t>GASB Fund</t>
  </si>
  <si>
    <t>Budget Code</t>
  </si>
  <si>
    <t>Full Center</t>
  </si>
  <si>
    <t>federal agencies in response to the coronavirus disease (COVID-19):</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</si>
  <si>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</si>
  <si>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</si>
  <si>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1"/>
        <rFont val="Arial"/>
        <family val="2"/>
      </rPr>
      <t>B.</t>
    </r>
    <r>
      <rPr>
        <b/>
        <sz val="10"/>
        <rFont val="Arial"/>
        <family val="2"/>
      </rPr>
      <t xml:space="preserve"> </t>
    </r>
    <r>
      <rPr>
        <sz val="10"/>
        <rFont val="Arial"/>
        <family val="2"/>
      </rPr>
      <t>If you answered yes in section A, complete the appropriate section for your agency below.</t>
    </r>
  </si>
  <si>
    <t>Federal Aid - COVID-19</t>
  </si>
  <si>
    <t>Advances To Other Funds/Component Units/Entities Outside of State Reporting Entity</t>
  </si>
  <si>
    <t>*Applicable for Universities for Balances in Account 114501*</t>
  </si>
  <si>
    <r>
      <t xml:space="preserve">(THRESHOLD APPLICABLE </t>
    </r>
    <r>
      <rPr>
        <b/>
        <sz val="12"/>
        <color rgb="FFFF0000"/>
        <rFont val="Arial"/>
        <family val="2"/>
      </rPr>
      <t>EXCEPT</t>
    </r>
    <r>
      <rPr>
        <b/>
        <sz val="12"/>
        <rFont val="Arial"/>
        <family val="2"/>
      </rPr>
      <t xml:space="preserve"> Coronavirus Funds  - SEE INSTRUCTIONS)</t>
    </r>
  </si>
  <si>
    <r>
      <t xml:space="preserve">(THRESHOLD APPLICABLE </t>
    </r>
    <r>
      <rPr>
        <b/>
        <sz val="12"/>
        <color rgb="FFFF0000"/>
        <rFont val="Arial"/>
        <family val="2"/>
      </rPr>
      <t>EXCEPT</t>
    </r>
    <r>
      <rPr>
        <b/>
        <sz val="12"/>
        <rFont val="Arial"/>
        <family val="2"/>
      </rPr>
      <t xml:space="preserve"> Coronavirus Funds - SEE INSTRUCTIONS)</t>
    </r>
  </si>
  <si>
    <t>430F</t>
  </si>
  <si>
    <t xml:space="preserve">Certain Asset Retirement Obligations </t>
  </si>
  <si>
    <r>
      <t>Employer Contribution Amounts for TSERS and OPEB (</t>
    </r>
    <r>
      <rPr>
        <sz val="11"/>
        <color rgb="FF0000FF"/>
        <rFont val="Calibri"/>
        <family val="2"/>
      </rPr>
      <t>Universities only)</t>
    </r>
  </si>
  <si>
    <t>Please provide the following information regarding your TSERS employer contributions.</t>
  </si>
  <si>
    <t>Lisa Culbreth</t>
  </si>
  <si>
    <t>(919) 707-7743</t>
  </si>
  <si>
    <t>*See comment in caption*</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</si>
  <si>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</si>
  <si>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</si>
  <si>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</si>
  <si>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</si>
  <si>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Software in Development (SID) Contracts</t>
  </si>
  <si>
    <t>Total Construction and SID Contract Commitments</t>
  </si>
  <si>
    <t>Amount of Construction
and SID Contract Commitments</t>
  </si>
  <si>
    <t>NC OSC Policy 101.6 - Net Position</t>
  </si>
  <si>
    <t>Advances to Outside Entities</t>
  </si>
  <si>
    <t>438SAA</t>
  </si>
  <si>
    <t>Michael Griffin</t>
  </si>
  <si>
    <t>(984) 974-1260</t>
  </si>
  <si>
    <t>Carolyn Perkins</t>
  </si>
  <si>
    <t>(919) 784-3479</t>
  </si>
  <si>
    <t>Individuals, organizations, and other governments</t>
  </si>
  <si>
    <t>Participant deposits</t>
  </si>
  <si>
    <t>Less investment expenses</t>
  </si>
  <si>
    <t>Payments in accordance with custodial arrangements</t>
  </si>
  <si>
    <t>Total deductions</t>
  </si>
  <si>
    <t xml:space="preserve">Net position - July 1, as restated </t>
  </si>
  <si>
    <t>Net position - June 30</t>
  </si>
  <si>
    <t>Net investment income</t>
  </si>
  <si>
    <t>Cash &amp; cash equivalents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</si>
  <si>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</si>
  <si>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</si>
  <si>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</si>
  <si>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</si>
  <si>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</si>
  <si>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</si>
  <si>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 xml:space="preserve">The occurrence of contamination that (1) is a result of normal operation of the tangible </t>
  </si>
  <si>
    <t>asset and (2) is not in the scope of Statement 49, as amended.</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</si>
  <si>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</si>
  <si>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</si>
  <si>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Certain Asset Retirement Obligations - Accounting and Financial Reporting</t>
  </si>
  <si>
    <t>If this is the first year of recognizing an ARO, complete the section below:</t>
  </si>
  <si>
    <t>The measurement of an ARO should be based on the best estimate of the current value of outlays</t>
  </si>
  <si>
    <t xml:space="preserve">expected to be incurred.  </t>
  </si>
  <si>
    <t xml:space="preserve">The measurement of a deferred outflow of resources associated with an ARO should be the amount </t>
  </si>
  <si>
    <t xml:space="preserve">corresponding to the liability upon initial measurement.  </t>
  </si>
  <si>
    <t>In subsequent years of recognizing the ARO, complete the section below:</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</si>
  <si>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</si>
  <si>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</si>
  <si>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</si>
  <si>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</si>
  <si>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 government should recognize a reduction of the deferred outflow of resource as an outflow of resources</t>
  </si>
  <si>
    <t>(expense) in a systematic and rational manner over a period of time:</t>
  </si>
  <si>
    <t>Total Notes from Direct Borrowings, Bonds &amp; Special Indebtedness Payable (net) Breakdown:</t>
  </si>
  <si>
    <t>special indebtedness payable)?</t>
  </si>
  <si>
    <t>(984) 236-1904</t>
  </si>
  <si>
    <t>Antonio McDaniel</t>
  </si>
  <si>
    <t>(919) 530-5422</t>
  </si>
  <si>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(432XXX accounts) that have been received in response to </t>
    </r>
  </si>
  <si>
    <t>Account Number (432XXX)</t>
  </si>
  <si>
    <t>Federal Fund Revenues</t>
  </si>
  <si>
    <t xml:space="preserve"> disease (COVID-19):</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</si>
  <si>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</si>
  <si>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</si>
  <si>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 xml:space="preserve">Amount for COVID-19 </t>
  </si>
  <si>
    <r>
      <t xml:space="preserve">funds Received </t>
    </r>
    <r>
      <rPr>
        <b/>
        <u/>
        <sz val="10"/>
        <rFont val="Arial"/>
        <family val="2"/>
      </rPr>
      <t>Directly</t>
    </r>
    <r>
      <rPr>
        <b/>
        <sz val="10"/>
        <rFont val="Arial"/>
        <family val="2"/>
      </rPr>
      <t xml:space="preserve"> </t>
    </r>
  </si>
  <si>
    <t>375-A</t>
  </si>
  <si>
    <t>375-B</t>
  </si>
  <si>
    <t>Total COVID-19 revenues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</si>
  <si>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</si>
  <si>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(432XXX or 5388XX </t>
  </si>
  <si>
    <t>NA Component Units</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</si>
  <si>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</si>
  <si>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t>Number (432XXX or 5388XX)</t>
  </si>
  <si>
    <t xml:space="preserve">Federal Fund Revenues Account </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</si>
  <si>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</si>
  <si>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</si>
  <si>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 in response to the coronavirus disease (COVID-19):</t>
  </si>
  <si>
    <r>
      <t xml:space="preserve">(2) For </t>
    </r>
    <r>
      <rPr>
        <b/>
        <sz val="10"/>
        <rFont val="Arial"/>
        <family val="2"/>
      </rPr>
      <t>State agencies</t>
    </r>
    <r>
      <rPr>
        <sz val="10"/>
        <rFont val="Arial"/>
        <family val="2"/>
      </rPr>
      <t>, please provide the following information for budgeted federal fund revenues (432XXX or 5388XX accounts) received directly from federal agencies</t>
    </r>
  </si>
  <si>
    <t>Offline Custodial Funds Proforma - 907</t>
  </si>
  <si>
    <t>DSS 11G report to determine if any amounts have restrictions imposed on them so that they are not available resources for payment of current liabilities.</t>
  </si>
  <si>
    <t>(Agrees to DSS 11P report)</t>
  </si>
  <si>
    <t xml:space="preserve">the DSS 11G report that exceeds $1 million record the amount below that is not </t>
  </si>
  <si>
    <t>Describe each restricted, committed, and assigned fund balance identified below in the Annual Report Narrative worksheet.  See instructions for more detail.</t>
  </si>
  <si>
    <t>Inventories should tie to 11G on DSS.</t>
  </si>
  <si>
    <t>Total Fund Balance and Other Credits per 11G</t>
  </si>
  <si>
    <t>The following must agree to Annual Report Narrative Worksheet 326:</t>
  </si>
  <si>
    <t>submission of your package but prior to November 30, please contact the Office of the State Controller</t>
  </si>
  <si>
    <t>of its statements which require disclosure as described above?</t>
  </si>
  <si>
    <t>Describe each restricted, committed, and assigned fund balance identified below in the Narrative worksheet.  See instructions for more detail.</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</si>
  <si>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 on DSS.</t>
  </si>
  <si>
    <t>Bryan Matthews</t>
  </si>
  <si>
    <t>Financial Reporting for Federal Coronavirus (COVID-19) Funds (375-A)</t>
  </si>
  <si>
    <t xml:space="preserve">Financial Reporting for Federal Coronavirus (COVID-19) Funds </t>
  </si>
  <si>
    <t>Budget Reporting for Federal Coronavirus (COVID-19) Funds (375-B)</t>
  </si>
  <si>
    <r>
      <t xml:space="preserve">government operations.  The required disclosures should be provided in the attached </t>
    </r>
    <r>
      <rPr>
        <b/>
        <u/>
        <sz val="10"/>
        <rFont val="Arial"/>
        <family val="2"/>
      </rPr>
      <t>Package Narratives</t>
    </r>
    <r>
      <rPr>
        <sz val="10"/>
        <rFont val="Arial"/>
        <family val="2"/>
      </rPr>
      <t>.</t>
    </r>
  </si>
  <si>
    <t>TRANSFERS TO BE ELIMINATED AT ANNUAL REPORT LEVEL (545)</t>
  </si>
  <si>
    <t>Complete the Package Narrative for additional disclosures required for each Tax Abatement Program.</t>
  </si>
  <si>
    <t>DATA FOR ANNUAL REPORT 5XX WORKSHEETS</t>
  </si>
  <si>
    <t>USED FOR  W/S 505, 510, 515, 520</t>
  </si>
  <si>
    <t>USED FOR W/S 525 AND 530</t>
  </si>
  <si>
    <t>2021 Year End Financial Reporting Package</t>
  </si>
  <si>
    <t xml:space="preserve">Schedule of Intra-Agency Inter-Company Operating Transfers to be Eliminated at Annual Report Level </t>
  </si>
  <si>
    <t xml:space="preserve">Roll-up tables for the  11P Stmnt of Net Position &amp;  53P Stmnt of Rev, Exp and Changes in Net Position showing NCAS  accts making  up each caption </t>
  </si>
  <si>
    <t>N = Worksheet Narrative may also need to be completed</t>
  </si>
  <si>
    <t>Taylor Davies</t>
  </si>
  <si>
    <t>(919)875-3761</t>
  </si>
  <si>
    <t xml:space="preserve">component units, whether offline or on NCAS, must complete the Nonmajor Component unit Comprehensive </t>
  </si>
  <si>
    <t>Annual Financial Report workbook.</t>
  </si>
  <si>
    <r>
      <t xml:space="preserve">required disclosures should be provided in the attached </t>
    </r>
    <r>
      <rPr>
        <b/>
        <u/>
        <sz val="10"/>
        <rFont val="Arial"/>
        <family val="2"/>
      </rPr>
      <t>Annual Report Package Narratives</t>
    </r>
    <r>
      <rPr>
        <sz val="10"/>
        <rFont val="Arial"/>
        <family val="2"/>
      </rPr>
      <t>.</t>
    </r>
  </si>
  <si>
    <t>a total of those projects on the narrative worksheet.</t>
  </si>
  <si>
    <t>For BTA's, the increase in accumulated depreciation should tie to depreciation expense on the 53P/operating statement.  If it doesn't, please provide</t>
  </si>
  <si>
    <t>Note: Internal service funds are considered Governmental activities for Government-wide presentation for the Annual Report.</t>
  </si>
  <si>
    <r>
      <rPr>
        <b/>
        <sz val="9"/>
        <rFont val="Arial"/>
        <family val="2"/>
      </rPr>
      <t>1</t>
    </r>
    <r>
      <rPr>
        <sz val="9"/>
        <rFont val="Arial"/>
        <family val="2"/>
      </rPr>
      <t xml:space="preserve">. Outstanding balance agrees to 11G (Notes from direct borrowings, bonds &amp; </t>
    </r>
  </si>
  <si>
    <t>additional information is provided, add a reference in the appropriate section below. See Worksheet Instructions for more information.</t>
  </si>
  <si>
    <t>Agrees to 53P/905</t>
  </si>
  <si>
    <t xml:space="preserve">employer contribution amounts subsequent to the measurement date for component units.  </t>
  </si>
  <si>
    <t>component units' on w/s 905 / Statement</t>
  </si>
  <si>
    <t>units' on w/s 905 / Statement of Net</t>
  </si>
  <si>
    <t>(Ties to 11G)</t>
  </si>
  <si>
    <t>Totals per 11G/11P/11F/905 (Bal Sheet/Stmt of Net Position):</t>
  </si>
  <si>
    <t>Total per 11G/11P/11F/905</t>
  </si>
  <si>
    <t>HOST11</t>
  </si>
  <si>
    <t>NOTE:  International Mutual Funds are subject to foreign currency risk if the investment in the fund is not denominated in U.S dollars.  See Worksheet Instructions.</t>
  </si>
  <si>
    <t>denominated.  Also see Worksheet Instructions.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</si>
  <si>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</si>
  <si>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</si>
  <si>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</si>
  <si>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</si>
  <si>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 xml:space="preserve">ACCOUNT ROLL-UP FOR 11P </t>
  </si>
  <si>
    <t>Note:  Not all captions on the 11P are included</t>
  </si>
  <si>
    <t xml:space="preserve">* For the Statewide Annual Report -Rolls to Long Term Liabilities Due within 1 year for CU and GW </t>
  </si>
  <si>
    <t>See below.* For the statewide Annual Report -Rolls to Long Term Liabilities Due within 1 year for CU and GW</t>
  </si>
  <si>
    <t>* For the Statewide Annual Report -Rolls to Long Term Liabilities Due within 1 year for CU and GW. Moved from Accounts payable for FY 2013-14.</t>
  </si>
  <si>
    <t>NEW PLACEMENT ON 11P</t>
  </si>
  <si>
    <t xml:space="preserve">* For the Statewide Annual Report -Rolls to Long Term Liabilities Due in more than one year for CU and GW </t>
  </si>
  <si>
    <t xml:space="preserve">* For the Statewide Annual Report -Rolls to Long Term Liabilities Due in more than one year for CU and GW. </t>
  </si>
  <si>
    <t xml:space="preserve">* For the Statewide Annual Report -Rolls to Long Term Liabilities Due in more than one year for CU and GW. Moved from Claims payable for FY 2013-14. </t>
  </si>
  <si>
    <t>* For the Statewide Annual Report -Rolls to Long Term Liabilities Due in more than one year for CU and GW . New account for FY 2014-15</t>
  </si>
  <si>
    <t>* For the Statewide Annual Report -Rolls to Long Term Liabilities Due in more than one year for CU and GW . New account for FY 2017-18</t>
  </si>
  <si>
    <t>ACCOUNT ROLL-UP FOR 53P</t>
  </si>
  <si>
    <t>Note:  Not all captions on the 53P are included</t>
  </si>
  <si>
    <t>Moved to Invalid for 2007 Annual Report</t>
  </si>
  <si>
    <t>Moved from Endowment Investments for 2008Annual Report</t>
  </si>
  <si>
    <t>Beginning net position total = ending net position per prior yr Annual Rprt</t>
  </si>
  <si>
    <t>entity (i.e. each column) reconcile back to that member's w/s 905.  I certify that the above reconciliation has been</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</si>
  <si>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</si>
  <si>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This worksheet is only for Def Comp and 401(k) combined Package so is NA for all others.</t>
  </si>
  <si>
    <t xml:space="preserve">* Note caption name changed from Mutual funds for 2011 Annual Report to Collective investment funds for 2012 Annual Report per request from DST </t>
  </si>
  <si>
    <t>on 7-24-12.</t>
  </si>
  <si>
    <t>GASB Number for Financial Reporting</t>
  </si>
  <si>
    <t>UNC Health Care Reporting Unit (Combined Package)</t>
  </si>
  <si>
    <t>Per Prior year Annual Report. Purpose: To populate Prior Yr columns  &amp; Beg bal for ws 201, 210 &amp; 310</t>
  </si>
  <si>
    <t>Package contact name</t>
  </si>
  <si>
    <t>Contact telephone</t>
  </si>
  <si>
    <t>For Comp Unit Package</t>
  </si>
  <si>
    <r>
      <rPr>
        <b/>
        <sz val="8"/>
        <rFont val="Calibri"/>
        <family val="2"/>
      </rPr>
      <t>²</t>
    </r>
    <r>
      <rPr>
        <sz val="8"/>
        <rFont val="Times New Roman"/>
        <family val="1"/>
      </rPr>
      <t xml:space="preserve"> Offline reporting for all universities starting FY 2012. Still use NCAS for monthly reporting.</t>
    </r>
  </si>
  <si>
    <t>Reclassified to nonmajor based on GASB 61; NCAS interface monthly, Offline for Annual Report</t>
  </si>
  <si>
    <t>Resumed as component unit for FY 2013(last time in Annual Report was 1999)</t>
  </si>
  <si>
    <t>Accounting data included in the North Carolina Accounting System, and reporting from NCAS for Annual Report</t>
  </si>
  <si>
    <t>Full accounting data not in NCAS, so paper reporting for Annual Report; agency uses another accounting system</t>
  </si>
  <si>
    <t xml:space="preserve">Note:  All entities complete the NCASexcl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</si>
  <si>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</si>
  <si>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Offline Custodial Funds Proforma - Stmt of Changes in Assets and Liabilities</t>
  </si>
  <si>
    <t>Univ WTB</t>
  </si>
  <si>
    <r>
      <t>See instructions at</t>
    </r>
    <r>
      <rPr>
        <sz val="10"/>
        <color theme="0"/>
        <rFont val="Arial"/>
        <family val="2"/>
      </rPr>
      <t xml:space="preserve"> K:\SASD\21CAFR\Statements\Component\Univ\Prior Year Balances\Instructions for Updating PY Balances.docx</t>
    </r>
  </si>
  <si>
    <t>Advances to Outside Entities (ws 535)</t>
  </si>
  <si>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</si>
  <si>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</si>
  <si>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t>Function:</t>
  </si>
  <si>
    <t>No Function</t>
  </si>
  <si>
    <t>FCCS_OpeningBalanceAdjustment</t>
  </si>
  <si>
    <t>Mvmts_AssetsTransferredIn</t>
  </si>
  <si>
    <t>Mvmts_AssetsTransferredOut</t>
  </si>
  <si>
    <t>Mvmts_PurchasedAdditions</t>
  </si>
  <si>
    <t>Mvmts_DonatedAdditions</t>
  </si>
  <si>
    <t>Mvmts_Retirements</t>
  </si>
  <si>
    <t>Mvmts_DecreaseInCIP</t>
  </si>
  <si>
    <t>Entity</t>
  </si>
  <si>
    <t>FS</t>
  </si>
  <si>
    <t>Gen Gov</t>
  </si>
  <si>
    <t>Y</t>
  </si>
  <si>
    <t>Number of Motor Fleet vehicles</t>
  </si>
  <si>
    <t>No FS</t>
  </si>
  <si>
    <t>HHS</t>
  </si>
  <si>
    <t>ENR</t>
  </si>
  <si>
    <t>Number of vehicles</t>
  </si>
  <si>
    <t>Department of Public Safety</t>
  </si>
  <si>
    <t>Public Safety</t>
  </si>
  <si>
    <t>Passenger/Cargo vans</t>
  </si>
  <si>
    <t>Adult Correction Vehicles</t>
  </si>
  <si>
    <t>Inmate transfer vans/buses</t>
  </si>
  <si>
    <t>Inmate workcrew vans/buses</t>
  </si>
  <si>
    <t>Pickup trucks</t>
  </si>
  <si>
    <t>Roving patrol pickups</t>
  </si>
  <si>
    <t>One ton maintenance trucks</t>
  </si>
  <si>
    <t>Other/Specialty trucks</t>
  </si>
  <si>
    <t>Enterprise Vehicles</t>
  </si>
  <si>
    <t>Inmate workcrew buses</t>
  </si>
  <si>
    <t>Cars/SUV's</t>
  </si>
  <si>
    <t>Alcohol Law Enforcement Vehicles</t>
  </si>
  <si>
    <t>Cars</t>
  </si>
  <si>
    <t>State Highway Patrol Vehicles</t>
  </si>
  <si>
    <t>Trucks/Vans</t>
  </si>
  <si>
    <t>Motorcycles</t>
  </si>
  <si>
    <t>State Bureau of Investigation Vehicles</t>
  </si>
  <si>
    <t>Helicopters</t>
  </si>
  <si>
    <t>State Highway Patrol Aircraft</t>
  </si>
  <si>
    <t>Primary subsystem</t>
  </si>
  <si>
    <t>Infrastructure Assets</t>
  </si>
  <si>
    <t>Trans</t>
  </si>
  <si>
    <t>Secondary subsystem</t>
  </si>
  <si>
    <t>Number of bridges</t>
  </si>
  <si>
    <t>Bridges</t>
  </si>
  <si>
    <t>Number of culverts</t>
  </si>
  <si>
    <t>Vehicles</t>
  </si>
  <si>
    <t>Heavy Equipment</t>
  </si>
  <si>
    <t>Higher Ed</t>
  </si>
  <si>
    <t>Number of administration buildings</t>
  </si>
  <si>
    <t>Number of clinical buildings</t>
  </si>
  <si>
    <t>Number of facility services</t>
  </si>
  <si>
    <t>Number of hospitals</t>
  </si>
  <si>
    <t>GovActivities</t>
  </si>
  <si>
    <t>BusinessActivities</t>
  </si>
  <si>
    <t>UnivFoundations</t>
  </si>
  <si>
    <t>Y1</t>
  </si>
  <si>
    <t>Y2</t>
  </si>
  <si>
    <t>Y3</t>
  </si>
  <si>
    <t>Y4</t>
  </si>
  <si>
    <t>Y5</t>
  </si>
  <si>
    <t>Y6-Y10</t>
  </si>
  <si>
    <t>Y11-Y15</t>
  </si>
  <si>
    <t>Y16-Y20</t>
  </si>
  <si>
    <t>Y21-Y25</t>
  </si>
  <si>
    <t>Y26-Y30</t>
  </si>
  <si>
    <t>Y31-Y35</t>
  </si>
  <si>
    <t>Y36-Y39</t>
  </si>
  <si>
    <t>Y40-Y44</t>
  </si>
  <si>
    <t>Y45-Y49</t>
  </si>
  <si>
    <t>Y50-Beyond</t>
  </si>
  <si>
    <t>FCCS_No Movement</t>
  </si>
  <si>
    <t>ST_NotesDtBorrowings</t>
  </si>
  <si>
    <t>ST_DtPlacements</t>
  </si>
  <si>
    <t>Principal_DSR</t>
  </si>
  <si>
    <t>Interest_DSR</t>
  </si>
  <si>
    <t>* Put X in boxes to generate Account number for Macro. Ex at row 15</t>
  </si>
  <si>
    <t>Principal_DSRI</t>
  </si>
  <si>
    <t>Interest_DSRI</t>
  </si>
  <si>
    <t>InterestRateSwap_DSRI</t>
  </si>
  <si>
    <t>* Put X in boxes to generate Account number for Macro. Ex at row 15.</t>
  </si>
  <si>
    <t>FCCS Entity:</t>
  </si>
  <si>
    <t>GovtAct</t>
  </si>
  <si>
    <t>Principal_PRC</t>
  </si>
  <si>
    <t>Interest_PRC</t>
  </si>
  <si>
    <t>Fair Value Changes</t>
  </si>
  <si>
    <t>NotionalAmount</t>
  </si>
  <si>
    <t>*In Case of Other(Row 20 &amp; 21), add new members in FCCS</t>
  </si>
  <si>
    <t>*Due Within One Year(Column O &amp; U) Not required for Agency Load</t>
  </si>
  <si>
    <t>NonspenInv</t>
  </si>
  <si>
    <t>PermCorpus</t>
  </si>
  <si>
    <t>LongtermNotesRec</t>
  </si>
  <si>
    <t>AdvOthfunds</t>
  </si>
  <si>
    <t>AdvCompUnit</t>
  </si>
  <si>
    <t>Committed</t>
  </si>
  <si>
    <t>Capital projects/Repairs and renovations</t>
  </si>
  <si>
    <t>CapProjectsReno</t>
  </si>
  <si>
    <t>Debt Serv</t>
  </si>
  <si>
    <t>OthPur</t>
  </si>
  <si>
    <t>Held by Counterparty</t>
  </si>
  <si>
    <t>Held by Counterparty's Trust Dept. or Agent but not in Agency's Name</t>
  </si>
  <si>
    <t>All Other Investments</t>
  </si>
  <si>
    <t>Fixed income collective investment funds</t>
  </si>
  <si>
    <t>Fixed Income ETFs</t>
  </si>
  <si>
    <t>Preferred Stock</t>
  </si>
  <si>
    <t>For 710, 720, 725 - top Other A &amp; B</t>
  </si>
  <si>
    <t>For 710 and 720 - bottom - for other C, D, E &amp; F</t>
  </si>
  <si>
    <t>Cash Surrender Value of Life Insurance_FV</t>
  </si>
  <si>
    <t>Cash Surrender Value of Life Insurance_NAV</t>
  </si>
  <si>
    <t>Collection and Mineral Rights_FV</t>
  </si>
  <si>
    <t>Collection and Mineral Rights_NAV</t>
  </si>
  <si>
    <t>Emerging Markets Equity</t>
  </si>
  <si>
    <t>Master Limited Partnerships</t>
  </si>
  <si>
    <t>Unit Investment Trusts</t>
  </si>
  <si>
    <t>Short-term Inv Collective Trust</t>
  </si>
  <si>
    <t>Hedge_commodity_debt collective inv trust</t>
  </si>
  <si>
    <t>Equity collective inv trusts</t>
  </si>
  <si>
    <t>For 755 - Investments (excluding NAV) lines 45-47</t>
  </si>
  <si>
    <t>Real estate investment trust_FV</t>
  </si>
  <si>
    <t>For 755 - Investments measured net asset value (NAV) lines 55-60</t>
  </si>
  <si>
    <t>Debt mutual funds_NAV</t>
  </si>
  <si>
    <t>Pooled debt funds_NAV</t>
  </si>
  <si>
    <t>Select Other Investment (Click here)</t>
  </si>
  <si>
    <t>Uninsured and Uncollateralized</t>
  </si>
  <si>
    <t>Held by Pledging Financial Institution</t>
  </si>
  <si>
    <t>Held by Pledging Fin. Institution's Trust Dept. or Agent not Agency's Name</t>
  </si>
  <si>
    <t>All Other Bank Balances</t>
  </si>
  <si>
    <t>Time/Demand/CD/BIC</t>
  </si>
  <si>
    <t>*Using exisiting line items in Row 13. Make sure the member names match with other sheets</t>
  </si>
  <si>
    <t>*Formula Column</t>
  </si>
  <si>
    <t>InActiveMarketsForidenticalAssets</t>
  </si>
  <si>
    <t>SignificantOtherObservableInputs</t>
  </si>
  <si>
    <t>SignificantOtherUnObservableInputs</t>
  </si>
  <si>
    <t>AmountNotReported</t>
  </si>
  <si>
    <t>Equity Put Options Long</t>
  </si>
  <si>
    <t>Equity Call Options Short</t>
  </si>
  <si>
    <t>FCCS Entity</t>
  </si>
  <si>
    <t>*Entity To be kept empty in case of Agency Load</t>
  </si>
  <si>
    <t>FCCS Agency</t>
  </si>
  <si>
    <t>Account TBL</t>
  </si>
  <si>
    <t>11R11000</t>
  </si>
  <si>
    <t>11R22000</t>
  </si>
  <si>
    <t>NetinvestmentCapitalAssets</t>
  </si>
  <si>
    <t>NonExpendable</t>
  </si>
  <si>
    <t>UnRestricted</t>
  </si>
  <si>
    <t>427AA000</t>
  </si>
  <si>
    <t>428AA000</t>
  </si>
  <si>
    <t>42BAA000</t>
  </si>
  <si>
    <t>421AA000</t>
  </si>
  <si>
    <t>421COVID</t>
  </si>
  <si>
    <t>56J99000</t>
  </si>
  <si>
    <t>42DAA000</t>
  </si>
  <si>
    <t>Econ Dev</t>
  </si>
  <si>
    <t>*Removed FCCS Account Codes*</t>
  </si>
  <si>
    <t>33240G</t>
  </si>
  <si>
    <t>06BC</t>
  </si>
  <si>
    <t>*Not being Used</t>
  </si>
  <si>
    <t>CollInvFund</t>
  </si>
  <si>
    <t>UnalInsCont</t>
  </si>
  <si>
    <t>SynthInvCont</t>
  </si>
  <si>
    <t>OthEmpBenefitsNP</t>
  </si>
  <si>
    <t>AdminExp</t>
  </si>
  <si>
    <t>33180G</t>
  </si>
  <si>
    <t>PensionBen</t>
  </si>
  <si>
    <t>Mvmts_LTDAdditions</t>
  </si>
  <si>
    <t>Mvmts_LTDDeletions</t>
  </si>
  <si>
    <t>NV880</t>
  </si>
  <si>
    <t>NV900</t>
  </si>
  <si>
    <t>NV1000</t>
  </si>
  <si>
    <t>State aid - Coronavirus</t>
  </si>
  <si>
    <t>740 Investment Type</t>
  </si>
  <si>
    <t>740 Currency</t>
  </si>
  <si>
    <t>Select Investment Type (Click here)</t>
  </si>
  <si>
    <t>Euro</t>
  </si>
  <si>
    <t>Canadian Dollar</t>
  </si>
  <si>
    <t>Australian Dollar</t>
  </si>
  <si>
    <t>Japanese Yen</t>
  </si>
  <si>
    <t>Hong Kong Dollar</t>
  </si>
  <si>
    <t>Swiss Franc</t>
  </si>
  <si>
    <t>New Taiwan Dollar</t>
  </si>
  <si>
    <t>Swedish Krona</t>
  </si>
  <si>
    <t>Singapore Dollar</t>
  </si>
  <si>
    <t>South Korean Won</t>
  </si>
  <si>
    <t>Indian Rupee</t>
  </si>
  <si>
    <t>Danish Krone</t>
  </si>
  <si>
    <t>South African Rand</t>
  </si>
  <si>
    <t>Mexican Peso</t>
  </si>
  <si>
    <t>Malaysian Ringgit</t>
  </si>
  <si>
    <t>Indonesian Rupiah</t>
  </si>
  <si>
    <t>Thai Baht</t>
  </si>
  <si>
    <t>UAE Dirham</t>
  </si>
  <si>
    <t>Select Foreign Currency (Click here)</t>
  </si>
  <si>
    <t>Pound Sterling</t>
  </si>
  <si>
    <t>Brazilian Real</t>
  </si>
  <si>
    <t>Turkish Lira</t>
  </si>
  <si>
    <t>Qatari Riyal</t>
  </si>
  <si>
    <t>Polish Zloty</t>
  </si>
  <si>
    <t>New Zealand Dollar</t>
  </si>
  <si>
    <t>Philippine Peso</t>
  </si>
  <si>
    <t>Norwegian Krone</t>
  </si>
  <si>
    <t>* Enter Valid GASB Number. Example - Use complete number(2700) instead of 27XX</t>
  </si>
  <si>
    <t>NCFS Agency</t>
  </si>
  <si>
    <t>UnivEnt</t>
  </si>
  <si>
    <t>0100</t>
  </si>
  <si>
    <t>0200</t>
  </si>
  <si>
    <t>0300</t>
  </si>
  <si>
    <t>0400</t>
  </si>
  <si>
    <t>0500</t>
  </si>
  <si>
    <t>0600</t>
  </si>
  <si>
    <t>0700</t>
  </si>
  <si>
    <t>0800</t>
  </si>
  <si>
    <t>0900</t>
  </si>
  <si>
    <t>1000</t>
  </si>
  <si>
    <t>1200</t>
  </si>
  <si>
    <t>1300</t>
  </si>
  <si>
    <t>1400</t>
  </si>
  <si>
    <t>1500</t>
  </si>
  <si>
    <t>1600</t>
  </si>
  <si>
    <t>1700</t>
  </si>
  <si>
    <t>1900</t>
  </si>
  <si>
    <t>4000</t>
  </si>
  <si>
    <t>4100</t>
  </si>
  <si>
    <t>4300</t>
  </si>
  <si>
    <t>4500</t>
  </si>
  <si>
    <t>4600</t>
  </si>
  <si>
    <t>5000</t>
  </si>
  <si>
    <t>6000</t>
  </si>
  <si>
    <t>6100</t>
  </si>
  <si>
    <t>6700</t>
  </si>
  <si>
    <t>6900</t>
  </si>
  <si>
    <t>8700</t>
  </si>
  <si>
    <t>9000</t>
  </si>
  <si>
    <t>9900</t>
  </si>
  <si>
    <t>RX00</t>
  </si>
  <si>
    <t>U100</t>
  </si>
  <si>
    <t>U200</t>
  </si>
  <si>
    <t>U300</t>
  </si>
  <si>
    <t>U400</t>
  </si>
  <si>
    <t>U500</t>
  </si>
  <si>
    <t>U550</t>
  </si>
  <si>
    <t>U600</t>
  </si>
  <si>
    <t>U650</t>
  </si>
  <si>
    <t>U700</t>
  </si>
  <si>
    <t>U750</t>
  </si>
  <si>
    <t>U800</t>
  </si>
  <si>
    <t>U820</t>
  </si>
  <si>
    <t>U840</t>
  </si>
  <si>
    <t>U860</t>
  </si>
  <si>
    <t>U880</t>
  </si>
  <si>
    <t>U900</t>
  </si>
  <si>
    <t>U920</t>
  </si>
  <si>
    <t>0A00</t>
  </si>
  <si>
    <t>Z200</t>
  </si>
  <si>
    <t>Z300</t>
  </si>
  <si>
    <t>Z700</t>
  </si>
  <si>
    <t>ZA00</t>
  </si>
  <si>
    <t>ZB00</t>
  </si>
  <si>
    <t>ZG00</t>
  </si>
  <si>
    <t>ZH00</t>
  </si>
  <si>
    <t>ZI00</t>
  </si>
  <si>
    <t>ZL00</t>
  </si>
  <si>
    <t>ZM00</t>
  </si>
  <si>
    <t>25170G</t>
  </si>
  <si>
    <t>Yelena Zaytseva</t>
  </si>
  <si>
    <t>919-707-0575</t>
  </si>
  <si>
    <t>Yelena.Zaytseva@osc.nc.gov</t>
  </si>
  <si>
    <t>Rachel McDonald</t>
  </si>
  <si>
    <t>(919) 807-7633</t>
  </si>
  <si>
    <t>Ann Anderson</t>
  </si>
  <si>
    <t>Allis Talley-Burton</t>
  </si>
  <si>
    <t>(919) 324-1045</t>
  </si>
  <si>
    <t>received. Please provide the following:</t>
  </si>
  <si>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</si>
  <si>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Please provide the following:</t>
  </si>
  <si>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</si>
  <si>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r>
      <t xml:space="preserve">capital assets for  </t>
    </r>
    <r>
      <rPr>
        <b/>
        <sz val="10"/>
        <color theme="1"/>
        <rFont val="Arial"/>
        <family val="2"/>
      </rPr>
      <t>[Insert agency name here.]</t>
    </r>
  </si>
  <si>
    <t>Kristabell Certain</t>
  </si>
  <si>
    <t>828-398-7358</t>
  </si>
  <si>
    <t>Gay Roberson</t>
  </si>
  <si>
    <t>252-940-6248</t>
  </si>
  <si>
    <t>Lacie Jacobs</t>
  </si>
  <si>
    <t>910-879-5500</t>
  </si>
  <si>
    <t>Carolyn Alley</t>
  </si>
  <si>
    <t>828-697-1730</t>
  </si>
  <si>
    <t>Santresa Culpepper</t>
  </si>
  <si>
    <t>910-755-7314</t>
  </si>
  <si>
    <t>Lindsay Cooley</t>
  </si>
  <si>
    <t>Donna Cumbie</t>
  </si>
  <si>
    <t>252-222-6161</t>
  </si>
  <si>
    <t>Shirley Swanson</t>
  </si>
  <si>
    <t>828-327-7000 x4508</t>
  </si>
  <si>
    <t>Brian Bridgers</t>
  </si>
  <si>
    <t>Lauren Gates</t>
  </si>
  <si>
    <t>704-330-6709</t>
  </si>
  <si>
    <t>Pam Boling</t>
  </si>
  <si>
    <t>704-669-4109</t>
  </si>
  <si>
    <t>Susan Gentry</t>
  </si>
  <si>
    <t>252-335-0821 x2214</t>
  </si>
  <si>
    <t>Christine Hurst</t>
  </si>
  <si>
    <t>252-637-5740</t>
  </si>
  <si>
    <t>Andrew Kleitsch</t>
  </si>
  <si>
    <t>919-536-7201 x1001</t>
  </si>
  <si>
    <t>Pamela Twitty</t>
  </si>
  <si>
    <t>252-618-6506</t>
  </si>
  <si>
    <t>Kathryn Alexander</t>
  </si>
  <si>
    <t>336-734-7367</t>
  </si>
  <si>
    <t>Shelly Alman</t>
  </si>
  <si>
    <t>(704) 922-6405</t>
  </si>
  <si>
    <t>Kathi Riffe</t>
  </si>
  <si>
    <t>336-334-4822 x50457</t>
  </si>
  <si>
    <t>Sanethia Smith</t>
  </si>
  <si>
    <t>252-538-4304</t>
  </si>
  <si>
    <t>828-395-1296</t>
  </si>
  <si>
    <t>910-275-6127</t>
  </si>
  <si>
    <t>David Webb</t>
  </si>
  <si>
    <t>JD Gibbs</t>
  </si>
  <si>
    <t>Tammy Bailey</t>
  </si>
  <si>
    <t>252-789-0225</t>
  </si>
  <si>
    <t>Cynthia Renfro</t>
  </si>
  <si>
    <t>828-766-1228</t>
  </si>
  <si>
    <t>Richard Mauney</t>
  </si>
  <si>
    <t>828-652-0600</t>
  </si>
  <si>
    <t>Jonathan Harris</t>
  </si>
  <si>
    <t>704-978-1307</t>
  </si>
  <si>
    <t>Tonya Luck</t>
  </si>
  <si>
    <t>910-898-9631</t>
  </si>
  <si>
    <t>252-249-1851 x3003</t>
  </si>
  <si>
    <t>Angela Peadan</t>
  </si>
  <si>
    <t>252-493-7257</t>
  </si>
  <si>
    <t>336-625-5607</t>
  </si>
  <si>
    <t>Gloria Moore</t>
  </si>
  <si>
    <t>910-900-4060 x2012</t>
  </si>
  <si>
    <t>910-246-4950</t>
  </si>
  <si>
    <t>Jennifer Ricketts</t>
  </si>
  <si>
    <t>704-272-5356</t>
  </si>
  <si>
    <t>Donna Turbeville</t>
  </si>
  <si>
    <t>Tony Martin</t>
  </si>
  <si>
    <t>336-386-3222</t>
  </si>
  <si>
    <t>Bill Vespasian</t>
  </si>
  <si>
    <t>828-835-4211</t>
  </si>
  <si>
    <t>252-738-3472</t>
  </si>
  <si>
    <t>919-866-5901</t>
  </si>
  <si>
    <t>919-739-7098</t>
  </si>
  <si>
    <t>252-246-1221</t>
  </si>
  <si>
    <t>Ashley Price</t>
  </si>
  <si>
    <t>(919) 707-0523</t>
  </si>
  <si>
    <t>Noncapital Contributions</t>
  </si>
  <si>
    <t>State Aid- Coronavirus</t>
  </si>
  <si>
    <t>432905 State Aid - Coronavirus</t>
  </si>
  <si>
    <t>114501 Advances to Outside Entities</t>
  </si>
  <si>
    <t>436207 Noncapital Contributions</t>
  </si>
  <si>
    <t>Angela Johnston</t>
  </si>
  <si>
    <t>(919) 890-1022</t>
  </si>
  <si>
    <t>August 15, 2022 for Tier 1 Entities</t>
  </si>
  <si>
    <t>August 22, 2022 for Tier 2 Entities</t>
  </si>
  <si>
    <t>August 26, 2022 for Tier 3 Entities</t>
  </si>
  <si>
    <t>August 29, 2022 for all others</t>
  </si>
  <si>
    <t>Package Updates made after April 29, 2022</t>
  </si>
  <si>
    <t>Budget Reporting for Federal Coronavirus (COVID-19) Funds</t>
  </si>
  <si>
    <t xml:space="preserve">Restatements Fiduciary Activities (Part 1 of 1) </t>
  </si>
  <si>
    <t>2022 Agency  Name</t>
  </si>
  <si>
    <t>Melissa Roberts</t>
  </si>
  <si>
    <t>Michelle Donegain</t>
  </si>
  <si>
    <t>910-521-6583</t>
  </si>
  <si>
    <t>Michelle Jeng</t>
  </si>
  <si>
    <t>Davidson-Davie Community College</t>
  </si>
  <si>
    <t>Jennifer Starsick</t>
  </si>
  <si>
    <t>336-224-4661</t>
  </si>
  <si>
    <t>Robin Deaver</t>
  </si>
  <si>
    <t>910-678-8250</t>
  </si>
  <si>
    <t>Carol Dornseif</t>
  </si>
  <si>
    <t>252-451-8365</t>
  </si>
  <si>
    <t>Cathy Biby</t>
  </si>
  <si>
    <t>Norma Brice</t>
  </si>
  <si>
    <t>Katie du Pont</t>
  </si>
  <si>
    <t>910-788-6203</t>
  </si>
  <si>
    <t>828-339-4473</t>
  </si>
  <si>
    <t>Kimberly Bradshaw</t>
  </si>
  <si>
    <t>704-991-0206</t>
  </si>
  <si>
    <t>Lori Hirth</t>
  </si>
  <si>
    <t>Monica Arney</t>
  </si>
  <si>
    <t>828-448-3129</t>
  </si>
  <si>
    <t xml:space="preserve">2021 Balances </t>
  </si>
  <si>
    <t>operations, or a disposal of operations during fiscal year 2022 (Indicate with an "X")?</t>
  </si>
  <si>
    <t>Christopher Crepps</t>
  </si>
  <si>
    <t>Beverly Murphy</t>
  </si>
  <si>
    <t>336-322-2117</t>
  </si>
  <si>
    <t>Carrie Douglas</t>
  </si>
  <si>
    <t>252-862-1229</t>
  </si>
  <si>
    <t>Lease Payable</t>
  </si>
  <si>
    <t>GASB 87 - Restated Lease Receivable</t>
  </si>
  <si>
    <t>GASB 87 - Restated Deferred Inflow of Resources - Leases</t>
  </si>
  <si>
    <t>Lease receivable</t>
  </si>
  <si>
    <t>Deferred inflows for leases</t>
  </si>
  <si>
    <t>GASB 87 - Restated Right to Use Assets: Operating Leases</t>
  </si>
  <si>
    <t>GASB 87 - Restated Lease Liability: Operating Leases</t>
  </si>
  <si>
    <t>GASB 87 - Restated Right to Use Assets: Capital Leases</t>
  </si>
  <si>
    <t>GASB 87 - Restated Lease Liability: Capital Leases</t>
  </si>
  <si>
    <t>Did your agency receive any donations during the fiscal year ending June 30, 2022?</t>
  </si>
  <si>
    <t>Do you agree with the ASSETSUM section of the FA Capital Asset Activity Report as of Fiscal Year End 2022?</t>
  </si>
  <si>
    <t xml:space="preserve">August 26, 2022 showing that the adjustments have been entered in the Fixed Asset System. </t>
  </si>
  <si>
    <t>during FY 2021 that were reported in the Fixed Asset System in FY 2022?</t>
  </si>
  <si>
    <t xml:space="preserve">FY 2022 FA500-A  Capital Asset Cost Adjustments Prior Year </t>
  </si>
  <si>
    <t xml:space="preserve">FY 2022 FA500-G  Capital Asset Prior Year Acquistion Report </t>
  </si>
  <si>
    <t xml:space="preserve">Are there any material acquisitions, retirements or cost adjustments that should be reported in FY 2022 that did not get recorded in the Fixed Asset System </t>
  </si>
  <si>
    <t>during FY 2022?</t>
  </si>
  <si>
    <t xml:space="preserve">FY 2023 FA500-K  Capital Asset Activity Report </t>
  </si>
  <si>
    <t>Agrees to 11G/11P/11F</t>
  </si>
  <si>
    <t>Total 2022 TSERS' employer contributions</t>
  </si>
  <si>
    <t>This should be the same amount that you keyed into the GASB 68 template for FY2022 employer</t>
  </si>
  <si>
    <t>Total 2022 RHBF employer contributions</t>
  </si>
  <si>
    <t>This should be the same amount that you keyed into the GASB 75 template for FY2022 employer</t>
  </si>
  <si>
    <t>Total 2022 DIPNC employer contributions</t>
  </si>
  <si>
    <t xml:space="preserve">Confirmation </t>
  </si>
  <si>
    <t>Phone Number/</t>
  </si>
  <si>
    <t xml:space="preserve">Email </t>
  </si>
  <si>
    <t>subsequent to June 30 and up to the date of ACFR preparation.</t>
  </si>
  <si>
    <t>Explain YES in the ACFR Package Narratives</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</si>
  <si>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</si>
  <si>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</si>
  <si>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</si>
  <si>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</si>
  <si>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Erica Smith</t>
  </si>
  <si>
    <t>Statements of Fiduciary Net Position &amp; Changes in Net Position</t>
  </si>
  <si>
    <t>Balance
June 30, 2022</t>
  </si>
  <si>
    <t>Dashboard</t>
  </si>
  <si>
    <t>Annual Report E-PACKAGE FILENAME</t>
  </si>
  <si>
    <t>Worksheet 602 completed showing TSERS, RHBF, &amp; DIPNC contributions</t>
  </si>
  <si>
    <t>for that Entiity followed by two zeros.</t>
  </si>
  <si>
    <t>Worksheet 101 question #1 answered appropriately - Valuaton Method</t>
  </si>
  <si>
    <t>Worksheet 101 question #4 answered appropriately (Y/N)</t>
  </si>
  <si>
    <t>Worksheet 101 question #6 answered appropriately (Y/N)</t>
  </si>
  <si>
    <t>Worksheet 110 question is answered appropriately (Y/N)</t>
  </si>
  <si>
    <t>Worksheet 202 question #3 answered appropriately (Y/N)</t>
  </si>
  <si>
    <t>Worksheet 202 question #4 answered appropriately (Y/N)</t>
  </si>
  <si>
    <t>Worksheet 120 question is answered appropriately (Y/N)</t>
  </si>
  <si>
    <t>Worksheet 203 question #1 answered appropriately (Y/N)</t>
  </si>
  <si>
    <t>Worksheet 203 question #2 answered appropriately (Y/N)</t>
  </si>
  <si>
    <t>Worksheet 203 question #3 answered appropriately (Y/N)</t>
  </si>
  <si>
    <t>Worksheet 345 contingencies question answered (Y/N) - Contingent liabilities</t>
  </si>
  <si>
    <t>Worksheet 345 contingencies question answered (Y/N) - Federal Grants and programs</t>
  </si>
  <si>
    <t>Worksheet 345 contingencies question answered (Y/N) - Food stamps and food commodities</t>
  </si>
  <si>
    <t>Worksheet 425 question answered appropriately (Y/N)</t>
  </si>
  <si>
    <t>Worksheet 101 question #2a answered appropriately (Y/N)</t>
  </si>
  <si>
    <t>Worksheet 202 question #1a answered appropriately (Y/N)</t>
  </si>
  <si>
    <t>Worksheet 202 question #1b answered appropriately (Y/N/na)</t>
  </si>
  <si>
    <t>Worksheet 101 question #5 answered appropriately (Y/N/na)</t>
  </si>
  <si>
    <t>Worksheet 101 question #7 answered appropriately (Y/N/na)</t>
  </si>
  <si>
    <t>Worksheet 202 question #2 answered appropriately (Y/N) - CIP</t>
  </si>
  <si>
    <t>Worksheet 202 question #2 answered appropriately (Y/N/na) - Newly constructed asset in FAS</t>
  </si>
  <si>
    <t>Worksheet 202 question #5 answered appropriately (Y/N/na)</t>
  </si>
  <si>
    <t>Worksheet 355 Subsequent events (Y/N)</t>
  </si>
  <si>
    <t>Worksheet 355 Subsequent events over $10M (Y/N)</t>
  </si>
  <si>
    <t>Worksheet 375-A question A. answered appropriately (Y/N)</t>
  </si>
  <si>
    <t>Worksheet 375-B question A. answered appropriately (Y/N)</t>
  </si>
  <si>
    <t>Worksheet 605 answered appropriately</t>
  </si>
  <si>
    <t>Worksheet 610 answered appropriately</t>
  </si>
  <si>
    <t>Worksheet 501 Total Col A must equal Col B</t>
  </si>
  <si>
    <t>Worksheet 540 Total Col A must equal Col B</t>
  </si>
  <si>
    <t>Worksheet 545 Total Col A must equal Col B</t>
  </si>
  <si>
    <t>Note: If you make any changes on the Tabs, then you must use the delete key to clear the cell information.</t>
  </si>
  <si>
    <r>
      <t>Worksheet 905 Statement of Net Position in balance</t>
    </r>
    <r>
      <rPr>
        <b/>
        <sz val="9"/>
        <color rgb="FFFF0000"/>
        <rFont val="Arial"/>
        <family val="2"/>
      </rPr>
      <t xml:space="preserve"> (Only required for Universities)</t>
    </r>
  </si>
  <si>
    <r>
      <t xml:space="preserve">Worksheet 905 Signature is required  </t>
    </r>
    <r>
      <rPr>
        <b/>
        <sz val="9"/>
        <color rgb="FFFF0000"/>
        <rFont val="Arial"/>
        <family val="2"/>
      </rPr>
      <t>(Only required for universities)</t>
    </r>
  </si>
  <si>
    <t>New FY 2022</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</si>
  <si>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</si>
  <si>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</si>
  <si>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Worksheet 203 signature required, if applicable</t>
  </si>
  <si>
    <t>Worksheet 338 answer appropriately (Y/N)</t>
  </si>
  <si>
    <t>Worksheet 101 question #2a filled out if answered "NO"</t>
  </si>
  <si>
    <t>Worksheet 101 question #4 filled out if answered "YES"</t>
  </si>
  <si>
    <t>Worksheet 101 question #6 filled out if answered "YES"</t>
  </si>
  <si>
    <t>Worksheet 101 question #7 filled out if answered "YES"</t>
  </si>
  <si>
    <t>Worksheet 120 question if answered "YES"</t>
  </si>
  <si>
    <t>Worksheet 201 CIP Column must balance to 0</t>
  </si>
  <si>
    <t>Worksheet 202 question #1a if answered "YES"- Type of Asset</t>
  </si>
  <si>
    <t>Worksheet 202 question #1a if answered "YES"- Value of Asset</t>
  </si>
  <si>
    <t>Worksheet 202 question #1b filled out if answered "NO"</t>
  </si>
  <si>
    <t>Worksheet 203 question #2 filled out if answered "YES"</t>
  </si>
  <si>
    <t>Worksheet 203 question #3 filled out if answered "YES"</t>
  </si>
  <si>
    <t>Worksheet 202 question #3 filled out if answered "YES"</t>
  </si>
  <si>
    <t>Worksheet 202 question #4 filled out if answered "YES"</t>
  </si>
  <si>
    <t>Worksheet 202 question #5 filled out if answered "NO"</t>
  </si>
  <si>
    <t>Worksheet 202 question #2 filled out if answered "YES"</t>
  </si>
  <si>
    <t>Worksheet 202 question #2 filled out if answered "NO"</t>
  </si>
  <si>
    <t>Worksheet 322 Reasonability Estimate answered appropriately (Y/N)</t>
  </si>
  <si>
    <t>Worksheet 330 Additions Tie</t>
  </si>
  <si>
    <t>Worksheet 345 Food Stamps/Commodites identified if answered "YES"</t>
  </si>
  <si>
    <t>Worksheet 370 question #1 is answered appropriately (Y/N)</t>
  </si>
  <si>
    <t>Worksheet 370 question #2 is answered appropriately (Y/N)</t>
  </si>
  <si>
    <t>Worksheet 375 question A identified if answered "YES"</t>
  </si>
  <si>
    <t>Worksheet 375 question B identified if answered "YES"</t>
  </si>
  <si>
    <t>Worksheet 425 question identified if answered "YES"</t>
  </si>
  <si>
    <t xml:space="preserve">Leases </t>
  </si>
  <si>
    <t>LEASES  (301)</t>
  </si>
  <si>
    <t>Public school capital projects/repairs &amp; renovations</t>
  </si>
  <si>
    <t>as of 6/29/2022</t>
  </si>
  <si>
    <t>as of 6/30/2022</t>
  </si>
  <si>
    <r>
      <t xml:space="preserve">Received </t>
    </r>
    <r>
      <rPr>
        <b/>
        <u/>
        <sz val="10"/>
        <rFont val="Arial"/>
        <family val="2"/>
      </rPr>
      <t>Directly</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</si>
  <si>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</si>
  <si>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</si>
  <si>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12. Right to Use Lease Asset- Land  and permanent easements</t>
  </si>
  <si>
    <t>13. Right to Use Lease Asset- Buildings</t>
  </si>
  <si>
    <t>14. Right to Use Lease Asset- Machinery and equipment</t>
  </si>
  <si>
    <t>15. Right to Use Lease Asset- General Infrastructure</t>
  </si>
  <si>
    <t>General Long-Term Debt</t>
  </si>
  <si>
    <t>Long-term/Short-term</t>
  </si>
  <si>
    <t>Right to Use Lease assets, depreciable:</t>
  </si>
  <si>
    <t>Total  Accumulated Depreciation-Capital Assets</t>
  </si>
  <si>
    <t>ACCUMULATED DEPRECIATION (210)</t>
  </si>
  <si>
    <t>Accumulated Depreciation</t>
  </si>
  <si>
    <t>Leases payable</t>
  </si>
  <si>
    <r>
      <t>Accrued interest (</t>
    </r>
    <r>
      <rPr>
        <sz val="9"/>
        <rFont val="Arial Narrow"/>
        <family val="2"/>
      </rPr>
      <t>Bonds, notes, leases)</t>
    </r>
  </si>
  <si>
    <t>Bonds &amp; similar debt Payable amounts per column [E] agree to 11G?</t>
  </si>
  <si>
    <r>
      <t xml:space="preserve">For each type of short-term debt, describe the debt activity and the purpose for which the debt was issued in an attached </t>
    </r>
    <r>
      <rPr>
        <b/>
        <sz val="9"/>
        <rFont val="Arial"/>
        <family val="2"/>
      </rPr>
      <t>"ACFR Package Narratives".</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</si>
  <si>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</si>
  <si>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</si>
  <si>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Did your agency have any previous capital leases that were reclassed to right to use assets in FY 2022, due to GASB 87?</t>
  </si>
  <si>
    <t xml:space="preserve">If you answered yes to question 4, please refer to questions a. and b. under question 4. </t>
  </si>
  <si>
    <t>Cost at 6/30/2021</t>
  </si>
  <si>
    <t>Accumulated Depreciation 6/30/2021</t>
  </si>
  <si>
    <t>Cost- Right to Use Asset 7/1/2021</t>
  </si>
  <si>
    <r>
      <t xml:space="preserve">Please complete the column for </t>
    </r>
    <r>
      <rPr>
        <u/>
        <sz val="10"/>
        <rFont val="Arial"/>
        <family val="2"/>
      </rPr>
      <t xml:space="preserve">Capital Assets GASB 5100 </t>
    </r>
    <r>
      <rPr>
        <sz val="10"/>
        <rFont val="Arial"/>
        <family val="2"/>
      </rPr>
      <t xml:space="preserve">on worksheet 430G-Fund Equity Restatement. </t>
    </r>
  </si>
  <si>
    <t xml:space="preserve">b.) Please provide the following the information for the right to use asset for the assets listed in question a. </t>
  </si>
  <si>
    <t>5)  Did your agency have any previous operating leases that were recorded as right to use assets in FY 2022 as of 7/1/2021?</t>
  </si>
  <si>
    <t xml:space="preserve"> If you answered yes, please provide the following information for the right to use assets recorded in FY 2022.</t>
  </si>
  <si>
    <t xml:space="preserve">I hereby certify that we have verified the above FA Capital Asset Activity Report and reconciled the FY 2022 </t>
  </si>
  <si>
    <t xml:space="preserve">Per GASB 87, Leases are no longer classified as operating or capital.  </t>
  </si>
  <si>
    <t>A lease is defined as a contract that conveys control of the right to use another entity's non-financial asset as specified</t>
  </si>
  <si>
    <t>by GASB 87 are financings of the right to use leased asset.</t>
  </si>
  <si>
    <t>in a contract for a period of time in an exchange or an exchange-like transaction.  Leasing Arrangements as defined</t>
  </si>
  <si>
    <t>– The lease liability reported by the University in the University Foundations column should agree with the</t>
  </si>
  <si>
    <t xml:space="preserve">   lease payable reported by the University foundation on the foundation template.</t>
  </si>
  <si>
    <t>Lease Liability</t>
  </si>
  <si>
    <t>These balances must agree to LEASES PAYABLE on the balance sheet.</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</si>
  <si>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</si>
  <si>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total of the "Business-type Activities" and the "University Foundations" columns must agree to LEASES PAYABLE on the balance sheet.</t>
  </si>
  <si>
    <t>Lessee:</t>
  </si>
  <si>
    <t>Lessor:</t>
  </si>
  <si>
    <t>Lease Receivable, Net</t>
  </si>
  <si>
    <t>Right to Use Lease Asset-Machinery and Equipment (ws 201)</t>
  </si>
  <si>
    <t>Right to Use Lease Asset-General infrastructure (ws 201)</t>
  </si>
  <si>
    <t>Right to Use Lease Asset-Buildings (ws 201)</t>
  </si>
  <si>
    <t>Right to Use Lease Asset-Land (ws 201)</t>
  </si>
  <si>
    <t>Leases payable-current (ws 310)</t>
  </si>
  <si>
    <t>Leases payable (ws 310)</t>
  </si>
  <si>
    <t>Deferred inflows for lease agreements</t>
  </si>
  <si>
    <t>Lease interest revenue</t>
  </si>
  <si>
    <t>438PAA</t>
  </si>
  <si>
    <t>538PAA</t>
  </si>
  <si>
    <t>5380XX</t>
  </si>
  <si>
    <t>Lease receivable, net</t>
  </si>
  <si>
    <t>Right to use lease asset-Land</t>
  </si>
  <si>
    <t>Right to use lease asset-Buildings</t>
  </si>
  <si>
    <t>Right to use lease asset-Machinery and Equipment</t>
  </si>
  <si>
    <t>Right to use lease asset-General Infrastructure</t>
  </si>
  <si>
    <t>Leases payable - current</t>
  </si>
  <si>
    <r>
      <t>disclosures should be provided in the attached</t>
    </r>
    <r>
      <rPr>
        <b/>
        <u/>
        <sz val="10"/>
        <rFont val="Arial"/>
        <family val="2"/>
      </rPr>
      <t xml:space="preserve"> ACFR Package Narratives</t>
    </r>
    <r>
      <rPr>
        <sz val="10"/>
        <rFont val="Arial"/>
        <family val="2"/>
      </rPr>
      <t xml:space="preserve"> (proformas are included).</t>
    </r>
  </si>
  <si>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</si>
  <si>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r>
      <t xml:space="preserve">The required disclosures should be provided in the attached </t>
    </r>
    <r>
      <rPr>
        <b/>
        <u/>
        <sz val="10"/>
        <rFont val="Arial"/>
        <family val="2"/>
      </rPr>
      <t>ACFR Package Narratives</t>
    </r>
    <r>
      <rPr>
        <sz val="10"/>
        <rFont val="Arial"/>
        <family val="2"/>
      </rPr>
      <t>.</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</si>
  <si>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</si>
  <si>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</si>
  <si>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</si>
  <si>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</si>
  <si>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</si>
  <si>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</si>
  <si>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Additional disclosures are required in the attached ACFR</t>
    </r>
    <r>
      <rPr>
        <b/>
        <u/>
        <sz val="10"/>
        <rFont val="Arial"/>
        <family val="2"/>
      </rPr>
      <t xml:space="preserve"> Package Narratives</t>
    </r>
    <r>
      <rPr>
        <b/>
        <sz val="10"/>
        <rFont val="Arial"/>
        <family val="2"/>
      </rPr>
      <t>.</t>
    </r>
  </si>
  <si>
    <t>Randy Bennett</t>
  </si>
  <si>
    <t>(336) 750-2733</t>
  </si>
  <si>
    <t>John Krellner</t>
  </si>
  <si>
    <t>919-707-0474</t>
  </si>
  <si>
    <t>John.Krellner@osc.nc.gov</t>
  </si>
  <si>
    <t xml:space="preserve">Note:  All amounts must tie to the 11G/11P/11F </t>
  </si>
  <si>
    <t xml:space="preserve">Agrees to  11P/905/Statement of Net Position </t>
  </si>
  <si>
    <t xml:space="preserve">Agrees to 11P/905/Statement of Net Position </t>
  </si>
  <si>
    <t>Agrees to 11G/P/F/905/Statement of Net Position</t>
  </si>
  <si>
    <t xml:space="preserve">Agrees to 11G/P/F/Statement of Net Position </t>
  </si>
  <si>
    <t xml:space="preserve">Agrees to 11G/P/F/905/Statement of Net Position </t>
  </si>
  <si>
    <t xml:space="preserve">No </t>
  </si>
  <si>
    <t xml:space="preserve">                            Yes</t>
  </si>
  <si>
    <t xml:space="preserve">Do you have a lease receivable with a component unit of the State? </t>
  </si>
  <si>
    <t xml:space="preserve">Primary government agency/ lease receivable amt </t>
  </si>
  <si>
    <t>Tangible Capital Asset (prior to reclass)</t>
  </si>
  <si>
    <t>Accumulated Amortization 7/1/2021</t>
  </si>
  <si>
    <t>Total Cost of Right to Use Assets - Capital Leases</t>
  </si>
  <si>
    <t>Total Cost of Right to Use Assets - Operating Leases</t>
  </si>
  <si>
    <t>Restatement - Right to Use Assets/Capital Leases</t>
  </si>
  <si>
    <t>*Restatement- Right to Use Assets/Operating Leases</t>
  </si>
  <si>
    <t>Restatement Amount for Right to Use Assets to be reported on WS 430G</t>
  </si>
  <si>
    <t>* Right to Use Asset cost related Operating Leases is the restatement amount to be reported on the ws 430G.</t>
  </si>
  <si>
    <t>Total Tangible CapitalAssets (prior to reclass)</t>
  </si>
  <si>
    <t>Total employed Department of Commerce</t>
  </si>
  <si>
    <t>Construction value excluding design fee</t>
  </si>
  <si>
    <t>Total students K12</t>
  </si>
  <si>
    <t>Combination hunting fishing licenses sold</t>
  </si>
  <si>
    <t>Number of students annualized FTE</t>
  </si>
  <si>
    <t>Number of certificates and degrees awarded CC</t>
  </si>
  <si>
    <t>Number of regular term students FTE</t>
  </si>
  <si>
    <t>Cases disposed as a percent of cases filed Superior Court</t>
  </si>
  <si>
    <t>Number of certificates and degrees awarded UNC</t>
  </si>
  <si>
    <t>Cases disposed as a percent of cases filed District Court</t>
  </si>
  <si>
    <t>Motor Fuel Rejection Rate</t>
  </si>
  <si>
    <t>Retail Scale Rejection Rate</t>
  </si>
  <si>
    <t>Clients served through Work First</t>
  </si>
  <si>
    <t>Capitalization Policy - *Assets Other Than Leases*</t>
  </si>
  <si>
    <t>Intangible assets (except for internally generated computer software &amp; leases) – $100,000;</t>
  </si>
  <si>
    <t>and all other capital assets - $5,000</t>
  </si>
  <si>
    <t>Capitalization Policy - *Leases Only*</t>
  </si>
  <si>
    <t xml:space="preserve">The OSC capitalization threshold for leases in the primary government is $10,000 or greater of the future </t>
  </si>
  <si>
    <t>lease payments through the lease term. Component units may choose a different threshold.</t>
  </si>
  <si>
    <t>Do you use the above threshold to capitalize lease assets?</t>
  </si>
  <si>
    <r>
      <t xml:space="preserve">AMORTIZATION </t>
    </r>
    <r>
      <rPr>
        <sz val="9"/>
        <rFont val="Arial"/>
        <family val="2"/>
      </rPr>
      <t>(STATE TREASURER, TRANSPORTATION, ENTERPRISE FUNDS, AND COMPONENT UNITS ONLY)</t>
    </r>
  </si>
  <si>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</si>
  <si>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</si>
  <si>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</si>
  <si>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</si>
  <si>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</si>
  <si>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</si>
  <si>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</si>
  <si>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</si>
  <si>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</si>
  <si>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</si>
  <si>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t>Worksheet 906-6B in balance</t>
  </si>
  <si>
    <t>Worksheet 906-6C in balance</t>
  </si>
  <si>
    <t>Worksheet 906-6BC in balance</t>
  </si>
  <si>
    <t>UR_BegBal</t>
  </si>
  <si>
    <t>UR_IncrInUnRev</t>
  </si>
  <si>
    <t>UR_PYearUnRevErnInCurYr</t>
  </si>
  <si>
    <t>UR_WrtOfUnclAmts</t>
  </si>
  <si>
    <t>UR_Motor fuels tax</t>
  </si>
  <si>
    <t>WS 620 Revenue Captions</t>
  </si>
  <si>
    <t>Select Revenue Statement Caption (Click here)</t>
  </si>
  <si>
    <t>UR_Alcoholic beverage tax</t>
  </si>
  <si>
    <t>UR_Corporate income tax</t>
  </si>
  <si>
    <t>UR_Estate tax</t>
  </si>
  <si>
    <t>UR_Gift tax</t>
  </si>
  <si>
    <t>UR_Manufacturing tax</t>
  </si>
  <si>
    <t>UR_Other taxes</t>
  </si>
  <si>
    <t>UR_Privilege license tax</t>
  </si>
  <si>
    <t>UR_Scrap tire disposal tax</t>
  </si>
  <si>
    <t>UR_Solid waste disposal tax</t>
  </si>
  <si>
    <t>UR_Unauthorized substance tax</t>
  </si>
  <si>
    <t>UR_White goods disposal tax</t>
  </si>
  <si>
    <t>UR_Federal funds</t>
  </si>
  <si>
    <t>UR_Interest earnings</t>
  </si>
  <si>
    <t>UR_Local funds</t>
  </si>
  <si>
    <t>UR_Fees licenses and fines</t>
  </si>
  <si>
    <t>UR_Miscellaneous revenue</t>
  </si>
  <si>
    <t>UR_Sales and services</t>
  </si>
  <si>
    <t>UR_Franchise tax</t>
  </si>
  <si>
    <t>UR_Highway use tax</t>
  </si>
  <si>
    <t>UR_Insurance tax</t>
  </si>
  <si>
    <t>UR_Reimbursements</t>
  </si>
  <si>
    <t>UR_Sales and use tax</t>
  </si>
  <si>
    <t>UR_Tobacco products tax</t>
  </si>
  <si>
    <t>UR_Tobacco settlement</t>
  </si>
  <si>
    <t>c)</t>
  </si>
  <si>
    <t>ACFR Package Narratives</t>
  </si>
  <si>
    <t>Complete the ACFR Package Narratives, as applicable (see separate WORD file).</t>
  </si>
  <si>
    <r>
      <t>ALL updates made to the package after</t>
    </r>
    <r>
      <rPr>
        <sz val="10.5"/>
        <color rgb="FFFF0000"/>
        <rFont val="Times New Roman"/>
        <family val="1"/>
      </rPr>
      <t xml:space="preserve"> April 29, 2022</t>
    </r>
    <r>
      <rPr>
        <sz val="10.5"/>
        <rFont val="Times New Roman"/>
        <family val="1"/>
      </rPr>
      <t xml:space="preserve">, will be listed on the "Pkg Updates" tab.  </t>
    </r>
  </si>
  <si>
    <t xml:space="preserve">For each individual project with a CIP, CSID, or PID balance of $25 million or more at 6/30/2022, complete the schedule in an attached "ACFR Package Narrative".  For all remaining projects below the threshold, provide   </t>
  </si>
  <si>
    <t>A general description of the impairment in attached "ACFR Package Narratives".</t>
  </si>
  <si>
    <r>
      <t>disclosures should be provided in the attached ACFR</t>
    </r>
    <r>
      <rPr>
        <b/>
        <u/>
        <sz val="10"/>
        <rFont val="Arial"/>
        <family val="2"/>
      </rPr>
      <t xml:space="preserve"> Package Narratives</t>
    </r>
    <r>
      <rPr>
        <sz val="10"/>
        <rFont val="Arial"/>
        <family val="2"/>
      </rPr>
      <t>.</t>
    </r>
  </si>
  <si>
    <t xml:space="preserve">Primary government agency/lease amount </t>
  </si>
  <si>
    <r>
      <t xml:space="preserve">guidelines listed above in the </t>
    </r>
    <r>
      <rPr>
        <b/>
        <sz val="10"/>
        <rFont val="Arial"/>
        <family val="2"/>
      </rPr>
      <t>ACFR Package Narratives Worksheet 345.</t>
    </r>
  </si>
  <si>
    <r>
      <t xml:space="preserve">       or in the </t>
    </r>
    <r>
      <rPr>
        <b/>
        <sz val="10"/>
        <rFont val="Arial"/>
        <family val="2"/>
      </rPr>
      <t>ACFR Package narratives Worksheet 345.</t>
    </r>
  </si>
  <si>
    <t>Changes for 2022/Comments</t>
  </si>
  <si>
    <t>Do not delete rows or columns on worksheets as macros have been added to some of the worksheets.</t>
  </si>
  <si>
    <t xml:space="preserve">Do not delete any worksheets, even if they are NA for your entity. Macros have been added to worksheets and </t>
  </si>
  <si>
    <t>deleting worksheets will negatively impact the macros.</t>
  </si>
  <si>
    <r>
      <t xml:space="preserve">As part of the statewide ACFR compilation for GASB 68, OSC is required to report the </t>
    </r>
    <r>
      <rPr>
        <b/>
        <sz val="10"/>
        <color theme="1"/>
        <rFont val="Arial"/>
        <family val="2"/>
      </rPr>
      <t>TSERS'</t>
    </r>
    <r>
      <rPr>
        <sz val="10"/>
        <color theme="1"/>
        <rFont val="Arial"/>
        <family val="2"/>
      </rPr>
      <t xml:space="preserve"> </t>
    </r>
  </si>
  <si>
    <r>
      <t xml:space="preserve">As part of the statewide ACFR compilation for GASB 75, OSC is required to report the </t>
    </r>
    <r>
      <rPr>
        <b/>
        <sz val="10"/>
        <color theme="1"/>
        <rFont val="Arial"/>
        <family val="2"/>
      </rPr>
      <t>RHBF</t>
    </r>
    <r>
      <rPr>
        <sz val="10"/>
        <color theme="1"/>
        <rFont val="Arial"/>
        <family val="2"/>
      </rPr>
      <t xml:space="preserve"> </t>
    </r>
  </si>
  <si>
    <r>
      <t xml:space="preserve">As part of the statewide ACFR compilation for GASB 75, OSC is required to report the </t>
    </r>
    <r>
      <rPr>
        <b/>
        <sz val="10"/>
        <color theme="1"/>
        <rFont val="Arial"/>
        <family val="2"/>
      </rPr>
      <t>DIPNC</t>
    </r>
    <r>
      <rPr>
        <sz val="10"/>
        <color theme="1"/>
        <rFont val="Arial"/>
        <family val="2"/>
      </rPr>
      <t xml:space="preserve"> </t>
    </r>
  </si>
  <si>
    <t>Also see ACFR worksheet instructions.</t>
  </si>
  <si>
    <t xml:space="preserve">the reasons thereof in the attached ACFR Package Narratives. </t>
  </si>
  <si>
    <r>
      <t xml:space="preserve">required disclosures should be provided in the attached </t>
    </r>
    <r>
      <rPr>
        <b/>
        <u/>
        <sz val="10"/>
        <rFont val="Arial"/>
        <family val="2"/>
      </rPr>
      <t>ACFR Package Narratives</t>
    </r>
    <r>
      <rPr>
        <sz val="10"/>
        <rFont val="Arial"/>
        <family val="2"/>
      </rPr>
      <t>.</t>
    </r>
  </si>
  <si>
    <t>Lisa Rash</t>
  </si>
  <si>
    <t>Describe each restricted net position identified below in the ACFR Narrative worksheet.  See instructions for more detail.</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</si>
  <si>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</si>
  <si>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2000</t>
  </si>
  <si>
    <t>3000</t>
  </si>
  <si>
    <t>538CAA</t>
  </si>
  <si>
    <t>538FAA*</t>
  </si>
  <si>
    <t>*Note: 538FAA accounts are only used by the Department of Public Safety.</t>
  </si>
  <si>
    <t>Financial Reporting Update for GASB 83.</t>
  </si>
  <si>
    <t>For Beginning Net position:
Ending Net Position per 2021 ACFR</t>
  </si>
  <si>
    <t>Source for 2021 ending net position</t>
  </si>
  <si>
    <t>Right to Use Lease Asset-Land</t>
  </si>
  <si>
    <t>Right to Use Lease Asset-Buildings</t>
  </si>
  <si>
    <t>Right to Use Lease Asset-Machinery and Equipment</t>
  </si>
  <si>
    <t>Right to Use Lease Asset-General infrastructure</t>
  </si>
  <si>
    <t>Deferred inflows of resources for lease agreements</t>
  </si>
  <si>
    <t>Other Purposes *NA for Universities*</t>
  </si>
  <si>
    <t>Other purposes *NA for Universities*</t>
  </si>
  <si>
    <t>Noncapital contributions</t>
  </si>
  <si>
    <t>Ending balances per 2021 ACFR</t>
  </si>
  <si>
    <t>Balances 6/30/21 per ws 310, Column E:</t>
  </si>
  <si>
    <t>Note by SRJ on 3/31/2022:  Prior Year balances have been updated.  Net position has been reconciled to the 2021 ACFR. See journal entries for more information. All entries incorporated into beginning balances were corrective in nature.</t>
  </si>
  <si>
    <t>New FY2022</t>
  </si>
  <si>
    <t>New FY2022-NA for Universities</t>
  </si>
  <si>
    <t>Agreed to total per WTB for UNC System (UNC System Total WTB after adjustments, Note 18 tab).  SRJ 3/31/2022</t>
  </si>
  <si>
    <t xml:space="preserve">Note: The ending net position per 2021 ACFR must be used as beginning net position for the 2022 ACFR. Any difference must be keyed on the Restatements line and explained on worksheet 430. </t>
  </si>
  <si>
    <t>Updated UNC System amounts - SRJ 3/31/22</t>
  </si>
  <si>
    <t>Updated Def. Comp and 401(k) amounts - JRK 3/14/22</t>
  </si>
  <si>
    <t xml:space="preserve">Component Unit/ lease amount </t>
  </si>
  <si>
    <t xml:space="preserve">Component Unit /lease receivable amount </t>
  </si>
  <si>
    <t>If your agency has any impaired capital assets including right to use leased assets, provide</t>
  </si>
  <si>
    <t>a.) If you answered yes, please provide the following information for capital leases reclassed to a right to use asset in FY 2022.</t>
  </si>
  <si>
    <t>8.</t>
  </si>
  <si>
    <r>
      <t>Additional disclosures are required in the attached</t>
    </r>
    <r>
      <rPr>
        <b/>
        <u/>
        <sz val="9.75"/>
        <rFont val="Arial"/>
        <family val="2"/>
      </rPr>
      <t xml:space="preserve"> ACFR Package Narratives</t>
    </r>
    <r>
      <rPr>
        <b/>
        <sz val="9.75"/>
        <rFont val="Arial"/>
        <family val="2"/>
      </rPr>
      <t xml:space="preserve">. </t>
    </r>
  </si>
  <si>
    <t xml:space="preserve">Did you report lease receivables in your financial statements?  </t>
  </si>
  <si>
    <r>
      <t xml:space="preserve">If yes, additional disclosures are required in the attached </t>
    </r>
    <r>
      <rPr>
        <b/>
        <u/>
        <sz val="9.75"/>
        <rFont val="Arial"/>
        <family val="2"/>
      </rPr>
      <t>ACFR Package Narratives</t>
    </r>
    <r>
      <rPr>
        <b/>
        <sz val="9.75"/>
        <rFont val="Arial"/>
        <family val="2"/>
      </rPr>
      <t xml:space="preserve">. </t>
    </r>
  </si>
  <si>
    <t>For right to use leased assets - disclose the impairment loss and any related change</t>
  </si>
  <si>
    <t xml:space="preserve"> in the lease liability in the attached "ACFR Package Narratives".</t>
  </si>
  <si>
    <t>101.5 - Statewide Accounting Policy - Fund Balance Reporting | NC OSC</t>
  </si>
  <si>
    <t>Worksheet 101 question #2b answered appropriately (Y/N)</t>
  </si>
  <si>
    <t>Worksheet 101 question #2b filled out if answered "NO"</t>
  </si>
  <si>
    <t>Worksheet 101 question #2c filled in</t>
  </si>
  <si>
    <t>Worksheet 203 question #4 answered appropriately (Y/N)</t>
  </si>
  <si>
    <t>Worksheet 203 question #5 answered appropriately (Y/N)</t>
  </si>
  <si>
    <t>Worksheet 305 anawered appropriately (Y/N)</t>
  </si>
  <si>
    <t>Worksheet 301 Lease with another Component Unit question answered appropriately</t>
  </si>
  <si>
    <t>Worksheet 301 amount identified if applicable</t>
  </si>
  <si>
    <t>Worksheet 301 Lease with another Primary Gov't Agency of State  question answered appropriately</t>
  </si>
  <si>
    <t>Worksheet 301 Lease  Rec with another Component Unit question answered appropriately</t>
  </si>
  <si>
    <t>Worksheet 301 Lease  Rec with another Prim Gov't Agency of State question answered appropriately</t>
  </si>
  <si>
    <t>Worksheet 301 Lease Receivables in Financial Statements</t>
  </si>
  <si>
    <r>
      <t xml:space="preserve">Worksheet 905 Net position between Statement of Net Position and O/S are equal </t>
    </r>
    <r>
      <rPr>
        <b/>
        <sz val="8"/>
        <color rgb="FFFF0000"/>
        <rFont val="Arial"/>
        <family val="2"/>
      </rPr>
      <t>(Only required for Universities)</t>
    </r>
  </si>
  <si>
    <t>01 North Carolina General Assembly</t>
  </si>
  <si>
    <t>Amanda Nash</t>
  </si>
  <si>
    <t>(336) 334-5180</t>
  </si>
  <si>
    <t>Wendy Emerson</t>
  </si>
  <si>
    <t>(336) 770-3304</t>
  </si>
  <si>
    <t>Larry Price</t>
  </si>
  <si>
    <t>919-447-7807</t>
  </si>
  <si>
    <t>Vincent Falvo</t>
  </si>
  <si>
    <t>(252) 737-1140</t>
  </si>
  <si>
    <t>Elizabeth Moreno</t>
  </si>
  <si>
    <t>(984) 236-0082</t>
  </si>
  <si>
    <t>DP Singla</t>
  </si>
  <si>
    <t>(919) 707-0081</t>
  </si>
  <si>
    <t>NEW FY2022</t>
  </si>
  <si>
    <t>See below. NEW FY2021</t>
  </si>
  <si>
    <t xml:space="preserve">115300 LEASE RECEIVABLE </t>
  </si>
  <si>
    <t>125300 LEASE RECEIVABLE</t>
  </si>
  <si>
    <t>127001  RTU LAND &amp; PERMANET EASEMENTS</t>
  </si>
  <si>
    <t>New account FY2022</t>
  </si>
  <si>
    <t>RTU Buildings</t>
  </si>
  <si>
    <t>127101 RTU BUILDINGS</t>
  </si>
  <si>
    <t>RTU Machinery &amp; Equipment</t>
  </si>
  <si>
    <t>127350 RTU MACHINERY &amp; EQUIPMENT</t>
  </si>
  <si>
    <t>RTU General Infrastructure</t>
  </si>
  <si>
    <t>127295 RTU GENERAL INFRASTRUCTURE</t>
  </si>
  <si>
    <t>RTU Land and permanent Easements</t>
  </si>
  <si>
    <t>127970 ACCUM DEPREC-RTU LAND</t>
  </si>
  <si>
    <t>127971 ACCUM DEPREC-RTU BUILDINGS</t>
  </si>
  <si>
    <t xml:space="preserve">127972 ACCUM DEPREC-RTU MACHINERY &amp; EQUIP </t>
  </si>
  <si>
    <t>127973 ACCUM DEPREC-RTU GENERAL INFRASTRUCTURE</t>
  </si>
  <si>
    <t>Lease liability *</t>
  </si>
  <si>
    <t>Name Change FY2022</t>
  </si>
  <si>
    <t>Name change FY2022</t>
  </si>
  <si>
    <t>214100 LEASES PAYABLE</t>
  </si>
  <si>
    <t>224100 LEASES PAYABLE</t>
  </si>
  <si>
    <t xml:space="preserve">  Deferred inflows Lease Agreements</t>
  </si>
  <si>
    <t>229208 DEFERRED INFLOWS FOR LEASE AGREEMENTS</t>
  </si>
  <si>
    <t>New Account FY2022</t>
  </si>
  <si>
    <t>437213 PROCEEDS-LEASES</t>
  </si>
  <si>
    <r>
      <t xml:space="preserve">moved from unclass for 2005-2006; </t>
    </r>
    <r>
      <rPr>
        <sz val="10"/>
        <color rgb="FFFF0000"/>
        <rFont val="Arial"/>
        <family val="2"/>
      </rPr>
      <t>New acct title FY2022</t>
    </r>
  </si>
  <si>
    <t>535313 LEASE PRINCIPLE PAYMENTS</t>
  </si>
  <si>
    <t>534140 RTU LAND AND PERM EASE</t>
  </si>
  <si>
    <t>534240 RTU BUILDINGS</t>
  </si>
  <si>
    <t>534425 RTU GENERAL INFRASTRUCTURE</t>
  </si>
  <si>
    <t>534560 RTU MACHINERY AND EQUIPMENT</t>
  </si>
  <si>
    <r>
      <t xml:space="preserve">moved from unclass for 2005-2006; </t>
    </r>
    <r>
      <rPr>
        <sz val="10"/>
        <color rgb="FFFF0000"/>
        <rFont val="Arial"/>
        <family val="2"/>
      </rPr>
      <t>new acct title FY2022</t>
    </r>
  </si>
  <si>
    <t>437128 LEASE INTEREST</t>
  </si>
  <si>
    <t>535323 LEASE INTEREST PAYMENTS</t>
  </si>
  <si>
    <t>See below NEW FY2021</t>
  </si>
  <si>
    <t>NEW FY2020, account caption changed FY2021</t>
  </si>
  <si>
    <t>Updated for FY 2022</t>
  </si>
  <si>
    <t>432KAA, 432LAA, 432GAA, 432SAA (NEW FY2021)</t>
  </si>
  <si>
    <t>Jeff Witherow</t>
  </si>
  <si>
    <t>Tonia Mattocks</t>
  </si>
  <si>
    <t>(919) 807-6027</t>
  </si>
  <si>
    <t>David Steinbicker</t>
  </si>
  <si>
    <t>(828) 227-3112</t>
  </si>
  <si>
    <t xml:space="preserve">Do you have a lease with a component unit of the State? </t>
  </si>
  <si>
    <t>Confirm lease liability reported on line 58 above with the Lessor's lease receivable.</t>
  </si>
  <si>
    <t>Contact Name/email</t>
  </si>
  <si>
    <t xml:space="preserve">Date Confirmed </t>
  </si>
  <si>
    <t xml:space="preserve">Component units only - Do you have a lease with a primary government agency of the State? </t>
  </si>
  <si>
    <t>If yes, provide the component unit the lease is with and the amount of the lease.</t>
  </si>
  <si>
    <t>If yes, provide the primary government agency the lease is with and the amount of the lease.</t>
  </si>
  <si>
    <t xml:space="preserve">   Yes</t>
  </si>
  <si>
    <t>If yes, provide the component unit the lease receivable is with and the amount of the receivable.</t>
  </si>
  <si>
    <t xml:space="preserve">Component units only -Do you have a lease receivable with a primary government agency of the State? </t>
  </si>
  <si>
    <t>Confirm lease liability reported on line 65 above with the Lessor's lease receivable.</t>
  </si>
  <si>
    <t>If yes, provide the primary government agency the lease receivable is with and the amount of the lease receivable.</t>
  </si>
  <si>
    <t>Confirm lease receivable reported on line 86 above with the Lessee's lease liability.</t>
  </si>
  <si>
    <t>Confirm lease receivable reported on line 79 above with the Lessee's lease liability.</t>
  </si>
  <si>
    <t>WS 301</t>
  </si>
  <si>
    <t>Lessor section- Added question on line 80 and 81, line 87 and 88, for primary government agency lessors that have a lease with a component unit and for component unit lessors that have  a lease with a primary government agency to confirm the lease receivable reported is in agreement with the Lessee's lease liability.  The lessor will provide a contact and email address of who the amount was confirmed with along with the date confirmed.</t>
  </si>
  <si>
    <t>Lessee section- Added question on line 59 and 60, line 66 and 67, for primary government agency lessees that have a lease with a component unit and for component unit lessees that have  a lease with a primary government agency to confirm the lease liability reported is in agreement with the Lessor's lease receivable.  The lessee will provide a contact and email address of who the amount was confirmed with along with the date confirmed.</t>
  </si>
  <si>
    <r>
      <t>File revision date:</t>
    </r>
    <r>
      <rPr>
        <b/>
        <sz val="9"/>
        <color rgb="FFFF0000"/>
        <rFont val="Calibri"/>
        <family val="2"/>
      </rPr>
      <t xml:space="preserve"> 6/17/2022</t>
    </r>
  </si>
  <si>
    <t>WS 420</t>
  </si>
  <si>
    <t>Provided additional information related to the calculation of "Net Investment in Capital Assets" in a note to consider GASB 87 Right to use lease assets, along with the accompanying reduction for the lease liabilities.</t>
  </si>
  <si>
    <t>Joanie Saucier</t>
  </si>
  <si>
    <t>**NOTE:  For FY 2022, the calculation for "Net Investment in Capital Assets" includes the sum of nondepreciable and net, depreciable capital assets (which includes the new right to use lease assets with the implementation of GASB 87), reduced by any capital debt, including the lease liabilities associated with the right to use lease assets.</t>
  </si>
  <si>
    <r>
      <rPr>
        <b/>
        <sz val="10"/>
        <rFont val="Arial"/>
        <family val="2"/>
      </rPr>
      <t>**</t>
    </r>
    <r>
      <rPr>
        <sz val="10"/>
        <rFont val="Arial"/>
        <family val="2"/>
      </rPr>
      <t>Net Investment in Capital Assets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</si>
</sst>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0_);\(###0\);;"/>
    <numFmt numFmtId="187" formatCode="&quot;$&quot;#,##0\ ;\(&quot;$&quot;#,##0\);@*."/>
    <numFmt numFmtId="188" formatCode="* #,###\ ;* \(#,###\);* \—\ \ "/>
    <numFmt numFmtId="189" formatCode="[$-409]mmmm\ d\,\ yyyy;@"/>
    <numFmt numFmtId="190" formatCode="m/d/yy;@"/>
    <numFmt numFmtId="191" formatCode="0_);\(0\)"/>
    <numFmt numFmtId="192" formatCode="* #,###\ ;* \(#,###\);@*."/>
    <numFmt numFmtId="193" formatCode="0.00_);\(0.00\)"/>
    <numFmt numFmtId="194" formatCode="_([$$-409]* #,##0.00_);_([$$-409]* \(#,##0.00\);_([$$-409]* &quot;-&quot;??_);_(@_)"/>
    <numFmt numFmtId="195" formatCode="mm/dd/yy;@"/>
    <numFmt numFmtId="196" formatCode="&quot;$&quot;#,##0"/>
    <numFmt numFmtId="197" formatCode="#,##0.00_);\(#,##0.00\);&quot;-       &quot;"/>
  </numFmts>
  <fonts count="325" x14ac:knownFonts="1">
    <font>
      <sz val="10"/>
      <name val="Arial"/>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b/>
      <sz val="8"/>
      <name val="Arial"/>
      <family val="2"/>
    </font>
    <font>
      <sz val="8"/>
      <name val="Arial"/>
      <family val="2"/>
    </font>
    <font>
      <b/>
      <sz val="9"/>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9.75"/>
      <name val="Arial"/>
      <family val="2"/>
    </font>
    <font>
      <b/>
      <sz val="10"/>
      <name val="Arial Narrow"/>
      <family val="2"/>
    </font>
    <font>
      <sz val="9.75"/>
      <name val="Arial"/>
      <family val="2"/>
    </font>
    <font>
      <sz val="10"/>
      <name val="Helv"/>
    </font>
    <font>
      <b/>
      <i/>
      <sz val="10"/>
      <name val="Arial"/>
      <family val="2"/>
    </font>
    <font>
      <i/>
      <sz val="10"/>
      <name val="Arial"/>
      <family val="2"/>
    </font>
    <font>
      <b/>
      <sz val="16"/>
      <name val="Arial"/>
      <family val="2"/>
    </font>
    <font>
      <b/>
      <i/>
      <sz val="10"/>
      <name val="Arial"/>
      <family val="2"/>
    </font>
    <font>
      <b/>
      <sz val="10"/>
      <color indexed="9"/>
      <name val="Arial"/>
      <family val="2"/>
    </font>
    <font>
      <sz val="10"/>
      <name val="Arial Narrow"/>
      <family val="2"/>
    </font>
    <font>
      <sz val="9"/>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b/>
      <sz val="12"/>
      <name val="MS Sans Serif"/>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b/>
      <sz val="10"/>
      <name val="Book Antiqua"/>
      <family val="1"/>
    </font>
    <font>
      <sz val="8"/>
      <name val="Arial Narrow"/>
      <family val="2"/>
    </font>
    <font>
      <sz val="8"/>
      <name val="Arial Narrow"/>
      <family val="2"/>
    </font>
    <font>
      <b/>
      <sz val="10"/>
      <name val="MS Sans Serif"/>
      <family val="2"/>
    </font>
    <font>
      <sz val="10"/>
      <name val="MS Sans Serif"/>
      <family val="2"/>
    </font>
    <font>
      <b/>
      <i/>
      <sz val="8"/>
      <name val="Arial"/>
      <family val="2"/>
    </font>
    <font>
      <b/>
      <sz val="11"/>
      <name val="Arial"/>
      <family val="2"/>
    </font>
    <font>
      <b/>
      <sz val="7"/>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7"/>
      <name val="Arial"/>
      <family val="2"/>
    </font>
    <font>
      <sz val="8"/>
      <color indexed="10"/>
      <name val="Arial"/>
      <family val="2"/>
    </font>
    <font>
      <sz val="20"/>
      <color indexed="10"/>
      <name val="Arial"/>
      <family val="2"/>
    </font>
    <font>
      <b/>
      <sz val="8.5"/>
      <name val="Arial"/>
      <family val="2"/>
    </font>
    <font>
      <sz val="18"/>
      <color indexed="10"/>
      <name val="Arial"/>
      <family val="2"/>
    </font>
    <font>
      <b/>
      <sz val="8.5"/>
      <name val="Arial"/>
      <family val="2"/>
    </font>
    <font>
      <sz val="10"/>
      <color indexed="12"/>
      <name val="Arial"/>
      <family val="2"/>
    </font>
    <font>
      <b/>
      <i/>
      <sz val="9"/>
      <name val="Arial"/>
      <family val="2"/>
    </font>
    <font>
      <b/>
      <u/>
      <sz val="9"/>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b/>
      <sz val="8"/>
      <name val="Arial"/>
      <family val="2"/>
    </font>
    <font>
      <sz val="9"/>
      <name val="Arial"/>
      <family val="2"/>
    </font>
    <font>
      <sz val="11"/>
      <name val="Arial Narrow"/>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sz val="10"/>
      <name val="Arial"/>
      <family val="2"/>
    </font>
    <font>
      <b/>
      <sz val="10"/>
      <name val="MS Sans Serif"/>
      <family val="2"/>
    </font>
    <font>
      <b/>
      <sz val="9"/>
      <name val="MS Sans Serif"/>
      <family val="2"/>
    </font>
    <font>
      <b/>
      <sz val="9"/>
      <name val="MS Sans Serif"/>
      <family val="2"/>
    </font>
    <font>
      <b/>
      <sz val="12"/>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vertAlign val="superscript"/>
      <sz val="10"/>
      <name val="Arial"/>
      <family val="2"/>
    </font>
    <font>
      <b/>
      <vertAlign val="superscript"/>
      <sz val="11"/>
      <name val="Arial"/>
      <family val="2"/>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10"/>
      <color indexed="14"/>
      <name val="Arial"/>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14"/>
      <name val="Arial"/>
      <family val="2"/>
    </font>
    <font>
      <sz val="10"/>
      <color indexed="8"/>
      <name val="Calibri"/>
      <family val="2"/>
    </font>
    <font>
      <sz val="8"/>
      <color indexed="36"/>
      <name val="Arial"/>
      <family val="2"/>
    </font>
    <font>
      <i/>
      <sz val="8"/>
      <color indexed="36"/>
      <name val="Arial"/>
      <family val="2"/>
    </font>
    <font>
      <sz val="10"/>
      <name val="Calibri"/>
      <family val="2"/>
    </font>
    <font>
      <sz val="9"/>
      <color indexed="8"/>
      <name val="Arial"/>
      <family val="2"/>
    </font>
    <font>
      <b/>
      <sz val="10"/>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b/>
      <sz val="11"/>
      <color indexed="14"/>
      <name val="Calibri"/>
      <family val="2"/>
    </font>
    <font>
      <u/>
      <sz val="11"/>
      <name val="Calibri"/>
      <family val="2"/>
    </font>
    <font>
      <b/>
      <sz val="11"/>
      <name val="Calibri"/>
      <family val="2"/>
    </font>
    <font>
      <b/>
      <sz val="9"/>
      <color indexed="9"/>
      <name val="Arial"/>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8"/>
      <color indexed="10"/>
      <name val="Arial"/>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sz val="10"/>
      <color indexed="10"/>
      <name val="Arial"/>
      <family val="2"/>
    </font>
    <font>
      <b/>
      <sz val="10"/>
      <color indexed="30"/>
      <name val="Arial"/>
      <family val="2"/>
    </font>
    <font>
      <b/>
      <sz val="10"/>
      <color indexed="1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b/>
      <sz val="10"/>
      <color indexed="8"/>
      <name val="Arial"/>
      <family val="2"/>
    </font>
    <font>
      <sz val="10"/>
      <color indexed="8"/>
      <name val="Arial"/>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sz val="10"/>
      <color indexed="10"/>
      <name val="MS Sans Serif"/>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b/>
      <sz val="9"/>
      <color rgb="FFFF0000"/>
      <name val="Calibri"/>
      <family val="2"/>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s>
  <fills count="65">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s>
  <borders count="61">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56">
    <xf numFmtId="0" fontId="0" fillId="0" borderId="0"/>
    <xf numFmtId="0" fontId="247" fillId="21" borderId="0" applyNumberFormat="0" applyBorder="0" applyAlignment="0" applyProtection="0"/>
    <xf numFmtId="0" fontId="247" fillId="22" borderId="0" applyNumberFormat="0" applyBorder="0" applyAlignment="0" applyProtection="0"/>
    <xf numFmtId="0" fontId="247" fillId="23" borderId="0" applyNumberFormat="0" applyBorder="0" applyAlignment="0" applyProtection="0"/>
    <xf numFmtId="0" fontId="247" fillId="24" borderId="0" applyNumberFormat="0" applyBorder="0" applyAlignment="0" applyProtection="0"/>
    <xf numFmtId="0" fontId="247" fillId="25" borderId="0" applyNumberFormat="0" applyBorder="0" applyAlignment="0" applyProtection="0"/>
    <xf numFmtId="0" fontId="247" fillId="26" borderId="0" applyNumberFormat="0" applyBorder="0" applyAlignment="0" applyProtection="0"/>
    <xf numFmtId="0" fontId="247" fillId="27" borderId="0" applyNumberFormat="0" applyBorder="0" applyAlignment="0" applyProtection="0"/>
    <xf numFmtId="0" fontId="247" fillId="28" borderId="0" applyNumberFormat="0" applyBorder="0" applyAlignment="0" applyProtection="0"/>
    <xf numFmtId="0" fontId="247" fillId="29" borderId="0" applyNumberFormat="0" applyBorder="0" applyAlignment="0" applyProtection="0"/>
    <xf numFmtId="0" fontId="247" fillId="30" borderId="0" applyNumberFormat="0" applyBorder="0" applyAlignment="0" applyProtection="0"/>
    <xf numFmtId="0" fontId="247" fillId="31" borderId="0" applyNumberFormat="0" applyBorder="0" applyAlignment="0" applyProtection="0"/>
    <xf numFmtId="0" fontId="247" fillId="32" borderId="0" applyNumberFormat="0" applyBorder="0" applyAlignment="0" applyProtection="0"/>
    <xf numFmtId="0" fontId="248" fillId="33" borderId="0" applyNumberFormat="0" applyBorder="0" applyAlignment="0" applyProtection="0"/>
    <xf numFmtId="0" fontId="248" fillId="34" borderId="0" applyNumberFormat="0" applyBorder="0" applyAlignment="0" applyProtection="0"/>
    <xf numFmtId="0" fontId="248" fillId="35" borderId="0" applyNumberFormat="0" applyBorder="0" applyAlignment="0" applyProtection="0"/>
    <xf numFmtId="0" fontId="248" fillId="36" borderId="0" applyNumberFormat="0" applyBorder="0" applyAlignment="0" applyProtection="0"/>
    <xf numFmtId="0" fontId="248" fillId="37" borderId="0" applyNumberFormat="0" applyBorder="0" applyAlignment="0" applyProtection="0"/>
    <xf numFmtId="0" fontId="248" fillId="38" borderId="0" applyNumberFormat="0" applyBorder="0" applyAlignment="0" applyProtection="0"/>
    <xf numFmtId="0" fontId="248" fillId="39" borderId="0" applyNumberFormat="0" applyBorder="0" applyAlignment="0" applyProtection="0"/>
    <xf numFmtId="0" fontId="248" fillId="40" borderId="0" applyNumberFormat="0" applyBorder="0" applyAlignment="0" applyProtection="0"/>
    <xf numFmtId="0" fontId="248" fillId="41" borderId="0" applyNumberFormat="0" applyBorder="0" applyAlignment="0" applyProtection="0"/>
    <xf numFmtId="0" fontId="248" fillId="42" borderId="0" applyNumberFormat="0" applyBorder="0" applyAlignment="0" applyProtection="0"/>
    <xf numFmtId="0" fontId="248" fillId="43" borderId="0" applyNumberFormat="0" applyBorder="0" applyAlignment="0" applyProtection="0"/>
    <xf numFmtId="0" fontId="248" fillId="44" borderId="0" applyNumberFormat="0" applyBorder="0" applyAlignment="0" applyProtection="0"/>
    <xf numFmtId="0" fontId="249" fillId="45" borderId="0" applyNumberFormat="0" applyBorder="0" applyAlignment="0" applyProtection="0"/>
    <xf numFmtId="0" fontId="250" fillId="46" borderId="50" applyNumberFormat="0" applyAlignment="0" applyProtection="0"/>
    <xf numFmtId="187" fontId="12" fillId="0" borderId="0"/>
    <xf numFmtId="0" fontId="251" fillId="47" borderId="5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8" fillId="0" borderId="0" applyFont="0" applyFill="0" applyBorder="0" applyAlignment="0" applyProtection="0"/>
    <xf numFmtId="0" fontId="40" fillId="0" borderId="1">
      <alignment horizontal="right"/>
      <protection locked="0"/>
    </xf>
    <xf numFmtId="0" fontId="29" fillId="0" borderId="1">
      <alignment horizontal="right"/>
      <protection locked="0"/>
    </xf>
    <xf numFmtId="0" fontId="29" fillId="0" borderId="1">
      <alignment horizontal="right"/>
      <protection locked="0"/>
    </xf>
    <xf numFmtId="0" fontId="252" fillId="0" borderId="0" applyNumberFormat="0" applyFill="0" applyBorder="0" applyAlignment="0" applyProtection="0"/>
    <xf numFmtId="0" fontId="253" fillId="48" borderId="0" applyNumberFormat="0" applyBorder="0" applyAlignment="0" applyProtection="0"/>
    <xf numFmtId="0" fontId="254" fillId="0" borderId="52" applyNumberFormat="0" applyFill="0" applyAlignment="0" applyProtection="0"/>
    <xf numFmtId="0" fontId="255" fillId="0" borderId="53" applyNumberFormat="0" applyFill="0" applyAlignment="0" applyProtection="0"/>
    <xf numFmtId="0" fontId="256" fillId="0" borderId="54" applyNumberFormat="0" applyFill="0" applyAlignment="0" applyProtection="0"/>
    <xf numFmtId="0" fontId="256" fillId="0" borderId="0" applyNumberFormat="0" applyFill="0" applyBorder="0" applyAlignment="0" applyProtection="0"/>
    <xf numFmtId="0" fontId="10" fillId="0" borderId="2">
      <protection locked="0"/>
    </xf>
    <xf numFmtId="0" fontId="25" fillId="0" borderId="2" applyBorder="0">
      <protection locked="0"/>
    </xf>
    <xf numFmtId="0" fontId="9" fillId="0" borderId="0">
      <protection locked="0"/>
    </xf>
    <xf numFmtId="0" fontId="18" fillId="0" borderId="0">
      <protection locked="0"/>
    </xf>
    <xf numFmtId="15" fontId="12" fillId="0" borderId="1" applyNumberFormat="0">
      <protection locked="0"/>
    </xf>
    <xf numFmtId="0" fontId="49" fillId="0" borderId="0" applyNumberFormat="0" applyFon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49" borderId="50" applyNumberFormat="0" applyAlignment="0" applyProtection="0"/>
    <xf numFmtId="0" fontId="259" fillId="0" borderId="55" applyNumberFormat="0" applyFill="0" applyAlignment="0" applyProtection="0"/>
    <xf numFmtId="0" fontId="260" fillId="50" borderId="0" applyNumberFormat="0" applyBorder="0" applyAlignment="0" applyProtection="0"/>
    <xf numFmtId="165" fontId="131" fillId="0" borderId="0">
      <protection locked="0"/>
    </xf>
    <xf numFmtId="165" fontId="15" fillId="0" borderId="0">
      <protection locked="0"/>
    </xf>
    <xf numFmtId="0" fontId="8" fillId="0" borderId="0"/>
    <xf numFmtId="165" fontId="15" fillId="0" borderId="0">
      <protection locked="0"/>
    </xf>
    <xf numFmtId="0" fontId="247" fillId="0" borderId="0"/>
    <xf numFmtId="0" fontId="247" fillId="0" borderId="0"/>
    <xf numFmtId="0" fontId="8" fillId="0" borderId="0"/>
    <xf numFmtId="0" fontId="2" fillId="0" borderId="0"/>
    <xf numFmtId="0" fontId="2" fillId="0" borderId="0"/>
    <xf numFmtId="0" fontId="7" fillId="0" borderId="0"/>
    <xf numFmtId="0" fontId="2" fillId="0" borderId="0"/>
    <xf numFmtId="0" fontId="2" fillId="0" borderId="0"/>
    <xf numFmtId="168" fontId="15" fillId="0" borderId="0">
      <protection locked="0"/>
    </xf>
    <xf numFmtId="168" fontId="170" fillId="0" borderId="0">
      <protection locked="0"/>
    </xf>
    <xf numFmtId="168" fontId="15" fillId="0" borderId="0">
      <protection locked="0"/>
    </xf>
    <xf numFmtId="0" fontId="2" fillId="0" borderId="0"/>
    <xf numFmtId="0" fontId="30" fillId="0" borderId="0"/>
    <xf numFmtId="168" fontId="15" fillId="0" borderId="0">
      <protection locked="0"/>
    </xf>
    <xf numFmtId="168" fontId="15" fillId="0" borderId="0">
      <protection locked="0"/>
    </xf>
    <xf numFmtId="0" fontId="10" fillId="0" borderId="0"/>
    <xf numFmtId="168" fontId="15" fillId="0" borderId="0">
      <protection locked="0"/>
    </xf>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12" fillId="0" borderId="0"/>
    <xf numFmtId="0" fontId="2" fillId="0" borderId="0"/>
    <xf numFmtId="0" fontId="2" fillId="0" borderId="0"/>
    <xf numFmtId="0" fontId="12" fillId="0" borderId="0"/>
    <xf numFmtId="0" fontId="12" fillId="0" borderId="0"/>
    <xf numFmtId="0" fontId="50" fillId="0" borderId="0"/>
    <xf numFmtId="0" fontId="8" fillId="0" borderId="0"/>
    <xf numFmtId="0" fontId="12" fillId="0" borderId="0"/>
    <xf numFmtId="0" fontId="8" fillId="0" borderId="0"/>
    <xf numFmtId="0" fontId="8" fillId="0" borderId="0"/>
    <xf numFmtId="0" fontId="8" fillId="0" borderId="0"/>
    <xf numFmtId="0" fontId="123" fillId="0" borderId="0"/>
    <xf numFmtId="0" fontId="8" fillId="0" borderId="0"/>
    <xf numFmtId="0" fontId="8" fillId="0" borderId="0"/>
    <xf numFmtId="0" fontId="8" fillId="0" borderId="0"/>
    <xf numFmtId="0" fontId="12" fillId="0" borderId="0"/>
    <xf numFmtId="0" fontId="12" fillId="0" borderId="0"/>
    <xf numFmtId="0" fontId="8" fillId="0" borderId="0"/>
    <xf numFmtId="0" fontId="123" fillId="0" borderId="0"/>
    <xf numFmtId="0" fontId="2" fillId="0" borderId="0"/>
    <xf numFmtId="0" fontId="15" fillId="0" borderId="0">
      <protection locked="0"/>
    </xf>
    <xf numFmtId="0" fontId="2" fillId="0" borderId="0"/>
    <xf numFmtId="0" fontId="179" fillId="51" borderId="56" applyNumberFormat="0" applyFont="0" applyAlignment="0" applyProtection="0"/>
    <xf numFmtId="167" fontId="15" fillId="0" borderId="0">
      <protection locked="0"/>
    </xf>
    <xf numFmtId="168" fontId="15" fillId="0" borderId="0">
      <protection locked="0"/>
    </xf>
    <xf numFmtId="0" fontId="15" fillId="0" borderId="0">
      <protection locked="0"/>
    </xf>
    <xf numFmtId="167" fontId="15" fillId="0" borderId="3">
      <protection locked="0"/>
    </xf>
    <xf numFmtId="168" fontId="15" fillId="0" borderId="4">
      <protection locked="0"/>
    </xf>
    <xf numFmtId="181" fontId="15" fillId="0" borderId="0"/>
    <xf numFmtId="181" fontId="15" fillId="0" borderId="3"/>
    <xf numFmtId="181" fontId="15" fillId="0" borderId="4"/>
    <xf numFmtId="0" fontId="261" fillId="46" borderId="57"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262" fillId="0" borderId="0" applyNumberFormat="0" applyFill="0" applyBorder="0" applyAlignment="0" applyProtection="0"/>
    <xf numFmtId="0" fontId="263" fillId="0" borderId="58" applyNumberFormat="0" applyFill="0" applyAlignment="0" applyProtection="0"/>
    <xf numFmtId="0" fontId="264" fillId="0" borderId="0" applyNumberFormat="0" applyFill="0" applyBorder="0" applyAlignment="0" applyProtection="0"/>
    <xf numFmtId="168" fontId="15" fillId="0" borderId="0">
      <protection locked="0"/>
    </xf>
    <xf numFmtId="0" fontId="8" fillId="0" borderId="0"/>
    <xf numFmtId="0" fontId="8" fillId="0" borderId="0"/>
    <xf numFmtId="0" fontId="8" fillId="0" borderId="0"/>
    <xf numFmtId="0" fontId="8"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72" fillId="0" borderId="0" applyFont="0" applyFill="0" applyBorder="0" applyAlignment="0" applyProtection="0"/>
    <xf numFmtId="0" fontId="1" fillId="0" borderId="0"/>
    <xf numFmtId="0" fontId="1" fillId="0" borderId="0"/>
    <xf numFmtId="0" fontId="172" fillId="51" borderId="56" applyNumberFormat="0" applyFont="0" applyAlignment="0" applyProtection="0"/>
  </cellStyleXfs>
  <cellXfs count="3403">
    <xf numFmtId="0" fontId="0" fillId="0" borderId="0" xfId="0"/>
    <xf numFmtId="164" fontId="3" fillId="0" borderId="0" xfId="0" applyNumberFormat="1" applyFont="1" applyAlignment="1">
      <alignment horizontal="center"/>
    </xf>
    <xf numFmtId="0" fontId="4" fillId="0" borderId="0" xfId="0" applyFont="1"/>
    <xf numFmtId="0" fontId="5" fillId="0" borderId="0" xfId="0" applyFont="1"/>
    <xf numFmtId="0" fontId="4" fillId="0" borderId="0" xfId="0" applyFont="1" applyAlignment="1">
      <alignment horizontal="center"/>
    </xf>
    <xf numFmtId="164" fontId="7" fillId="0" borderId="0" xfId="0" applyNumberFormat="1" applyFont="1"/>
    <xf numFmtId="164" fontId="7" fillId="0" borderId="0" xfId="0" applyNumberFormat="1" applyFont="1" applyAlignment="1">
      <alignment horizontal="right"/>
    </xf>
    <xf numFmtId="164" fontId="3" fillId="0" borderId="2" xfId="0" applyNumberFormat="1" applyFont="1" applyBorder="1" applyAlignment="1">
      <alignment horizontal="center"/>
    </xf>
    <xf numFmtId="0" fontId="28" fillId="0" borderId="0" xfId="101" applyFont="1"/>
    <xf numFmtId="0" fontId="28" fillId="0" borderId="0" xfId="101" applyFont="1" applyAlignment="1">
      <alignment horizontal="right"/>
    </xf>
    <xf numFmtId="40" fontId="28" fillId="0" borderId="0" xfId="39" applyFont="1"/>
    <xf numFmtId="0" fontId="28" fillId="0" borderId="0" xfId="98" applyFont="1"/>
    <xf numFmtId="40" fontId="28" fillId="0" borderId="0" xfId="38" applyFont="1"/>
    <xf numFmtId="0" fontId="41" fillId="0" borderId="0" xfId="0" applyFont="1"/>
    <xf numFmtId="0" fontId="7" fillId="0" borderId="0" xfId="0" applyFont="1"/>
    <xf numFmtId="0" fontId="29" fillId="0" borderId="0" xfId="0" applyFont="1"/>
    <xf numFmtId="0" fontId="25" fillId="0" borderId="0" xfId="88" applyFont="1"/>
    <xf numFmtId="0" fontId="27" fillId="0" borderId="0" xfId="88" applyFont="1"/>
    <xf numFmtId="0" fontId="25" fillId="0" borderId="0" xfId="88" applyFont="1" applyAlignment="1">
      <alignment horizontal="centerContinuous"/>
    </xf>
    <xf numFmtId="0" fontId="15" fillId="0" borderId="0" xfId="88" applyFont="1"/>
    <xf numFmtId="0" fontId="46" fillId="0" borderId="0" xfId="81" applyFont="1"/>
    <xf numFmtId="0" fontId="47" fillId="0" borderId="0" xfId="81" applyFont="1"/>
    <xf numFmtId="0" fontId="38" fillId="0" borderId="0" xfId="81" applyFont="1"/>
    <xf numFmtId="0" fontId="38" fillId="0" borderId="0" xfId="81" applyFont="1" applyAlignment="1">
      <alignment horizontal="right"/>
    </xf>
    <xf numFmtId="0" fontId="17" fillId="0" borderId="0" xfId="0" applyFont="1"/>
    <xf numFmtId="164" fontId="4" fillId="0" borderId="0" xfId="0" applyNumberFormat="1" applyFont="1" applyAlignment="1">
      <alignment horizontal="center" shrinkToFit="1"/>
    </xf>
    <xf numFmtId="0" fontId="4" fillId="0" borderId="1" xfId="0" applyFont="1" applyBorder="1" applyAlignment="1">
      <alignment horizontal="center"/>
    </xf>
    <xf numFmtId="0" fontId="22" fillId="0" borderId="0" xfId="0" applyFont="1"/>
    <xf numFmtId="164" fontId="3" fillId="0" borderId="0" xfId="100" applyNumberFormat="1" applyFont="1" applyAlignment="1">
      <alignment horizontal="center"/>
    </xf>
    <xf numFmtId="164" fontId="3" fillId="0" borderId="0" xfId="100" applyNumberFormat="1" applyFont="1" applyAlignment="1">
      <alignment horizontal="centerContinuous"/>
    </xf>
    <xf numFmtId="164" fontId="3" fillId="0" borderId="0" xfId="97" applyNumberFormat="1" applyFont="1" applyAlignment="1">
      <alignment horizontal="centerContinuous"/>
    </xf>
    <xf numFmtId="0" fontId="2" fillId="0" borderId="0" xfId="100"/>
    <xf numFmtId="164" fontId="7" fillId="0" borderId="0" xfId="100" applyNumberFormat="1" applyFont="1" applyAlignment="1">
      <alignment horizontal="right"/>
    </xf>
    <xf numFmtId="164" fontId="7" fillId="0" borderId="0" xfId="97" applyNumberFormat="1" applyFont="1" applyAlignment="1">
      <alignment horizontal="center" shrinkToFit="1"/>
    </xf>
    <xf numFmtId="164" fontId="7" fillId="0" borderId="0" xfId="100" applyNumberFormat="1" applyFont="1"/>
    <xf numFmtId="164" fontId="6" fillId="0" borderId="0" xfId="100" applyNumberFormat="1" applyFont="1"/>
    <xf numFmtId="164" fontId="3" fillId="0" borderId="2" xfId="100" applyNumberFormat="1" applyFont="1" applyBorder="1" applyAlignment="1">
      <alignment horizontal="center"/>
    </xf>
    <xf numFmtId="178" fontId="17" fillId="0" borderId="0" xfId="0" applyNumberFormat="1" applyFont="1"/>
    <xf numFmtId="0" fontId="2" fillId="0" borderId="0" xfId="95" applyFont="1"/>
    <xf numFmtId="0" fontId="7" fillId="0" borderId="1" xfId="95" applyFont="1" applyBorder="1" applyAlignment="1">
      <alignment horizontal="center" shrinkToFit="1"/>
    </xf>
    <xf numFmtId="0" fontId="15" fillId="0" borderId="0" xfId="89" applyFont="1"/>
    <xf numFmtId="0" fontId="25" fillId="0" borderId="0" xfId="89" applyFont="1"/>
    <xf numFmtId="0" fontId="27" fillId="0" borderId="0" xfId="89" applyFont="1"/>
    <xf numFmtId="0" fontId="28" fillId="0" borderId="0" xfId="86" applyFont="1"/>
    <xf numFmtId="0" fontId="21" fillId="0" borderId="0" xfId="0" applyFont="1"/>
    <xf numFmtId="0" fontId="42" fillId="0" borderId="0" xfId="0" applyFont="1"/>
    <xf numFmtId="0" fontId="58" fillId="0" borderId="0" xfId="107" applyFont="1"/>
    <xf numFmtId="0" fontId="2" fillId="0" borderId="0" xfId="107" applyFont="1" applyAlignment="1">
      <alignment horizontal="left"/>
    </xf>
    <xf numFmtId="0" fontId="2" fillId="0" borderId="0" xfId="107" applyFont="1" applyAlignment="1">
      <alignment horizontal="right"/>
    </xf>
    <xf numFmtId="0" fontId="2" fillId="0" borderId="2" xfId="107" applyFont="1" applyBorder="1"/>
    <xf numFmtId="0" fontId="2" fillId="0" borderId="2" xfId="107" applyFont="1" applyBorder="1" applyAlignment="1">
      <alignment horizontal="right"/>
    </xf>
    <xf numFmtId="0" fontId="60" fillId="0" borderId="0" xfId="107" applyFont="1" applyAlignment="1">
      <alignment horizontal="center"/>
    </xf>
    <xf numFmtId="0" fontId="60" fillId="0" borderId="0" xfId="107" applyFont="1"/>
    <xf numFmtId="0" fontId="58" fillId="0" borderId="0" xfId="110" applyFont="1"/>
    <xf numFmtId="0" fontId="60" fillId="0" borderId="0" xfId="110" applyFont="1" applyAlignment="1">
      <alignment horizontal="center"/>
    </xf>
    <xf numFmtId="0" fontId="60" fillId="0" borderId="0" xfId="110" applyFont="1"/>
    <xf numFmtId="0" fontId="58" fillId="0" borderId="0" xfId="112" applyFont="1"/>
    <xf numFmtId="0" fontId="8" fillId="0" borderId="0" xfId="112"/>
    <xf numFmtId="0" fontId="60" fillId="0" borderId="0" xfId="112" applyFont="1"/>
    <xf numFmtId="0" fontId="2" fillId="0" borderId="0" xfId="113" applyFont="1"/>
    <xf numFmtId="0" fontId="12" fillId="0" borderId="0" xfId="113"/>
    <xf numFmtId="0" fontId="8" fillId="0" borderId="0" xfId="115"/>
    <xf numFmtId="0" fontId="3" fillId="0" borderId="0" xfId="122" applyNumberFormat="1" applyFont="1" applyAlignment="1" applyProtection="1">
      <alignment horizontal="center" wrapText="1"/>
    </xf>
    <xf numFmtId="0" fontId="58" fillId="0" borderId="0" xfId="115" applyFont="1"/>
    <xf numFmtId="0" fontId="41" fillId="0" borderId="0" xfId="115" applyFont="1"/>
    <xf numFmtId="164" fontId="7" fillId="0" borderId="0" xfId="115" applyNumberFormat="1" applyFont="1"/>
    <xf numFmtId="164" fontId="3" fillId="0" borderId="0" xfId="115" applyNumberFormat="1" applyFont="1" applyAlignment="1">
      <alignment horizontal="center"/>
    </xf>
    <xf numFmtId="164" fontId="7" fillId="0" borderId="0" xfId="115" applyNumberFormat="1" applyFont="1" applyAlignment="1">
      <alignment horizontal="right"/>
    </xf>
    <xf numFmtId="0" fontId="8" fillId="0" borderId="0" xfId="115" applyAlignment="1">
      <alignment horizontal="center" shrinkToFit="1"/>
    </xf>
    <xf numFmtId="164" fontId="6" fillId="0" borderId="0" xfId="115" applyNumberFormat="1" applyFont="1"/>
    <xf numFmtId="164" fontId="3" fillId="0" borderId="2" xfId="115" applyNumberFormat="1" applyFont="1" applyBorder="1" applyAlignment="1">
      <alignment horizontal="center"/>
    </xf>
    <xf numFmtId="0" fontId="7" fillId="0" borderId="0" xfId="115" applyFont="1"/>
    <xf numFmtId="168" fontId="19" fillId="0" borderId="0" xfId="82" applyFont="1" applyProtection="1"/>
    <xf numFmtId="168" fontId="54" fillId="0" borderId="0" xfId="82" applyFont="1" applyProtection="1"/>
    <xf numFmtId="168" fontId="19" fillId="0" borderId="0" xfId="82" applyFont="1" applyAlignment="1" applyProtection="1">
      <alignment horizontal="centerContinuous"/>
    </xf>
    <xf numFmtId="168" fontId="54" fillId="0" borderId="0" xfId="82" applyFont="1" applyAlignment="1" applyProtection="1">
      <alignment horizontal="centerContinuous"/>
    </xf>
    <xf numFmtId="168" fontId="15" fillId="0" borderId="0" xfId="82" applyProtection="1"/>
    <xf numFmtId="168" fontId="7" fillId="0" borderId="0" xfId="82" applyFont="1" applyProtection="1"/>
    <xf numFmtId="1" fontId="7" fillId="0" borderId="1" xfId="82" applyNumberFormat="1" applyFont="1" applyBorder="1" applyAlignment="1" applyProtection="1">
      <alignment horizontal="center" shrinkToFit="1"/>
    </xf>
    <xf numFmtId="168" fontId="7" fillId="0" borderId="2" xfId="82" applyFont="1" applyBorder="1" applyProtection="1"/>
    <xf numFmtId="168" fontId="36" fillId="0" borderId="0" xfId="82" applyFont="1" applyAlignment="1" applyProtection="1">
      <alignment horizontal="center"/>
    </xf>
    <xf numFmtId="168" fontId="36" fillId="0" borderId="5" xfId="82" applyFont="1" applyBorder="1" applyAlignment="1" applyProtection="1">
      <alignment horizontal="center"/>
    </xf>
    <xf numFmtId="168" fontId="36" fillId="0" borderId="0" xfId="82" applyFont="1" applyAlignment="1" applyProtection="1">
      <alignment horizontal="center" wrapText="1"/>
    </xf>
    <xf numFmtId="168" fontId="36" fillId="0" borderId="6" xfId="82" applyFont="1" applyBorder="1" applyAlignment="1" applyProtection="1">
      <alignment horizontal="center"/>
    </xf>
    <xf numFmtId="168" fontId="36" fillId="0" borderId="1" xfId="82" applyFont="1" applyBorder="1" applyAlignment="1" applyProtection="1">
      <alignment horizontal="center"/>
    </xf>
    <xf numFmtId="172" fontId="36" fillId="0" borderId="7" xfId="82" applyNumberFormat="1" applyFont="1" applyBorder="1" applyAlignment="1" applyProtection="1">
      <alignment horizontal="center"/>
    </xf>
    <xf numFmtId="168" fontId="36" fillId="0" borderId="7" xfId="82" applyFont="1" applyBorder="1" applyAlignment="1" applyProtection="1">
      <alignment horizontal="center"/>
    </xf>
    <xf numFmtId="180" fontId="65" fillId="0" borderId="0" xfId="127" applyNumberFormat="1" applyFont="1" applyBorder="1" applyAlignment="1">
      <alignment horizontal="center"/>
    </xf>
    <xf numFmtId="168" fontId="7" fillId="0" borderId="0" xfId="82" applyFont="1" applyAlignment="1" applyProtection="1">
      <alignment horizontal="center" shrinkToFit="1"/>
    </xf>
    <xf numFmtId="168" fontId="4" fillId="0" borderId="0" xfId="82" applyFont="1" applyProtection="1"/>
    <xf numFmtId="0" fontId="25" fillId="0" borderId="0" xfId="86" applyFont="1"/>
    <xf numFmtId="0" fontId="25" fillId="0" borderId="0" xfId="86" applyFont="1" applyAlignment="1">
      <alignment horizontal="centerContinuous"/>
    </xf>
    <xf numFmtId="0" fontId="7" fillId="0" borderId="0" xfId="86" applyFont="1"/>
    <xf numFmtId="0" fontId="4" fillId="0" borderId="0" xfId="86" applyFont="1" applyAlignment="1">
      <alignment horizontal="center"/>
    </xf>
    <xf numFmtId="0" fontId="7" fillId="0" borderId="0" xfId="0" applyFont="1" applyAlignment="1">
      <alignment horizontal="center"/>
    </xf>
    <xf numFmtId="0" fontId="7" fillId="0" borderId="0" xfId="0" applyFont="1" applyAlignment="1">
      <alignment horizontal="left"/>
    </xf>
    <xf numFmtId="170" fontId="7" fillId="0" borderId="0" xfId="29" applyNumberFormat="1" applyFont="1"/>
    <xf numFmtId="0" fontId="7" fillId="0" borderId="0" xfId="0" quotePrefix="1" applyFont="1" applyAlignment="1">
      <alignment horizontal="center"/>
    </xf>
    <xf numFmtId="0" fontId="7" fillId="0" borderId="0" xfId="0" applyFont="1" applyAlignment="1">
      <alignment horizontal="right"/>
    </xf>
    <xf numFmtId="0" fontId="4" fillId="0" borderId="0" xfId="0" applyFont="1" applyAlignment="1">
      <alignment horizontal="left"/>
    </xf>
    <xf numFmtId="171" fontId="7" fillId="0" borderId="0" xfId="0" applyNumberFormat="1" applyFont="1"/>
    <xf numFmtId="170" fontId="7" fillId="0" borderId="14" xfId="29" applyNumberFormat="1" applyFont="1" applyBorder="1"/>
    <xf numFmtId="0" fontId="7" fillId="0" borderId="0" xfId="88" applyFont="1"/>
    <xf numFmtId="0" fontId="7" fillId="0" borderId="0" xfId="88" applyFont="1" applyAlignment="1">
      <alignment horizontal="right"/>
    </xf>
    <xf numFmtId="172" fontId="4" fillId="0" borderId="1" xfId="0" applyNumberFormat="1" applyFont="1" applyBorder="1" applyAlignment="1">
      <alignment horizontal="center"/>
    </xf>
    <xf numFmtId="176" fontId="7" fillId="0" borderId="0" xfId="0" applyNumberFormat="1" applyFont="1"/>
    <xf numFmtId="0" fontId="7" fillId="0" borderId="1" xfId="88" applyFont="1" applyBorder="1" applyAlignment="1">
      <alignment horizontal="center"/>
    </xf>
    <xf numFmtId="0" fontId="7" fillId="0" borderId="2" xfId="88" applyFont="1" applyBorder="1"/>
    <xf numFmtId="0" fontId="7" fillId="0" borderId="2" xfId="86" applyFont="1" applyBorder="1"/>
    <xf numFmtId="0" fontId="5" fillId="0" borderId="0" xfId="0" applyFont="1" applyAlignment="1">
      <alignment horizontal="left"/>
    </xf>
    <xf numFmtId="0" fontId="64" fillId="0" borderId="0" xfId="90" applyFont="1" applyAlignment="1">
      <alignment horizontal="right"/>
    </xf>
    <xf numFmtId="0" fontId="64" fillId="0" borderId="0" xfId="0" applyFont="1"/>
    <xf numFmtId="0" fontId="67" fillId="0" borderId="0" xfId="90" applyFont="1" applyAlignment="1">
      <alignment horizontal="centerContinuous"/>
    </xf>
    <xf numFmtId="0" fontId="0" fillId="0" borderId="0" xfId="0" applyAlignment="1">
      <alignment vertical="top" wrapText="1"/>
    </xf>
    <xf numFmtId="0" fontId="66" fillId="0" borderId="0" xfId="0" applyFont="1"/>
    <xf numFmtId="0" fontId="2" fillId="0" borderId="0" xfId="90" applyFont="1"/>
    <xf numFmtId="0" fontId="68" fillId="0" borderId="0" xfId="0" applyFont="1"/>
    <xf numFmtId="0" fontId="64" fillId="0" borderId="0" xfId="90" applyFont="1" applyAlignment="1">
      <alignment horizontal="center" shrinkToFit="1"/>
    </xf>
    <xf numFmtId="164" fontId="4" fillId="0" borderId="1" xfId="0" applyNumberFormat="1" applyFont="1" applyBorder="1" applyAlignment="1">
      <alignment horizontal="center"/>
    </xf>
    <xf numFmtId="0" fontId="64" fillId="0" borderId="2" xfId="0" applyFont="1" applyBorder="1"/>
    <xf numFmtId="0" fontId="38" fillId="0" borderId="2" xfId="81" applyFont="1" applyBorder="1"/>
    <xf numFmtId="164" fontId="4" fillId="0" borderId="0" xfId="0" applyNumberFormat="1" applyFont="1" applyAlignment="1">
      <alignment horizontal="center"/>
    </xf>
    <xf numFmtId="0" fontId="7" fillId="0" borderId="0" xfId="95" applyFont="1"/>
    <xf numFmtId="0" fontId="7" fillId="0" borderId="0" xfId="95" applyFont="1" applyAlignment="1">
      <alignment horizontal="right"/>
    </xf>
    <xf numFmtId="0" fontId="64" fillId="0" borderId="0" xfId="95" applyFont="1"/>
    <xf numFmtId="0" fontId="7" fillId="0" borderId="0" xfId="95" applyFont="1" applyAlignment="1">
      <alignment horizontal="centerContinuous"/>
    </xf>
    <xf numFmtId="0" fontId="64" fillId="0" borderId="0" xfId="95" applyFont="1" applyAlignment="1">
      <alignment horizontal="centerContinuous"/>
    </xf>
    <xf numFmtId="0" fontId="4" fillId="0" borderId="0" xfId="95" applyFont="1" applyAlignment="1">
      <alignment horizontal="centerContinuous"/>
    </xf>
    <xf numFmtId="0" fontId="64" fillId="0" borderId="0" xfId="95" applyFont="1" applyAlignment="1">
      <alignment horizontal="center"/>
    </xf>
    <xf numFmtId="0" fontId="7" fillId="0" borderId="2" xfId="95" applyFont="1" applyBorder="1"/>
    <xf numFmtId="0" fontId="6" fillId="0" borderId="0" xfId="0" applyFont="1"/>
    <xf numFmtId="0" fontId="7" fillId="0" borderId="1" xfId="89" applyFont="1" applyBorder="1"/>
    <xf numFmtId="0" fontId="7" fillId="0" borderId="0" xfId="89" applyFont="1"/>
    <xf numFmtId="0" fontId="4" fillId="0" borderId="0" xfId="89" applyFont="1" applyAlignment="1">
      <alignment horizontal="center"/>
    </xf>
    <xf numFmtId="0" fontId="7" fillId="0" borderId="0" xfId="89" applyFont="1" applyAlignment="1">
      <alignment horizontal="right"/>
    </xf>
    <xf numFmtId="0" fontId="7" fillId="0" borderId="1" xfId="89" applyFont="1" applyBorder="1" applyAlignment="1">
      <alignment horizontal="center"/>
    </xf>
    <xf numFmtId="0" fontId="7" fillId="0" borderId="2" xfId="89" applyFont="1" applyBorder="1"/>
    <xf numFmtId="0" fontId="7" fillId="0" borderId="0" xfId="89" applyFont="1" applyAlignment="1">
      <alignment horizontal="center"/>
    </xf>
    <xf numFmtId="164" fontId="4" fillId="0" borderId="0" xfId="100" applyNumberFormat="1" applyFont="1"/>
    <xf numFmtId="164" fontId="4" fillId="0" borderId="0" xfId="100" applyNumberFormat="1" applyFont="1" applyAlignment="1">
      <alignment horizontal="centerContinuous"/>
    </xf>
    <xf numFmtId="178" fontId="21" fillId="0" borderId="0" xfId="0" quotePrefix="1" applyNumberFormat="1" applyFont="1" applyAlignment="1">
      <alignment horizontal="center"/>
    </xf>
    <xf numFmtId="0" fontId="68" fillId="0" borderId="0" xfId="90" applyFont="1" applyAlignment="1">
      <alignment horizontal="right"/>
    </xf>
    <xf numFmtId="0" fontId="68" fillId="0" borderId="2" xfId="0" applyFont="1" applyBorder="1"/>
    <xf numFmtId="0" fontId="68" fillId="0" borderId="2" xfId="90" applyFont="1" applyBorder="1" applyAlignment="1">
      <alignment horizontal="right"/>
    </xf>
    <xf numFmtId="0" fontId="68" fillId="0" borderId="2" xfId="90" applyFont="1" applyBorder="1" applyAlignment="1">
      <alignment horizontal="center" shrinkToFit="1"/>
    </xf>
    <xf numFmtId="0" fontId="6" fillId="0" borderId="0" xfId="98" applyFont="1"/>
    <xf numFmtId="0" fontId="2" fillId="0" borderId="0" xfId="98" applyFont="1"/>
    <xf numFmtId="0" fontId="40" fillId="0" borderId="0" xfId="98" applyFont="1"/>
    <xf numFmtId="0" fontId="28" fillId="0" borderId="2" xfId="101" applyFont="1" applyBorder="1"/>
    <xf numFmtId="0" fontId="15" fillId="0" borderId="0" xfId="101" applyFont="1"/>
    <xf numFmtId="1" fontId="72" fillId="0" borderId="0" xfId="101" applyNumberFormat="1" applyFont="1" applyAlignment="1">
      <alignment horizontal="center"/>
    </xf>
    <xf numFmtId="0" fontId="37" fillId="0" borderId="0" xfId="101" applyFont="1" applyAlignment="1">
      <alignment horizontal="center"/>
    </xf>
    <xf numFmtId="0" fontId="18" fillId="0" borderId="0" xfId="107" applyFont="1" applyAlignment="1">
      <alignment horizontal="centerContinuous"/>
    </xf>
    <xf numFmtId="0" fontId="25" fillId="0" borderId="0" xfId="107" applyFont="1" applyAlignment="1">
      <alignment horizontal="centerContinuous"/>
    </xf>
    <xf numFmtId="0" fontId="6" fillId="0" borderId="0" xfId="107" applyFont="1"/>
    <xf numFmtId="0" fontId="2" fillId="0" borderId="0" xfId="107" applyFont="1" applyAlignment="1">
      <alignment horizontal="center" shrinkToFit="1"/>
    </xf>
    <xf numFmtId="0" fontId="7" fillId="0" borderId="0" xfId="108" applyFont="1"/>
    <xf numFmtId="0" fontId="7" fillId="0" borderId="0" xfId="108" applyFont="1" applyAlignment="1">
      <alignment shrinkToFit="1"/>
    </xf>
    <xf numFmtId="0" fontId="4" fillId="0" borderId="0" xfId="108" applyFont="1" applyAlignment="1">
      <alignment horizontal="center"/>
    </xf>
    <xf numFmtId="0" fontId="7" fillId="0" borderId="0" xfId="108" applyFont="1" applyAlignment="1">
      <alignment horizontal="centerContinuous"/>
    </xf>
    <xf numFmtId="0" fontId="4" fillId="0" borderId="2" xfId="108" applyFont="1" applyBorder="1" applyAlignment="1">
      <alignment horizontal="center"/>
    </xf>
    <xf numFmtId="0" fontId="7" fillId="0" borderId="0" xfId="108" applyFont="1" applyAlignment="1">
      <alignment horizontal="center"/>
    </xf>
    <xf numFmtId="0" fontId="21" fillId="0" borderId="0" xfId="108" applyFont="1"/>
    <xf numFmtId="0" fontId="4" fillId="0" borderId="0" xfId="107" applyFont="1" applyAlignment="1">
      <alignment horizontal="center"/>
    </xf>
    <xf numFmtId="0" fontId="7" fillId="0" borderId="0" xfId="107" applyFont="1"/>
    <xf numFmtId="0" fontId="7" fillId="0" borderId="0" xfId="107" applyFont="1" applyAlignment="1">
      <alignment horizontal="center"/>
    </xf>
    <xf numFmtId="176" fontId="7" fillId="0" borderId="2" xfId="107" applyNumberFormat="1" applyFont="1" applyBorder="1"/>
    <xf numFmtId="0" fontId="4" fillId="0" borderId="0" xfId="107" applyFont="1" applyAlignment="1">
      <alignment horizontal="centerContinuous"/>
    </xf>
    <xf numFmtId="0" fontId="4" fillId="0" borderId="0" xfId="107" applyFont="1"/>
    <xf numFmtId="0" fontId="4" fillId="0" borderId="2" xfId="107" applyFont="1" applyBorder="1" applyAlignment="1">
      <alignment horizontal="center"/>
    </xf>
    <xf numFmtId="0" fontId="20" fillId="0" borderId="2" xfId="107" applyFont="1" applyBorder="1" applyAlignment="1">
      <alignment horizontal="center"/>
    </xf>
    <xf numFmtId="0" fontId="6" fillId="0" borderId="0" xfId="110" applyFont="1"/>
    <xf numFmtId="0" fontId="7" fillId="0" borderId="0" xfId="110" applyFont="1" applyAlignment="1">
      <alignment horizontal="left"/>
    </xf>
    <xf numFmtId="0" fontId="7" fillId="0" borderId="0" xfId="110" applyFont="1"/>
    <xf numFmtId="0" fontId="7" fillId="0" borderId="0" xfId="110" applyFont="1" applyAlignment="1">
      <alignment horizontal="right"/>
    </xf>
    <xf numFmtId="0" fontId="7" fillId="0" borderId="2" xfId="110" applyFont="1" applyBorder="1"/>
    <xf numFmtId="0" fontId="7" fillId="0" borderId="2" xfId="110" applyFont="1" applyBorder="1" applyAlignment="1">
      <alignment horizontal="right"/>
    </xf>
    <xf numFmtId="0" fontId="4" fillId="0" borderId="0" xfId="110" applyFont="1" applyAlignment="1">
      <alignment horizontal="center"/>
    </xf>
    <xf numFmtId="176" fontId="7" fillId="0" borderId="2" xfId="110" applyNumberFormat="1" applyFont="1" applyBorder="1"/>
    <xf numFmtId="0" fontId="4" fillId="0" borderId="0" xfId="110" applyFont="1" applyAlignment="1">
      <alignment horizontal="centerContinuous"/>
    </xf>
    <xf numFmtId="0" fontId="7" fillId="0" borderId="0" xfId="110" applyFont="1" applyAlignment="1">
      <alignment horizontal="centerContinuous"/>
    </xf>
    <xf numFmtId="0" fontId="4" fillId="0" borderId="2" xfId="110" applyFont="1" applyBorder="1" applyAlignment="1">
      <alignment horizontal="center"/>
    </xf>
    <xf numFmtId="0" fontId="3" fillId="0" borderId="0" xfId="115" applyFont="1" applyAlignment="1">
      <alignment horizontal="center" vertical="center"/>
    </xf>
    <xf numFmtId="0" fontId="6" fillId="0" borderId="0" xfId="112" applyFont="1"/>
    <xf numFmtId="0" fontId="7" fillId="0" borderId="0" xfId="112" applyFont="1"/>
    <xf numFmtId="0" fontId="6" fillId="0" borderId="0" xfId="113" applyFont="1"/>
    <xf numFmtId="0" fontId="4" fillId="0" borderId="1" xfId="113" applyFont="1" applyBorder="1" applyAlignment="1">
      <alignment horizontal="center"/>
    </xf>
    <xf numFmtId="0" fontId="4" fillId="0" borderId="0" xfId="113" applyFont="1" applyAlignment="1">
      <alignment horizontal="center"/>
    </xf>
    <xf numFmtId="0" fontId="7" fillId="0" borderId="0" xfId="113" applyFont="1"/>
    <xf numFmtId="0" fontId="5" fillId="0" borderId="0" xfId="113" applyFont="1" applyAlignment="1">
      <alignment horizontal="center"/>
    </xf>
    <xf numFmtId="0" fontId="4" fillId="0" borderId="0" xfId="113" applyFont="1"/>
    <xf numFmtId="0" fontId="4" fillId="0" borderId="0" xfId="113" applyFont="1" applyAlignment="1">
      <alignment horizontal="right"/>
    </xf>
    <xf numFmtId="37" fontId="7" fillId="0" borderId="0" xfId="113" applyNumberFormat="1" applyFont="1"/>
    <xf numFmtId="0" fontId="7" fillId="0" borderId="0" xfId="105" applyFont="1"/>
    <xf numFmtId="0" fontId="7" fillId="0" borderId="0" xfId="113" applyFont="1" applyAlignment="1">
      <alignment horizontal="center" shrinkToFit="1"/>
    </xf>
    <xf numFmtId="0" fontId="4" fillId="0" borderId="2" xfId="113" applyFont="1" applyBorder="1"/>
    <xf numFmtId="0" fontId="7" fillId="0" borderId="2" xfId="113" applyFont="1" applyBorder="1" applyAlignment="1">
      <alignment horizontal="center" shrinkToFit="1"/>
    </xf>
    <xf numFmtId="0" fontId="7" fillId="0" borderId="2" xfId="113" applyFont="1" applyBorder="1"/>
    <xf numFmtId="0" fontId="4" fillId="0" borderId="15" xfId="0" applyFont="1" applyBorder="1" applyAlignment="1">
      <alignment horizontal="center"/>
    </xf>
    <xf numFmtId="0" fontId="12" fillId="0" borderId="0" xfId="103" applyFont="1"/>
    <xf numFmtId="0" fontId="2" fillId="0" borderId="0" xfId="114" applyFont="1"/>
    <xf numFmtId="0" fontId="2" fillId="0" borderId="0" xfId="114" applyFont="1" applyAlignment="1">
      <alignment horizontal="center" shrinkToFit="1"/>
    </xf>
    <xf numFmtId="0" fontId="7" fillId="0" borderId="0" xfId="88" applyFont="1" applyAlignment="1">
      <alignment horizontal="center"/>
    </xf>
    <xf numFmtId="0" fontId="69" fillId="0" borderId="0" xfId="0" applyFont="1"/>
    <xf numFmtId="176" fontId="64" fillId="0" borderId="8" xfId="0" applyNumberFormat="1" applyFont="1" applyBorder="1"/>
    <xf numFmtId="176" fontId="64" fillId="0" borderId="0" xfId="0" applyNumberFormat="1" applyFont="1"/>
    <xf numFmtId="0" fontId="64" fillId="0" borderId="8" xfId="0" applyFont="1" applyBorder="1"/>
    <xf numFmtId="172" fontId="36" fillId="0" borderId="6" xfId="82" applyNumberFormat="1" applyFont="1" applyBorder="1" applyAlignment="1" applyProtection="1">
      <alignment horizontal="center"/>
    </xf>
    <xf numFmtId="0" fontId="3" fillId="0" borderId="0" xfId="107" applyFont="1" applyAlignment="1">
      <alignment horizontal="center"/>
    </xf>
    <xf numFmtId="0" fontId="6" fillId="0" borderId="0" xfId="104" applyFont="1"/>
    <xf numFmtId="0" fontId="7" fillId="0" borderId="0" xfId="104" applyFont="1" applyAlignment="1">
      <alignment horizontal="centerContinuous"/>
    </xf>
    <xf numFmtId="0" fontId="7" fillId="0" borderId="0" xfId="104" applyFont="1"/>
    <xf numFmtId="0" fontId="7" fillId="0" borderId="0" xfId="112" applyFont="1" applyAlignment="1">
      <alignment horizontal="left"/>
    </xf>
    <xf numFmtId="0" fontId="7" fillId="0" borderId="1" xfId="111" applyFont="1" applyBorder="1" applyAlignment="1">
      <alignment horizontal="center" shrinkToFit="1"/>
    </xf>
    <xf numFmtId="0" fontId="7" fillId="0" borderId="0" xfId="111" applyFont="1" applyAlignment="1">
      <alignment horizontal="center" shrinkToFit="1"/>
    </xf>
    <xf numFmtId="0" fontId="7" fillId="0" borderId="0" xfId="112" applyFont="1" applyAlignment="1">
      <alignment horizontal="right"/>
    </xf>
    <xf numFmtId="0" fontId="7" fillId="0" borderId="0" xfId="112" applyFont="1" applyAlignment="1">
      <alignment horizontal="center"/>
    </xf>
    <xf numFmtId="0" fontId="7" fillId="0" borderId="2" xfId="104" applyFont="1" applyBorder="1"/>
    <xf numFmtId="0" fontId="7" fillId="0" borderId="2" xfId="104" applyFont="1" applyBorder="1" applyAlignment="1">
      <alignment horizontal="right"/>
    </xf>
    <xf numFmtId="0" fontId="4" fillId="0" borderId="0" xfId="104" applyFont="1" applyAlignment="1">
      <alignment horizontal="center"/>
    </xf>
    <xf numFmtId="0" fontId="4" fillId="0" borderId="0" xfId="104" applyFont="1" applyAlignment="1">
      <alignment horizontal="centerContinuous"/>
    </xf>
    <xf numFmtId="0" fontId="4" fillId="0" borderId="16" xfId="104" applyFont="1" applyBorder="1" applyAlignment="1">
      <alignment horizontal="centerContinuous"/>
    </xf>
    <xf numFmtId="0" fontId="7" fillId="0" borderId="16" xfId="104" applyFont="1" applyBorder="1" applyAlignment="1">
      <alignment horizontal="centerContinuous"/>
    </xf>
    <xf numFmtId="0" fontId="20" fillId="0" borderId="2" xfId="104" applyFont="1" applyBorder="1" applyAlignment="1">
      <alignment horizontal="center"/>
    </xf>
    <xf numFmtId="0" fontId="4" fillId="0" borderId="2" xfId="104" applyFont="1" applyBorder="1" applyAlignment="1">
      <alignment horizontal="center"/>
    </xf>
    <xf numFmtId="176" fontId="7" fillId="0" borderId="17" xfId="104" applyNumberFormat="1" applyFont="1" applyBorder="1"/>
    <xf numFmtId="0" fontId="58" fillId="0" borderId="0" xfId="104" applyFont="1"/>
    <xf numFmtId="164" fontId="2" fillId="0" borderId="0" xfId="106" applyNumberFormat="1" applyFont="1"/>
    <xf numFmtId="164" fontId="7" fillId="0" borderId="1" xfId="106" applyNumberFormat="1" applyFont="1" applyBorder="1" applyAlignment="1">
      <alignment horizontal="center" shrinkToFit="1"/>
    </xf>
    <xf numFmtId="0" fontId="8" fillId="0" borderId="0" xfId="106"/>
    <xf numFmtId="164" fontId="15" fillId="0" borderId="2" xfId="106" applyNumberFormat="1" applyFont="1" applyBorder="1"/>
    <xf numFmtId="164" fontId="13" fillId="0" borderId="2" xfId="106" applyNumberFormat="1" applyFont="1" applyBorder="1"/>
    <xf numFmtId="164" fontId="15" fillId="0" borderId="0" xfId="106" applyNumberFormat="1" applyFont="1"/>
    <xf numFmtId="164" fontId="7" fillId="0" borderId="0" xfId="106" applyNumberFormat="1" applyFont="1"/>
    <xf numFmtId="164" fontId="4" fillId="0" borderId="0" xfId="106" applyNumberFormat="1" applyFont="1"/>
    <xf numFmtId="164" fontId="4" fillId="0" borderId="0" xfId="106" applyNumberFormat="1" applyFont="1" applyAlignment="1">
      <alignment horizontal="right"/>
    </xf>
    <xf numFmtId="164" fontId="12" fillId="0" borderId="0" xfId="106" applyNumberFormat="1" applyFont="1"/>
    <xf numFmtId="0" fontId="76" fillId="0" borderId="0" xfId="112" applyFont="1" applyAlignment="1">
      <alignment horizontal="left"/>
    </xf>
    <xf numFmtId="0" fontId="3" fillId="0" borderId="0" xfId="104" applyFont="1" applyAlignment="1">
      <alignment horizontal="left"/>
    </xf>
    <xf numFmtId="0" fontId="77" fillId="0" borderId="2" xfId="108" applyFont="1" applyBorder="1" applyAlignment="1">
      <alignment horizontal="center"/>
    </xf>
    <xf numFmtId="0" fontId="3" fillId="0" borderId="0" xfId="115" applyFont="1" applyAlignment="1">
      <alignment horizontal="center"/>
    </xf>
    <xf numFmtId="0" fontId="7" fillId="0" borderId="1" xfId="110" applyFont="1" applyBorder="1" applyAlignment="1">
      <alignment horizontal="center"/>
    </xf>
    <xf numFmtId="0" fontId="7" fillId="0" borderId="0" xfId="110" applyFont="1" applyAlignment="1">
      <alignment horizontal="center"/>
    </xf>
    <xf numFmtId="176" fontId="7" fillId="0" borderId="0" xfId="110" applyNumberFormat="1" applyFont="1"/>
    <xf numFmtId="175" fontId="7" fillId="0" borderId="0" xfId="110" applyNumberFormat="1" applyFont="1"/>
    <xf numFmtId="0" fontId="4" fillId="0" borderId="0" xfId="110" applyFont="1"/>
    <xf numFmtId="0" fontId="44" fillId="0" borderId="0" xfId="82" applyNumberFormat="1" applyFont="1" applyProtection="1"/>
    <xf numFmtId="172" fontId="36" fillId="0" borderId="0" xfId="82" applyNumberFormat="1" applyFont="1" applyAlignment="1" applyProtection="1">
      <alignment horizontal="center"/>
    </xf>
    <xf numFmtId="0" fontId="51" fillId="0" borderId="0" xfId="0" applyFont="1"/>
    <xf numFmtId="179" fontId="21" fillId="0" borderId="0" xfId="0" applyNumberFormat="1" applyFont="1"/>
    <xf numFmtId="179" fontId="17" fillId="0" borderId="0" xfId="0" applyNumberFormat="1" applyFont="1"/>
    <xf numFmtId="0" fontId="48" fillId="0" borderId="0" xfId="81" applyFont="1"/>
    <xf numFmtId="0" fontId="48" fillId="0" borderId="0" xfId="81" applyFont="1" applyAlignment="1">
      <alignment horizontal="center"/>
    </xf>
    <xf numFmtId="0" fontId="38" fillId="0" borderId="0" xfId="81" applyFont="1" applyAlignment="1">
      <alignment horizontal="center"/>
    </xf>
    <xf numFmtId="164" fontId="7" fillId="0" borderId="0" xfId="115" applyNumberFormat="1" applyFont="1" applyAlignment="1">
      <alignment horizontal="center"/>
    </xf>
    <xf numFmtId="1" fontId="7" fillId="0" borderId="0" xfId="82" applyNumberFormat="1" applyFont="1" applyAlignment="1" applyProtection="1">
      <alignment horizontal="center"/>
    </xf>
    <xf numFmtId="0" fontId="7" fillId="0" borderId="0" xfId="95" applyFont="1" applyAlignment="1">
      <alignment horizontal="left"/>
    </xf>
    <xf numFmtId="0" fontId="7" fillId="0" borderId="0" xfId="95" applyFont="1" applyAlignment="1">
      <alignment horizontal="center"/>
    </xf>
    <xf numFmtId="0" fontId="7" fillId="0" borderId="0" xfId="98" applyFont="1" applyAlignment="1">
      <alignment horizontal="centerContinuous"/>
    </xf>
    <xf numFmtId="0" fontId="21" fillId="0" borderId="0" xfId="0" applyFont="1" applyAlignment="1">
      <alignment horizontal="center"/>
    </xf>
    <xf numFmtId="176" fontId="38" fillId="0" borderId="0" xfId="81" applyNumberFormat="1" applyFont="1"/>
    <xf numFmtId="164" fontId="17" fillId="0" borderId="0" xfId="106" applyNumberFormat="1" applyFont="1"/>
    <xf numFmtId="164" fontId="80" fillId="0" borderId="0" xfId="106" applyNumberFormat="1" applyFont="1"/>
    <xf numFmtId="0" fontId="73" fillId="0" borderId="0" xfId="108" applyFont="1"/>
    <xf numFmtId="164" fontId="5" fillId="0" borderId="0" xfId="106" applyNumberFormat="1" applyFont="1"/>
    <xf numFmtId="164" fontId="4" fillId="0" borderId="8" xfId="106" applyNumberFormat="1" applyFont="1" applyBorder="1" applyAlignment="1">
      <alignment horizontal="center"/>
    </xf>
    <xf numFmtId="164" fontId="17" fillId="0" borderId="0" xfId="106" applyNumberFormat="1" applyFont="1" applyAlignment="1">
      <alignment horizontal="center"/>
    </xf>
    <xf numFmtId="0" fontId="0" fillId="0" borderId="0" xfId="0" applyAlignment="1">
      <alignment vertical="top"/>
    </xf>
    <xf numFmtId="0" fontId="4" fillId="0" borderId="0" xfId="0" applyFont="1" applyAlignment="1">
      <alignment vertical="top"/>
    </xf>
    <xf numFmtId="0" fontId="12" fillId="0" borderId="0" xfId="0" applyFont="1" applyAlignment="1">
      <alignment vertical="top"/>
    </xf>
    <xf numFmtId="0" fontId="2" fillId="0" borderId="0" xfId="0" applyFont="1" applyAlignment="1">
      <alignment vertical="top"/>
    </xf>
    <xf numFmtId="0" fontId="2" fillId="0" borderId="0" xfId="89" applyFont="1" applyAlignment="1">
      <alignment horizontal="left" indent="1"/>
    </xf>
    <xf numFmtId="0" fontId="2" fillId="0" borderId="0" xfId="0" applyFont="1"/>
    <xf numFmtId="0" fontId="2" fillId="0" borderId="0" xfId="89" applyFont="1"/>
    <xf numFmtId="0" fontId="2" fillId="0" borderId="0" xfId="89" applyFont="1" applyAlignment="1">
      <alignment horizontal="left" indent="3"/>
    </xf>
    <xf numFmtId="0" fontId="64" fillId="0" borderId="0" xfId="89" applyFont="1"/>
    <xf numFmtId="176" fontId="7" fillId="0" borderId="1" xfId="84" applyNumberFormat="1" applyFont="1" applyBorder="1" applyProtection="1">
      <protection locked="0"/>
    </xf>
    <xf numFmtId="176" fontId="7" fillId="0" borderId="4" xfId="84" applyNumberFormat="1" applyFont="1" applyBorder="1" applyProtection="1">
      <protection locked="0"/>
    </xf>
    <xf numFmtId="49" fontId="7" fillId="0" borderId="0" xfId="89" applyNumberFormat="1" applyFont="1"/>
    <xf numFmtId="0" fontId="21" fillId="0" borderId="0" xfId="0" applyFont="1" applyAlignment="1">
      <alignment horizontal="left"/>
    </xf>
    <xf numFmtId="170" fontId="64" fillId="0" borderId="0" xfId="0" applyNumberFormat="1" applyFont="1"/>
    <xf numFmtId="0" fontId="3" fillId="0" borderId="0" xfId="0" applyFont="1" applyAlignment="1">
      <alignment horizontal="center"/>
    </xf>
    <xf numFmtId="0" fontId="2" fillId="0" borderId="2" xfId="98" applyFont="1" applyBorder="1"/>
    <xf numFmtId="0" fontId="12" fillId="0" borderId="0" xfId="98"/>
    <xf numFmtId="0" fontId="32" fillId="0" borderId="0" xfId="98" applyFont="1" applyAlignment="1">
      <alignment horizontal="center"/>
    </xf>
    <xf numFmtId="0" fontId="45" fillId="0" borderId="1" xfId="98" applyFont="1" applyBorder="1" applyAlignment="1">
      <alignment horizontal="center"/>
    </xf>
    <xf numFmtId="0" fontId="22" fillId="0" borderId="0" xfId="98" applyFont="1" applyAlignment="1">
      <alignment horizontal="center"/>
    </xf>
    <xf numFmtId="0" fontId="17" fillId="0" borderId="0" xfId="98" applyFont="1" applyAlignment="1">
      <alignment horizontal="center"/>
    </xf>
    <xf numFmtId="0" fontId="45" fillId="0" borderId="0" xfId="98" applyFont="1" applyAlignment="1">
      <alignment horizontal="center"/>
    </xf>
    <xf numFmtId="0" fontId="33" fillId="0" borderId="0" xfId="98" applyFont="1" applyAlignment="1">
      <alignment horizontal="center"/>
    </xf>
    <xf numFmtId="0" fontId="0" fillId="0" borderId="0" xfId="0" applyAlignment="1">
      <alignment horizontal="center"/>
    </xf>
    <xf numFmtId="0" fontId="34" fillId="0" borderId="0" xfId="98" applyFont="1"/>
    <xf numFmtId="0" fontId="34" fillId="0" borderId="0" xfId="98" applyFont="1" applyAlignment="1">
      <alignment horizontal="center"/>
    </xf>
    <xf numFmtId="0" fontId="16" fillId="0" borderId="0" xfId="98" applyFont="1"/>
    <xf numFmtId="0" fontId="32" fillId="0" borderId="0" xfId="98" applyFont="1"/>
    <xf numFmtId="0" fontId="16" fillId="0" borderId="0" xfId="98" applyFont="1" applyAlignment="1">
      <alignment horizontal="left"/>
    </xf>
    <xf numFmtId="0" fontId="2" fillId="0" borderId="0" xfId="101" applyFont="1"/>
    <xf numFmtId="0" fontId="72" fillId="0" borderId="0" xfId="101" applyFont="1"/>
    <xf numFmtId="0" fontId="82" fillId="0" borderId="0" xfId="101" applyFont="1" applyAlignment="1">
      <alignment horizontal="center"/>
    </xf>
    <xf numFmtId="0" fontId="21" fillId="0" borderId="0" xfId="101" applyFont="1"/>
    <xf numFmtId="0" fontId="82" fillId="0" borderId="0" xfId="101" applyFont="1" applyAlignment="1">
      <alignment horizontal="centerContinuous"/>
    </xf>
    <xf numFmtId="0" fontId="72" fillId="0" borderId="0" xfId="101" applyFont="1" applyAlignment="1">
      <alignment horizontal="centerContinuous"/>
    </xf>
    <xf numFmtId="0" fontId="72" fillId="0" borderId="0" xfId="101" applyFont="1" applyAlignment="1">
      <alignment horizontal="left"/>
    </xf>
    <xf numFmtId="0" fontId="72" fillId="0" borderId="0" xfId="101" applyFont="1" applyAlignment="1">
      <alignment horizontal="center"/>
    </xf>
    <xf numFmtId="0" fontId="82" fillId="0" borderId="1" xfId="101" applyFont="1" applyBorder="1" applyAlignment="1">
      <alignment horizontal="centerContinuous"/>
    </xf>
    <xf numFmtId="0" fontId="72" fillId="0" borderId="1" xfId="101" applyFont="1" applyBorder="1" applyAlignment="1">
      <alignment horizontal="centerContinuous"/>
    </xf>
    <xf numFmtId="0" fontId="72" fillId="0" borderId="1" xfId="101" applyFont="1" applyBorder="1" applyAlignment="1">
      <alignment horizontal="center"/>
    </xf>
    <xf numFmtId="0" fontId="83" fillId="0" borderId="0" xfId="101" applyFont="1" applyAlignment="1">
      <alignment horizontal="left"/>
    </xf>
    <xf numFmtId="1" fontId="21" fillId="0" borderId="0" xfId="101" applyNumberFormat="1" applyFont="1" applyAlignment="1">
      <alignment horizontal="center"/>
    </xf>
    <xf numFmtId="0" fontId="75" fillId="0" borderId="0" xfId="101" applyFont="1"/>
    <xf numFmtId="0" fontId="20" fillId="0" borderId="0" xfId="101" applyFont="1" applyAlignment="1">
      <alignment horizontal="center"/>
    </xf>
    <xf numFmtId="0" fontId="20" fillId="0" borderId="0" xfId="101" applyFont="1"/>
    <xf numFmtId="176" fontId="21" fillId="0" borderId="0" xfId="101" applyNumberFormat="1" applyFont="1"/>
    <xf numFmtId="0" fontId="15" fillId="0" borderId="0" xfId="0" applyFont="1" applyAlignment="1">
      <alignment horizontal="left"/>
    </xf>
    <xf numFmtId="0" fontId="21" fillId="0" borderId="0" xfId="101" applyFont="1" applyAlignment="1">
      <alignment horizontal="left"/>
    </xf>
    <xf numFmtId="1" fontId="20" fillId="0" borderId="0" xfId="101" applyNumberFormat="1" applyFont="1" applyAlignment="1">
      <alignment horizontal="center"/>
    </xf>
    <xf numFmtId="176" fontId="21" fillId="0" borderId="0" xfId="39" applyNumberFormat="1" applyFont="1"/>
    <xf numFmtId="176" fontId="21" fillId="0" borderId="2" xfId="39" applyNumberFormat="1" applyFont="1" applyBorder="1"/>
    <xf numFmtId="40" fontId="21" fillId="0" borderId="0" xfId="39" applyFont="1"/>
    <xf numFmtId="40" fontId="84" fillId="0" borderId="0" xfId="39" applyFont="1" applyAlignment="1">
      <alignment horizontal="center"/>
    </xf>
    <xf numFmtId="176" fontId="20" fillId="0" borderId="0" xfId="39" applyNumberFormat="1" applyFont="1"/>
    <xf numFmtId="40" fontId="20" fillId="0" borderId="0" xfId="39" applyFont="1"/>
    <xf numFmtId="40" fontId="85" fillId="0" borderId="0" xfId="39" applyFont="1" applyAlignment="1">
      <alignment horizontal="left"/>
    </xf>
    <xf numFmtId="0" fontId="82" fillId="0" borderId="0" xfId="101" applyFont="1"/>
    <xf numFmtId="0" fontId="12" fillId="0" borderId="0" xfId="101"/>
    <xf numFmtId="40" fontId="12" fillId="0" borderId="0" xfId="39" applyFont="1"/>
    <xf numFmtId="0" fontId="86" fillId="0" borderId="0" xfId="98" applyFont="1"/>
    <xf numFmtId="0" fontId="44" fillId="0" borderId="0" xfId="98" applyFont="1"/>
    <xf numFmtId="176" fontId="12" fillId="0" borderId="3" xfId="38" applyNumberFormat="1" applyFont="1" applyBorder="1"/>
    <xf numFmtId="0" fontId="44" fillId="0" borderId="0" xfId="98" applyFont="1" applyAlignment="1">
      <alignment horizontal="left"/>
    </xf>
    <xf numFmtId="0" fontId="12" fillId="0" borderId="0" xfId="0" applyFont="1"/>
    <xf numFmtId="0" fontId="31" fillId="0" borderId="2" xfId="101" applyFont="1" applyBorder="1"/>
    <xf numFmtId="0" fontId="35" fillId="0" borderId="2" xfId="101" applyFont="1" applyBorder="1"/>
    <xf numFmtId="0" fontId="12" fillId="0" borderId="2" xfId="0" applyFont="1" applyBorder="1"/>
    <xf numFmtId="0" fontId="28" fillId="0" borderId="2" xfId="101" applyFont="1" applyBorder="1" applyAlignment="1">
      <alignment horizontal="right"/>
    </xf>
    <xf numFmtId="0" fontId="15" fillId="0" borderId="0" xfId="0" applyFont="1"/>
    <xf numFmtId="0" fontId="15" fillId="0" borderId="1" xfId="0" applyFont="1" applyBorder="1" applyAlignment="1">
      <alignment horizontal="center"/>
    </xf>
    <xf numFmtId="0" fontId="15" fillId="0" borderId="0" xfId="0" applyFont="1" applyAlignment="1">
      <alignment horizontal="center"/>
    </xf>
    <xf numFmtId="0" fontId="20" fillId="0" borderId="0" xfId="0" applyFont="1"/>
    <xf numFmtId="0" fontId="15" fillId="0" borderId="0" xfId="0" applyFont="1" applyAlignment="1">
      <alignment horizontal="left" indent="1"/>
    </xf>
    <xf numFmtId="0" fontId="82" fillId="0" borderId="0" xfId="0" applyFont="1"/>
    <xf numFmtId="176" fontId="15" fillId="0" borderId="16" xfId="38" applyNumberFormat="1" applyFont="1" applyBorder="1"/>
    <xf numFmtId="49" fontId="87" fillId="0" borderId="0" xfId="0" applyNumberFormat="1" applyFont="1"/>
    <xf numFmtId="0" fontId="82" fillId="0" borderId="0" xfId="0" applyFont="1" applyAlignment="1">
      <alignment horizontal="left"/>
    </xf>
    <xf numFmtId="0" fontId="87" fillId="0" borderId="0" xfId="0" quotePrefix="1" applyFont="1" applyAlignment="1">
      <alignment horizontal="left"/>
    </xf>
    <xf numFmtId="0" fontId="2" fillId="0" borderId="0" xfId="101" applyFont="1" applyAlignment="1">
      <alignment horizontal="right"/>
    </xf>
    <xf numFmtId="0" fontId="31" fillId="0" borderId="0" xfId="101" applyFont="1"/>
    <xf numFmtId="0" fontId="15" fillId="0" borderId="0" xfId="0" quotePrefix="1" applyFont="1" applyAlignment="1">
      <alignment horizontal="left"/>
    </xf>
    <xf numFmtId="0" fontId="88" fillId="0" borderId="0" xfId="0" applyFont="1" applyAlignment="1">
      <alignment horizontal="center"/>
    </xf>
    <xf numFmtId="0" fontId="89" fillId="0" borderId="0" xfId="0" applyFont="1"/>
    <xf numFmtId="0" fontId="89" fillId="0" borderId="0" xfId="0" quotePrefix="1" applyFont="1" applyAlignment="1">
      <alignment horizontal="left"/>
    </xf>
    <xf numFmtId="0" fontId="15" fillId="0" borderId="0" xfId="0" applyFont="1" applyAlignment="1">
      <alignment horizontal="right"/>
    </xf>
    <xf numFmtId="0" fontId="12" fillId="0" borderId="0" xfId="0" applyFont="1" applyAlignment="1">
      <alignment horizontal="right"/>
    </xf>
    <xf numFmtId="0" fontId="12" fillId="0" borderId="0" xfId="0" applyFont="1" applyAlignment="1">
      <alignment horizontal="center"/>
    </xf>
    <xf numFmtId="0" fontId="21" fillId="0" borderId="1"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0" fontId="2" fillId="0" borderId="0" xfId="0" applyFont="1" applyAlignment="1">
      <alignment horizontal="center"/>
    </xf>
    <xf numFmtId="176" fontId="21" fillId="0" borderId="14" xfId="39" applyNumberFormat="1" applyFont="1" applyBorder="1"/>
    <xf numFmtId="0" fontId="15" fillId="0" borderId="1" xfId="0" applyFont="1" applyBorder="1"/>
    <xf numFmtId="0" fontId="15" fillId="0" borderId="3" xfId="0" applyFont="1" applyBorder="1"/>
    <xf numFmtId="0" fontId="72" fillId="0" borderId="1" xfId="0" applyFont="1" applyBorder="1"/>
    <xf numFmtId="0" fontId="72" fillId="0" borderId="3" xfId="0" applyFont="1" applyBorder="1"/>
    <xf numFmtId="0" fontId="84" fillId="0" borderId="0" xfId="0" applyFont="1"/>
    <xf numFmtId="0" fontId="23" fillId="0" borderId="0" xfId="0" applyFont="1"/>
    <xf numFmtId="0" fontId="2" fillId="0" borderId="0" xfId="98" applyFont="1" applyAlignment="1">
      <alignment horizontal="right"/>
    </xf>
    <xf numFmtId="0" fontId="17" fillId="0" borderId="1" xfId="98" applyFont="1" applyBorder="1" applyAlignment="1">
      <alignment horizontal="center"/>
    </xf>
    <xf numFmtId="0" fontId="45" fillId="0" borderId="8" xfId="98" applyFont="1" applyBorder="1" applyAlignment="1">
      <alignment horizontal="center"/>
    </xf>
    <xf numFmtId="0" fontId="2" fillId="0" borderId="8" xfId="98" applyFont="1" applyBorder="1" applyAlignment="1">
      <alignment horizontal="center"/>
    </xf>
    <xf numFmtId="0" fontId="2" fillId="0" borderId="0" xfId="98" applyFont="1" applyAlignment="1">
      <alignment horizontal="center"/>
    </xf>
    <xf numFmtId="0" fontId="71" fillId="0" borderId="0" xfId="98" applyFont="1"/>
    <xf numFmtId="0" fontId="15" fillId="0" borderId="0" xfId="98" applyFont="1"/>
    <xf numFmtId="174" fontId="12" fillId="0" borderId="1" xfId="38" applyNumberFormat="1" applyFont="1" applyBorder="1"/>
    <xf numFmtId="174" fontId="12" fillId="0" borderId="0" xfId="38" applyNumberFormat="1" applyFont="1"/>
    <xf numFmtId="174" fontId="12" fillId="0" borderId="2" xfId="38" applyNumberFormat="1" applyFont="1" applyBorder="1"/>
    <xf numFmtId="174" fontId="12" fillId="0" borderId="18" xfId="38" applyNumberFormat="1" applyFont="1" applyBorder="1"/>
    <xf numFmtId="174" fontId="12" fillId="0" borderId="14" xfId="38" applyNumberFormat="1" applyFont="1" applyBorder="1"/>
    <xf numFmtId="174" fontId="0" fillId="0" borderId="19" xfId="0" applyNumberFormat="1" applyBorder="1"/>
    <xf numFmtId="174" fontId="16" fillId="0" borderId="0" xfId="38" applyNumberFormat="1" applyFont="1"/>
    <xf numFmtId="174" fontId="28" fillId="0" borderId="0" xfId="38" applyNumberFormat="1" applyFont="1"/>
    <xf numFmtId="174" fontId="82" fillId="0" borderId="0" xfId="38" applyNumberFormat="1" applyFont="1"/>
    <xf numFmtId="0" fontId="4" fillId="0" borderId="0" xfId="0" applyFont="1" applyAlignment="1">
      <alignment vertical="top" wrapText="1"/>
    </xf>
    <xf numFmtId="0" fontId="0" fillId="0" borderId="2" xfId="0" applyBorder="1" applyAlignment="1">
      <alignment vertical="top" wrapText="1"/>
    </xf>
    <xf numFmtId="0" fontId="5" fillId="0" borderId="0" xfId="89" applyFont="1"/>
    <xf numFmtId="49" fontId="17" fillId="0" borderId="0" xfId="106" applyNumberFormat="1" applyFont="1" applyAlignment="1">
      <alignment horizontal="center"/>
    </xf>
    <xf numFmtId="164" fontId="13" fillId="0" borderId="0" xfId="106" applyNumberFormat="1" applyFont="1"/>
    <xf numFmtId="43" fontId="12" fillId="0" borderId="0" xfId="89" applyNumberFormat="1"/>
    <xf numFmtId="176" fontId="12" fillId="0" borderId="0" xfId="0" applyNumberFormat="1" applyFont="1"/>
    <xf numFmtId="0" fontId="35" fillId="0" borderId="0" xfId="101" applyFont="1"/>
    <xf numFmtId="0" fontId="51" fillId="0" borderId="0" xfId="0" applyFont="1" applyAlignment="1" applyProtection="1">
      <alignment horizontal="center"/>
      <protection hidden="1"/>
    </xf>
    <xf numFmtId="0" fontId="51" fillId="0" borderId="0" xfId="0" applyFont="1" applyProtection="1">
      <protection hidden="1"/>
    </xf>
    <xf numFmtId="49" fontId="51" fillId="0" borderId="0" xfId="0" applyNumberFormat="1" applyFont="1" applyAlignment="1" applyProtection="1">
      <alignment horizontal="center"/>
      <protection hidden="1"/>
    </xf>
    <xf numFmtId="15" fontId="0" fillId="0" borderId="0" xfId="0" quotePrefix="1" applyNumberFormat="1"/>
    <xf numFmtId="180" fontId="2" fillId="0" borderId="0" xfId="0" applyNumberFormat="1" applyFont="1"/>
    <xf numFmtId="0" fontId="14" fillId="0" borderId="0" xfId="0" applyFont="1" applyAlignment="1">
      <alignment horizontal="left"/>
    </xf>
    <xf numFmtId="0" fontId="14" fillId="0" borderId="0" xfId="0" applyFont="1"/>
    <xf numFmtId="185" fontId="2" fillId="0" borderId="0" xfId="40" applyNumberFormat="1" applyProtection="1">
      <protection locked="0"/>
    </xf>
    <xf numFmtId="180" fontId="2" fillId="0" borderId="0" xfId="0" applyNumberFormat="1" applyFont="1" applyProtection="1">
      <protection locked="0"/>
    </xf>
    <xf numFmtId="166" fontId="15" fillId="0" borderId="0" xfId="0" applyNumberFormat="1" applyFont="1"/>
    <xf numFmtId="183" fontId="15" fillId="0" borderId="0" xfId="0" applyNumberFormat="1" applyFont="1"/>
    <xf numFmtId="180" fontId="94" fillId="0" borderId="4" xfId="124" applyNumberFormat="1" applyFont="1" applyBorder="1" applyProtection="1"/>
    <xf numFmtId="173" fontId="20" fillId="0" borderId="0" xfId="0" applyNumberFormat="1" applyFont="1"/>
    <xf numFmtId="180" fontId="94" fillId="0" borderId="4" xfId="0" applyNumberFormat="1" applyFont="1" applyBorder="1"/>
    <xf numFmtId="173" fontId="14" fillId="0" borderId="0" xfId="0" applyNumberFormat="1" applyFont="1"/>
    <xf numFmtId="180" fontId="94" fillId="0" borderId="1" xfId="0" applyNumberFormat="1" applyFont="1" applyBorder="1"/>
    <xf numFmtId="185" fontId="94" fillId="0" borderId="3" xfId="0" applyNumberFormat="1" applyFont="1" applyBorder="1"/>
    <xf numFmtId="180" fontId="95" fillId="0" borderId="0" xfId="127" applyNumberFormat="1" applyFont="1" applyBorder="1" applyAlignment="1">
      <alignment horizontal="center"/>
    </xf>
    <xf numFmtId="165" fontId="14" fillId="0" borderId="0" xfId="0" applyNumberFormat="1" applyFont="1"/>
    <xf numFmtId="180" fontId="96" fillId="2" borderId="1" xfId="126" applyNumberFormat="1" applyFont="1" applyFill="1" applyBorder="1" applyAlignment="1">
      <alignment horizontal="center"/>
    </xf>
    <xf numFmtId="180" fontId="44" fillId="0" borderId="0" xfId="0" applyNumberFormat="1" applyFont="1"/>
    <xf numFmtId="180" fontId="71" fillId="0" borderId="0" xfId="0" applyNumberFormat="1" applyFont="1"/>
    <xf numFmtId="0" fontId="71" fillId="0" borderId="0" xfId="0" applyFont="1"/>
    <xf numFmtId="181" fontId="96" fillId="2" borderId="1" xfId="126" applyFont="1" applyFill="1" applyBorder="1" applyAlignment="1">
      <alignment horizontal="center"/>
    </xf>
    <xf numFmtId="180" fontId="97" fillId="0" borderId="0" xfId="0" applyNumberFormat="1" applyFont="1"/>
    <xf numFmtId="184" fontId="97" fillId="0" borderId="0" xfId="0" applyNumberFormat="1" applyFont="1"/>
    <xf numFmtId="0" fontId="14" fillId="0" borderId="0" xfId="0" applyFont="1" applyAlignment="1">
      <alignment horizontal="center"/>
    </xf>
    <xf numFmtId="0" fontId="25" fillId="0" borderId="0" xfId="92" applyFont="1"/>
    <xf numFmtId="0" fontId="27" fillId="0" borderId="0" xfId="92" applyFont="1"/>
    <xf numFmtId="0" fontId="7" fillId="0" borderId="0" xfId="92" applyFont="1"/>
    <xf numFmtId="0" fontId="4" fillId="0" borderId="0" xfId="92" applyFont="1" applyAlignment="1">
      <alignment horizontal="center"/>
    </xf>
    <xf numFmtId="0" fontId="7" fillId="0" borderId="0" xfId="92" applyFont="1" applyAlignment="1">
      <alignment horizontal="right"/>
    </xf>
    <xf numFmtId="0" fontId="7" fillId="0" borderId="2" xfId="92" applyFont="1" applyBorder="1"/>
    <xf numFmtId="5" fontId="7" fillId="0" borderId="0" xfId="92" applyNumberFormat="1" applyFont="1"/>
    <xf numFmtId="172" fontId="4" fillId="0" borderId="0" xfId="92" applyNumberFormat="1" applyFont="1" applyAlignment="1">
      <alignment horizontal="center"/>
    </xf>
    <xf numFmtId="0" fontId="4" fillId="0" borderId="0" xfId="92" applyFont="1"/>
    <xf numFmtId="176" fontId="7" fillId="0" borderId="0" xfId="92" applyNumberFormat="1" applyFont="1"/>
    <xf numFmtId="0" fontId="12" fillId="0" borderId="0" xfId="92"/>
    <xf numFmtId="0" fontId="15" fillId="0" borderId="0" xfId="92" applyFont="1"/>
    <xf numFmtId="10" fontId="7" fillId="0" borderId="0" xfId="130" applyNumberFormat="1" applyFont="1"/>
    <xf numFmtId="0" fontId="3" fillId="0" borderId="0" xfId="88" applyFont="1" applyAlignment="1">
      <alignment horizontal="center"/>
    </xf>
    <xf numFmtId="0" fontId="4" fillId="0" borderId="0" xfId="88" applyFont="1" applyAlignment="1">
      <alignment horizontal="center"/>
    </xf>
    <xf numFmtId="0" fontId="62" fillId="0" borderId="0" xfId="0" applyFont="1" applyAlignment="1">
      <alignment horizontal="left"/>
    </xf>
    <xf numFmtId="0" fontId="21" fillId="0" borderId="2" xfId="0" applyFont="1" applyBorder="1"/>
    <xf numFmtId="0" fontId="4" fillId="0" borderId="0" xfId="0" applyFont="1" applyAlignment="1">
      <alignment horizontal="right"/>
    </xf>
    <xf numFmtId="176" fontId="7" fillId="0" borderId="1" xfId="0" applyNumberFormat="1" applyFont="1" applyBorder="1" applyProtection="1">
      <protection locked="0"/>
    </xf>
    <xf numFmtId="0" fontId="7" fillId="0" borderId="1" xfId="0" applyFont="1" applyBorder="1" applyProtection="1">
      <protection locked="0"/>
    </xf>
    <xf numFmtId="0" fontId="7" fillId="0" borderId="0" xfId="88" applyFont="1" applyProtection="1">
      <protection hidden="1"/>
    </xf>
    <xf numFmtId="0" fontId="7" fillId="0" borderId="0" xfId="0" applyFont="1" applyAlignment="1" applyProtection="1">
      <alignment horizontal="center"/>
      <protection hidden="1"/>
    </xf>
    <xf numFmtId="0" fontId="7" fillId="0" borderId="0" xfId="0" applyFont="1" applyProtection="1">
      <protection hidden="1"/>
    </xf>
    <xf numFmtId="176" fontId="7" fillId="0" borderId="0" xfId="0" applyNumberFormat="1" applyFont="1" applyProtection="1">
      <protection hidden="1"/>
    </xf>
    <xf numFmtId="0" fontId="66" fillId="0" borderId="0" xfId="88" applyFont="1"/>
    <xf numFmtId="0" fontId="25" fillId="0" borderId="0" xfId="88" applyFont="1" applyProtection="1">
      <protection hidden="1"/>
    </xf>
    <xf numFmtId="0" fontId="15" fillId="0" borderId="0" xfId="88" applyFont="1" applyProtection="1">
      <protection hidden="1"/>
    </xf>
    <xf numFmtId="0" fontId="66" fillId="0" borderId="0" xfId="88" applyFont="1" applyProtection="1">
      <protection hidden="1"/>
    </xf>
    <xf numFmtId="176" fontId="7" fillId="0" borderId="3" xfId="0" applyNumberFormat="1" applyFont="1" applyBorder="1"/>
    <xf numFmtId="164" fontId="3" fillId="0" borderId="0" xfId="99" applyNumberFormat="1" applyFont="1" applyAlignment="1">
      <alignment horizontal="center"/>
    </xf>
    <xf numFmtId="164" fontId="3" fillId="0" borderId="0" xfId="99" applyNumberFormat="1" applyFont="1" applyAlignment="1">
      <alignment horizontal="centerContinuous"/>
    </xf>
    <xf numFmtId="0" fontId="2" fillId="0" borderId="0" xfId="99"/>
    <xf numFmtId="0" fontId="8" fillId="0" borderId="0" xfId="115" applyAlignment="1">
      <alignment horizontal="center"/>
    </xf>
    <xf numFmtId="164" fontId="7" fillId="0" borderId="0" xfId="99" applyNumberFormat="1" applyFont="1"/>
    <xf numFmtId="164" fontId="6" fillId="0" borderId="0" xfId="99" applyNumberFormat="1" applyFont="1" applyAlignment="1">
      <alignment horizontal="center"/>
    </xf>
    <xf numFmtId="164" fontId="4" fillId="0" borderId="0" xfId="99" applyNumberFormat="1" applyFont="1"/>
    <xf numFmtId="164" fontId="7" fillId="0" borderId="0" xfId="99" applyNumberFormat="1" applyFont="1" applyAlignment="1">
      <alignment horizontal="right"/>
    </xf>
    <xf numFmtId="164" fontId="6" fillId="0" borderId="0" xfId="99" applyNumberFormat="1" applyFont="1"/>
    <xf numFmtId="164" fontId="4" fillId="0" borderId="0" xfId="99" applyNumberFormat="1" applyFont="1" applyAlignment="1">
      <alignment horizontal="centerContinuous"/>
    </xf>
    <xf numFmtId="164" fontId="3" fillId="0" borderId="2" xfId="99" applyNumberFormat="1" applyFont="1" applyBorder="1" applyAlignment="1">
      <alignment horizontal="center"/>
    </xf>
    <xf numFmtId="0" fontId="22" fillId="0" borderId="0" xfId="115" applyFont="1"/>
    <xf numFmtId="0" fontId="17" fillId="0" borderId="0" xfId="115" applyFont="1"/>
    <xf numFmtId="0" fontId="8" fillId="0" borderId="0" xfId="115" applyAlignment="1">
      <alignment horizontal="right"/>
    </xf>
    <xf numFmtId="0" fontId="17" fillId="0" borderId="0" xfId="115" applyFont="1" applyAlignment="1">
      <alignment horizontal="right"/>
    </xf>
    <xf numFmtId="0" fontId="22" fillId="0" borderId="0" xfId="99" applyFont="1" applyAlignment="1">
      <alignment horizontal="center"/>
    </xf>
    <xf numFmtId="0" fontId="17" fillId="0" borderId="0" xfId="99" applyFont="1"/>
    <xf numFmtId="0" fontId="23" fillId="0" borderId="0" xfId="115" applyFont="1" applyAlignment="1">
      <alignment horizontal="center"/>
    </xf>
    <xf numFmtId="0" fontId="23" fillId="0" borderId="0" xfId="115" applyFont="1"/>
    <xf numFmtId="0" fontId="7" fillId="0" borderId="1" xfId="82" applyNumberFormat="1" applyFont="1" applyBorder="1" applyAlignment="1">
      <alignment horizontal="center"/>
      <protection locked="0"/>
    </xf>
    <xf numFmtId="168" fontId="25" fillId="0" borderId="0" xfId="85" applyFont="1" applyProtection="1"/>
    <xf numFmtId="168" fontId="25" fillId="0" borderId="0" xfId="85" applyFont="1" applyAlignment="1" applyProtection="1">
      <alignment horizontal="centerContinuous"/>
    </xf>
    <xf numFmtId="168" fontId="7" fillId="0" borderId="0" xfId="85" applyFont="1" applyProtection="1"/>
    <xf numFmtId="1" fontId="7" fillId="0" borderId="0" xfId="85" applyNumberFormat="1" applyFont="1" applyAlignment="1" applyProtection="1">
      <alignment horizontal="center"/>
    </xf>
    <xf numFmtId="168" fontId="36" fillId="0" borderId="0" xfId="85" applyFont="1" applyAlignment="1" applyProtection="1">
      <alignment horizontal="center"/>
    </xf>
    <xf numFmtId="168" fontId="36" fillId="0" borderId="5" xfId="85" applyFont="1" applyBorder="1" applyAlignment="1" applyProtection="1">
      <alignment horizontal="center"/>
    </xf>
    <xf numFmtId="168" fontId="36" fillId="0" borderId="6" xfId="85" applyFont="1" applyBorder="1" applyAlignment="1" applyProtection="1">
      <alignment horizontal="center"/>
    </xf>
    <xf numFmtId="168" fontId="36" fillId="0" borderId="1" xfId="85" applyFont="1" applyBorder="1" applyAlignment="1" applyProtection="1">
      <alignment horizontal="center"/>
    </xf>
    <xf numFmtId="172" fontId="36" fillId="0" borderId="7" xfId="85" applyNumberFormat="1" applyFont="1" applyBorder="1" applyAlignment="1" applyProtection="1">
      <alignment horizontal="center"/>
    </xf>
    <xf numFmtId="168" fontId="36" fillId="0" borderId="7" xfId="85" applyFont="1" applyBorder="1" applyAlignment="1" applyProtection="1">
      <alignment horizontal="center"/>
    </xf>
    <xf numFmtId="168" fontId="55" fillId="0" borderId="0" xfId="85" applyFont="1" applyAlignment="1" applyProtection="1">
      <alignment horizontal="center"/>
    </xf>
    <xf numFmtId="172" fontId="36" fillId="0" borderId="0" xfId="85" applyNumberFormat="1" applyFont="1" applyAlignment="1" applyProtection="1">
      <alignment horizontal="center"/>
    </xf>
    <xf numFmtId="168" fontId="44" fillId="0" borderId="0" xfId="82" applyFont="1" applyProtection="1"/>
    <xf numFmtId="168" fontId="7" fillId="0" borderId="0" xfId="85" applyFont="1" applyAlignment="1" applyProtection="1">
      <alignment horizontal="left"/>
    </xf>
    <xf numFmtId="168" fontId="15" fillId="0" borderId="0" xfId="85" applyProtection="1"/>
    <xf numFmtId="170" fontId="7" fillId="0" borderId="1" xfId="29" applyNumberFormat="1" applyFont="1" applyBorder="1" applyProtection="1">
      <protection locked="0"/>
    </xf>
    <xf numFmtId="0" fontId="25" fillId="0" borderId="0" xfId="88" applyFont="1" applyAlignment="1">
      <alignment horizontal="center"/>
    </xf>
    <xf numFmtId="0" fontId="7" fillId="0" borderId="0" xfId="87" applyFont="1" applyAlignment="1">
      <alignment horizontal="center" shrinkToFit="1"/>
    </xf>
    <xf numFmtId="0" fontId="7" fillId="0" borderId="0" xfId="84" applyFont="1"/>
    <xf numFmtId="0" fontId="4" fillId="0" borderId="0" xfId="84" applyFont="1" applyAlignment="1">
      <alignment horizontal="center"/>
    </xf>
    <xf numFmtId="172" fontId="4" fillId="0" borderId="1" xfId="84" applyNumberFormat="1" applyFont="1" applyBorder="1" applyAlignment="1">
      <alignment horizontal="center"/>
    </xf>
    <xf numFmtId="0" fontId="4" fillId="0" borderId="1" xfId="84" applyFont="1" applyBorder="1" applyAlignment="1">
      <alignment horizontal="center"/>
    </xf>
    <xf numFmtId="0" fontId="42" fillId="0" borderId="0" xfId="84" applyFont="1"/>
    <xf numFmtId="0" fontId="7" fillId="0" borderId="0" xfId="84" applyFont="1" applyAlignment="1">
      <alignment horizontal="center"/>
    </xf>
    <xf numFmtId="176" fontId="7" fillId="0" borderId="0" xfId="84" applyNumberFormat="1" applyFont="1"/>
    <xf numFmtId="0" fontId="7" fillId="0" borderId="0" xfId="84" applyFont="1" applyAlignment="1">
      <alignment horizontal="left" indent="1"/>
    </xf>
    <xf numFmtId="176" fontId="7" fillId="0" borderId="1" xfId="84" applyNumberFormat="1" applyFont="1" applyBorder="1"/>
    <xf numFmtId="1" fontId="7" fillId="0" borderId="0" xfId="84" applyNumberFormat="1" applyFont="1" applyAlignment="1">
      <alignment horizontal="center"/>
    </xf>
    <xf numFmtId="0" fontId="2" fillId="0" borderId="0" xfId="88" applyFont="1" applyAlignment="1">
      <alignment horizontal="center"/>
    </xf>
    <xf numFmtId="0" fontId="2" fillId="0" borderId="0" xfId="88" applyFont="1"/>
    <xf numFmtId="0" fontId="17" fillId="0" borderId="0" xfId="88" applyFont="1"/>
    <xf numFmtId="0" fontId="22" fillId="0" borderId="0" xfId="0" applyFont="1" applyAlignment="1">
      <alignment horizontal="left"/>
    </xf>
    <xf numFmtId="0" fontId="17" fillId="0" borderId="0" xfId="88" applyFont="1" applyAlignment="1">
      <alignment horizontal="right"/>
    </xf>
    <xf numFmtId="0" fontId="17" fillId="0" borderId="0" xfId="0" applyFont="1" applyAlignment="1">
      <alignment horizontal="right"/>
    </xf>
    <xf numFmtId="0" fontId="7" fillId="0" borderId="1" xfId="88" applyFont="1" applyBorder="1" applyAlignment="1" applyProtection="1">
      <alignment horizontal="center"/>
      <protection locked="0"/>
    </xf>
    <xf numFmtId="0" fontId="17" fillId="0" borderId="1" xfId="0" applyFont="1" applyBorder="1" applyAlignment="1" applyProtection="1">
      <alignment horizontal="center"/>
      <protection locked="0"/>
    </xf>
    <xf numFmtId="176" fontId="7" fillId="0" borderId="0" xfId="88" applyNumberFormat="1" applyFont="1"/>
    <xf numFmtId="0" fontId="19" fillId="0" borderId="0" xfId="94" applyFont="1"/>
    <xf numFmtId="0" fontId="27" fillId="0" borderId="0" xfId="94" applyFont="1"/>
    <xf numFmtId="0" fontId="7" fillId="0" borderId="0" xfId="94" applyFont="1"/>
    <xf numFmtId="0" fontId="4" fillId="0" borderId="0" xfId="94" applyFont="1"/>
    <xf numFmtId="0" fontId="4" fillId="0" borderId="0" xfId="94" applyFont="1" applyAlignment="1">
      <alignment horizontal="center"/>
    </xf>
    <xf numFmtId="0" fontId="4" fillId="0" borderId="1" xfId="94" applyFont="1" applyBorder="1" applyAlignment="1">
      <alignment horizontal="center"/>
    </xf>
    <xf numFmtId="176" fontId="7" fillId="0" borderId="0" xfId="94" applyNumberFormat="1" applyFont="1"/>
    <xf numFmtId="0" fontId="7" fillId="0" borderId="1" xfId="94" applyFont="1" applyBorder="1"/>
    <xf numFmtId="176" fontId="7" fillId="0" borderId="1" xfId="94" applyNumberFormat="1" applyFont="1" applyBorder="1"/>
    <xf numFmtId="0" fontId="7" fillId="0" borderId="4" xfId="94" applyFont="1" applyBorder="1"/>
    <xf numFmtId="0" fontId="7" fillId="0" borderId="0" xfId="94" applyFont="1" applyAlignment="1">
      <alignment horizontal="center"/>
    </xf>
    <xf numFmtId="0" fontId="4" fillId="0" borderId="0" xfId="94" applyFont="1" applyAlignment="1">
      <alignment horizontal="left"/>
    </xf>
    <xf numFmtId="0" fontId="28" fillId="0" borderId="0" xfId="94" applyFont="1"/>
    <xf numFmtId="176" fontId="7" fillId="0" borderId="1" xfId="94" applyNumberFormat="1" applyFont="1" applyBorder="1" applyProtection="1">
      <protection locked="0"/>
    </xf>
    <xf numFmtId="0" fontId="7" fillId="0" borderId="4" xfId="94" applyFont="1" applyBorder="1" applyProtection="1">
      <protection locked="0"/>
    </xf>
    <xf numFmtId="176" fontId="12" fillId="0" borderId="1" xfId="0" applyNumberFormat="1" applyFont="1" applyBorder="1" applyProtection="1">
      <protection locked="0"/>
    </xf>
    <xf numFmtId="176" fontId="12" fillId="0" borderId="4" xfId="0" applyNumberFormat="1" applyFont="1" applyBorder="1" applyProtection="1">
      <protection locked="0"/>
    </xf>
    <xf numFmtId="170" fontId="64" fillId="0" borderId="1" xfId="95" applyNumberFormat="1" applyFont="1" applyBorder="1" applyProtection="1">
      <protection locked="0"/>
    </xf>
    <xf numFmtId="164" fontId="7" fillId="0" borderId="0" xfId="0" applyNumberFormat="1" applyFont="1" applyAlignment="1">
      <alignment horizontal="center"/>
    </xf>
    <xf numFmtId="164" fontId="4" fillId="0" borderId="2" xfId="0" applyNumberFormat="1" applyFont="1" applyBorder="1" applyAlignment="1">
      <alignment horizontal="center"/>
    </xf>
    <xf numFmtId="0" fontId="7" fillId="0" borderId="2" xfId="0" applyFont="1" applyBorder="1"/>
    <xf numFmtId="0" fontId="0" fillId="0" borderId="0" xfId="0" applyProtection="1">
      <protection hidden="1"/>
    </xf>
    <xf numFmtId="0" fontId="64" fillId="0" borderId="1" xfId="0" applyFont="1" applyBorder="1" applyAlignment="1" applyProtection="1">
      <alignment horizontal="center"/>
      <protection locked="0"/>
    </xf>
    <xf numFmtId="0" fontId="2" fillId="0" borderId="0" xfId="107" applyFont="1"/>
    <xf numFmtId="0" fontId="2" fillId="0" borderId="0" xfId="107" applyFont="1" applyAlignment="1">
      <alignment horizontal="center"/>
    </xf>
    <xf numFmtId="0" fontId="8" fillId="0" borderId="0" xfId="107"/>
    <xf numFmtId="0" fontId="61" fillId="0" borderId="0" xfId="107" applyFont="1" applyProtection="1">
      <protection hidden="1"/>
    </xf>
    <xf numFmtId="176" fontId="7" fillId="0" borderId="0" xfId="107" applyNumberFormat="1" applyFont="1" applyProtection="1">
      <protection hidden="1"/>
    </xf>
    <xf numFmtId="0" fontId="7" fillId="0" borderId="1" xfId="107" applyFont="1" applyBorder="1" applyAlignment="1" applyProtection="1">
      <alignment horizontal="center"/>
      <protection locked="0"/>
    </xf>
    <xf numFmtId="176" fontId="7" fillId="0" borderId="1" xfId="107" applyNumberFormat="1" applyFont="1" applyBorder="1" applyProtection="1">
      <protection locked="0"/>
    </xf>
    <xf numFmtId="186" fontId="7" fillId="0" borderId="1" xfId="107" applyNumberFormat="1" applyFont="1" applyBorder="1" applyAlignment="1">
      <alignment horizontal="center"/>
    </xf>
    <xf numFmtId="176" fontId="7" fillId="0" borderId="1" xfId="107" applyNumberFormat="1" applyFont="1" applyBorder="1"/>
    <xf numFmtId="0" fontId="4" fillId="0" borderId="0" xfId="89" applyFont="1"/>
    <xf numFmtId="49" fontId="5" fillId="0" borderId="0" xfId="0" applyNumberFormat="1" applyFont="1" applyAlignment="1">
      <alignment horizontal="left"/>
    </xf>
    <xf numFmtId="49" fontId="7" fillId="0" borderId="0" xfId="0" quotePrefix="1" applyNumberFormat="1" applyFont="1" applyAlignment="1">
      <alignment horizontal="left"/>
    </xf>
    <xf numFmtId="49" fontId="7" fillId="0" borderId="0" xfId="0" applyNumberFormat="1" applyFont="1"/>
    <xf numFmtId="0" fontId="4" fillId="0" borderId="0" xfId="0" applyFont="1" applyAlignment="1">
      <alignment horizontal="left" indent="5"/>
    </xf>
    <xf numFmtId="49" fontId="4" fillId="0" borderId="0" xfId="0" applyNumberFormat="1" applyFont="1" applyAlignment="1">
      <alignment horizontal="left"/>
    </xf>
    <xf numFmtId="49" fontId="7" fillId="0" borderId="0" xfId="0" applyNumberFormat="1" applyFont="1" applyAlignment="1">
      <alignment horizontal="left"/>
    </xf>
    <xf numFmtId="39" fontId="7" fillId="0" borderId="0" xfId="89" applyNumberFormat="1" applyFont="1"/>
    <xf numFmtId="49" fontId="29" fillId="0" borderId="0" xfId="0" applyNumberFormat="1" applyFont="1" applyAlignment="1">
      <alignment horizontal="left" indent="3"/>
    </xf>
    <xf numFmtId="49" fontId="7" fillId="0" borderId="0" xfId="0" applyNumberFormat="1" applyFont="1" applyAlignment="1">
      <alignment horizontal="left" indent="1"/>
    </xf>
    <xf numFmtId="49" fontId="5" fillId="0" borderId="0" xfId="0" applyNumberFormat="1" applyFont="1"/>
    <xf numFmtId="49" fontId="42" fillId="0" borderId="0" xfId="0" applyNumberFormat="1" applyFont="1" applyAlignment="1">
      <alignment horizontal="left"/>
    </xf>
    <xf numFmtId="0" fontId="63" fillId="0" borderId="0" xfId="115" applyFont="1" applyAlignment="1">
      <alignment horizontal="center" vertical="center"/>
    </xf>
    <xf numFmtId="0" fontId="3" fillId="0" borderId="0" xfId="86" applyFont="1" applyAlignment="1">
      <alignment horizontal="center"/>
    </xf>
    <xf numFmtId="0" fontId="4" fillId="0" borderId="0" xfId="108" applyFont="1" applyAlignment="1">
      <alignment horizontal="centerContinuous"/>
    </xf>
    <xf numFmtId="0" fontId="7" fillId="0" borderId="0" xfId="108" applyFont="1" applyAlignment="1">
      <alignment horizontal="left"/>
    </xf>
    <xf numFmtId="0" fontId="7" fillId="0" borderId="0" xfId="108" applyFont="1" applyAlignment="1">
      <alignment horizontal="right"/>
    </xf>
    <xf numFmtId="0" fontId="4" fillId="0" borderId="0" xfId="108" applyFont="1"/>
    <xf numFmtId="0" fontId="100" fillId="0" borderId="0" xfId="107" applyFont="1" applyAlignment="1" applyProtection="1">
      <alignment vertical="top"/>
      <protection hidden="1"/>
    </xf>
    <xf numFmtId="0" fontId="7" fillId="0" borderId="0" xfId="107" applyFont="1" applyProtection="1">
      <protection hidden="1"/>
    </xf>
    <xf numFmtId="0" fontId="7" fillId="0" borderId="1" xfId="108" applyFont="1" applyBorder="1" applyAlignment="1" applyProtection="1">
      <alignment horizontal="center"/>
      <protection locked="0"/>
    </xf>
    <xf numFmtId="0" fontId="7" fillId="0" borderId="0" xfId="108" applyFont="1" applyAlignment="1" applyProtection="1">
      <alignment horizontal="center"/>
      <protection locked="0"/>
    </xf>
    <xf numFmtId="176" fontId="7" fillId="0" borderId="1" xfId="108" applyNumberFormat="1" applyFont="1" applyBorder="1" applyProtection="1">
      <protection locked="0"/>
    </xf>
    <xf numFmtId="0" fontId="7" fillId="0" borderId="1" xfId="108" applyFont="1" applyBorder="1" applyProtection="1">
      <protection locked="0"/>
    </xf>
    <xf numFmtId="175" fontId="7" fillId="0" borderId="1" xfId="108" applyNumberFormat="1" applyFont="1" applyBorder="1" applyProtection="1">
      <protection locked="0"/>
    </xf>
    <xf numFmtId="0" fontId="7" fillId="0" borderId="0" xfId="108" applyFont="1" applyProtection="1">
      <protection hidden="1"/>
    </xf>
    <xf numFmtId="0" fontId="7" fillId="0" borderId="1" xfId="110" applyFont="1" applyBorder="1" applyProtection="1">
      <protection locked="0"/>
    </xf>
    <xf numFmtId="0" fontId="7" fillId="0" borderId="1" xfId="110" applyFont="1" applyBorder="1" applyAlignment="1" applyProtection="1">
      <alignment horizontal="center"/>
      <protection locked="0"/>
    </xf>
    <xf numFmtId="176" fontId="7" fillId="0" borderId="1" xfId="110" applyNumberFormat="1" applyFont="1" applyBorder="1" applyProtection="1">
      <protection locked="0"/>
    </xf>
    <xf numFmtId="175" fontId="7" fillId="0" borderId="1" xfId="110" applyNumberFormat="1" applyFont="1" applyBorder="1" applyProtection="1">
      <protection locked="0"/>
    </xf>
    <xf numFmtId="0" fontId="7" fillId="0" borderId="0" xfId="110" applyFont="1" applyProtection="1">
      <protection hidden="1"/>
    </xf>
    <xf numFmtId="3" fontId="21" fillId="0" borderId="0" xfId="0" applyNumberFormat="1" applyFont="1"/>
    <xf numFmtId="0" fontId="39" fillId="0" borderId="0" xfId="95" applyFont="1"/>
    <xf numFmtId="173" fontId="21" fillId="0" borderId="0" xfId="118" applyNumberFormat="1" applyFont="1" applyProtection="1"/>
    <xf numFmtId="43" fontId="0" fillId="0" borderId="0" xfId="0" applyNumberFormat="1"/>
    <xf numFmtId="0" fontId="4" fillId="0" borderId="0" xfId="110" applyFont="1" applyAlignment="1" applyProtection="1">
      <alignment horizontal="center"/>
      <protection hidden="1"/>
    </xf>
    <xf numFmtId="0" fontId="7" fillId="0" borderId="1" xfId="104" applyFont="1" applyBorder="1" applyProtection="1">
      <protection locked="0"/>
    </xf>
    <xf numFmtId="176" fontId="7" fillId="0" borderId="1" xfId="104" applyNumberFormat="1" applyFont="1" applyBorder="1" applyProtection="1">
      <protection locked="0"/>
    </xf>
    <xf numFmtId="0" fontId="7" fillId="0" borderId="1" xfId="104" applyFont="1" applyBorder="1" applyAlignment="1" applyProtection="1">
      <alignment horizontal="center"/>
      <protection locked="0"/>
    </xf>
    <xf numFmtId="0" fontId="7" fillId="0" borderId="0" xfId="104" applyFont="1" applyAlignment="1">
      <alignment horizontal="center"/>
    </xf>
    <xf numFmtId="0" fontId="7" fillId="0" borderId="4" xfId="104" applyFont="1" applyBorder="1" applyAlignment="1" applyProtection="1">
      <alignment horizontal="center"/>
      <protection locked="0"/>
    </xf>
    <xf numFmtId="0" fontId="7" fillId="0" borderId="0" xfId="104" applyFont="1" applyAlignment="1" applyProtection="1">
      <alignment horizontal="center"/>
      <protection locked="0"/>
    </xf>
    <xf numFmtId="168" fontId="6" fillId="0" borderId="0" xfId="83" applyFont="1" applyProtection="1"/>
    <xf numFmtId="168" fontId="2" fillId="0" borderId="0" xfId="83" applyFont="1" applyProtection="1"/>
    <xf numFmtId="168" fontId="4" fillId="0" borderId="0" xfId="83" applyFont="1" applyProtection="1"/>
    <xf numFmtId="168" fontId="64" fillId="0" borderId="0" xfId="83" applyFont="1" applyProtection="1"/>
    <xf numFmtId="168" fontId="7" fillId="0" borderId="0" xfId="83" applyFont="1" applyProtection="1"/>
    <xf numFmtId="168" fontId="4" fillId="0" borderId="0" xfId="83" applyFont="1" applyAlignment="1" applyProtection="1">
      <alignment horizontal="right"/>
    </xf>
    <xf numFmtId="1" fontId="4" fillId="0" borderId="0" xfId="83" applyNumberFormat="1" applyFont="1" applyAlignment="1" applyProtection="1">
      <alignment horizontal="center"/>
    </xf>
    <xf numFmtId="168" fontId="7" fillId="0" borderId="0" xfId="83" applyFont="1" applyAlignment="1" applyProtection="1">
      <alignment horizontal="right"/>
    </xf>
    <xf numFmtId="168" fontId="4" fillId="0" borderId="0" xfId="83" applyFont="1" applyAlignment="1" applyProtection="1">
      <alignment horizontal="center"/>
    </xf>
    <xf numFmtId="168" fontId="64" fillId="0" borderId="2" xfId="83" applyFont="1" applyBorder="1" applyProtection="1"/>
    <xf numFmtId="168" fontId="36" fillId="0" borderId="0" xfId="83" applyFont="1" applyAlignment="1" applyProtection="1">
      <alignment horizontal="center"/>
    </xf>
    <xf numFmtId="168" fontId="36" fillId="0" borderId="21" xfId="83" applyFont="1" applyBorder="1" applyAlignment="1" applyProtection="1">
      <alignment horizontal="center"/>
    </xf>
    <xf numFmtId="168" fontId="36" fillId="0" borderId="8" xfId="83" applyFont="1" applyBorder="1" applyAlignment="1" applyProtection="1">
      <alignment horizontal="center"/>
    </xf>
    <xf numFmtId="168" fontId="36" fillId="0" borderId="9" xfId="83" applyFont="1" applyBorder="1" applyAlignment="1" applyProtection="1">
      <alignment horizontal="center"/>
    </xf>
    <xf numFmtId="168" fontId="36" fillId="0" borderId="5" xfId="83" applyFont="1" applyBorder="1" applyAlignment="1" applyProtection="1">
      <alignment horizontal="center"/>
    </xf>
    <xf numFmtId="168" fontId="36" fillId="0" borderId="10" xfId="83" applyFont="1" applyBorder="1" applyAlignment="1" applyProtection="1">
      <alignment horizontal="center"/>
    </xf>
    <xf numFmtId="168" fontId="36" fillId="0" borderId="11" xfId="83" applyFont="1" applyBorder="1" applyAlignment="1" applyProtection="1">
      <alignment horizontal="center"/>
    </xf>
    <xf numFmtId="168" fontId="36" fillId="0" borderId="6" xfId="83" applyFont="1" applyBorder="1" applyAlignment="1" applyProtection="1">
      <alignment horizontal="center"/>
    </xf>
    <xf numFmtId="168" fontId="36" fillId="0" borderId="7" xfId="83" applyFont="1" applyBorder="1" applyAlignment="1" applyProtection="1">
      <alignment horizontal="center"/>
    </xf>
    <xf numFmtId="176" fontId="64" fillId="0" borderId="1" xfId="122" applyNumberFormat="1" applyFont="1" applyBorder="1" applyProtection="1"/>
    <xf numFmtId="176" fontId="64" fillId="0" borderId="0" xfId="83" applyNumberFormat="1" applyFont="1" applyProtection="1"/>
    <xf numFmtId="176" fontId="64" fillId="0" borderId="14" xfId="122" applyNumberFormat="1" applyFont="1" applyBorder="1" applyProtection="1"/>
    <xf numFmtId="168" fontId="7" fillId="0" borderId="0" xfId="83" applyFont="1" applyAlignment="1" applyProtection="1">
      <alignment horizontal="left"/>
    </xf>
    <xf numFmtId="168" fontId="61" fillId="0" borderId="0" xfId="83" applyFont="1" applyProtection="1"/>
    <xf numFmtId="168" fontId="15" fillId="0" borderId="0" xfId="83" applyProtection="1"/>
    <xf numFmtId="0" fontId="64" fillId="0" borderId="4" xfId="0" applyFont="1" applyBorder="1" applyAlignment="1" applyProtection="1">
      <alignment horizontal="center"/>
      <protection locked="0"/>
    </xf>
    <xf numFmtId="176" fontId="64" fillId="0" borderId="1" xfId="122" applyNumberFormat="1" applyFont="1" applyBorder="1">
      <protection locked="0"/>
    </xf>
    <xf numFmtId="0" fontId="7" fillId="0" borderId="1" xfId="113" applyFont="1" applyBorder="1" applyProtection="1">
      <protection locked="0"/>
    </xf>
    <xf numFmtId="176" fontId="7" fillId="0" borderId="4" xfId="113" applyNumberFormat="1" applyFont="1" applyBorder="1" applyProtection="1">
      <protection locked="0"/>
    </xf>
    <xf numFmtId="174" fontId="12" fillId="0" borderId="1" xfId="38" applyNumberFormat="1" applyFont="1" applyBorder="1" applyProtection="1">
      <protection locked="0"/>
    </xf>
    <xf numFmtId="174" fontId="12" fillId="0" borderId="4" xfId="38" applyNumberFormat="1" applyFont="1" applyBorder="1" applyProtection="1">
      <protection locked="0"/>
    </xf>
    <xf numFmtId="174" fontId="12" fillId="0" borderId="2" xfId="38" applyNumberFormat="1" applyFont="1" applyBorder="1" applyProtection="1">
      <protection locked="0"/>
    </xf>
    <xf numFmtId="174" fontId="12" fillId="0" borderId="18" xfId="38" applyNumberFormat="1" applyFont="1" applyBorder="1" applyProtection="1">
      <protection locked="0"/>
    </xf>
    <xf numFmtId="0" fontId="102" fillId="0" borderId="0" xfId="98" applyFont="1" applyAlignment="1" applyProtection="1">
      <alignment vertical="top"/>
      <protection hidden="1"/>
    </xf>
    <xf numFmtId="0" fontId="2" fillId="0" borderId="0" xfId="98" applyFont="1" applyProtection="1">
      <protection hidden="1"/>
    </xf>
    <xf numFmtId="0" fontId="21" fillId="0" borderId="0" xfId="101" applyFont="1" applyProtection="1">
      <protection hidden="1"/>
    </xf>
    <xf numFmtId="0" fontId="12" fillId="0" borderId="0" xfId="98" applyProtection="1">
      <protection hidden="1"/>
    </xf>
    <xf numFmtId="176" fontId="21" fillId="0" borderId="1" xfId="39" applyNumberFormat="1" applyFont="1" applyBorder="1" applyProtection="1">
      <protection locked="0"/>
    </xf>
    <xf numFmtId="176" fontId="21" fillId="0" borderId="4" xfId="39" applyNumberFormat="1" applyFont="1" applyBorder="1" applyProtection="1">
      <protection locked="0"/>
    </xf>
    <xf numFmtId="176" fontId="15" fillId="0" borderId="1" xfId="38" applyNumberFormat="1" applyFont="1" applyBorder="1" applyProtection="1">
      <protection locked="0"/>
    </xf>
    <xf numFmtId="176" fontId="15" fillId="0" borderId="0" xfId="38" applyNumberFormat="1" applyFont="1" applyProtection="1">
      <protection locked="0"/>
    </xf>
    <xf numFmtId="49" fontId="15" fillId="0" borderId="1" xfId="0" applyNumberFormat="1" applyFont="1" applyBorder="1" applyAlignment="1" applyProtection="1">
      <alignment horizontal="center"/>
      <protection locked="0"/>
    </xf>
    <xf numFmtId="0" fontId="15" fillId="0" borderId="1" xfId="0" applyFont="1" applyBorder="1" applyProtection="1">
      <protection locked="0"/>
    </xf>
    <xf numFmtId="49" fontId="15" fillId="0" borderId="4" xfId="0" applyNumberFormat="1" applyFont="1" applyBorder="1" applyAlignment="1" applyProtection="1">
      <alignment horizontal="center"/>
      <protection locked="0"/>
    </xf>
    <xf numFmtId="49" fontId="15" fillId="0" borderId="0" xfId="0" applyNumberFormat="1" applyFont="1" applyAlignment="1" applyProtection="1">
      <alignment horizontal="center"/>
      <protection locked="0"/>
    </xf>
    <xf numFmtId="0" fontId="22" fillId="0" borderId="1" xfId="0" applyFont="1" applyBorder="1" applyAlignment="1">
      <alignment horizontal="center"/>
    </xf>
    <xf numFmtId="0" fontId="81" fillId="0" borderId="0" xfId="57" applyFont="1" applyAlignment="1" applyProtection="1">
      <alignment horizontal="center"/>
    </xf>
    <xf numFmtId="0" fontId="18" fillId="0" borderId="0" xfId="114" applyFont="1" applyAlignment="1">
      <alignment horizontal="center"/>
    </xf>
    <xf numFmtId="49" fontId="12" fillId="0" borderId="1" xfId="0" applyNumberFormat="1" applyFont="1" applyBorder="1" applyAlignment="1" applyProtection="1">
      <alignment horizontal="center"/>
      <protection locked="0"/>
    </xf>
    <xf numFmtId="176" fontId="12" fillId="0" borderId="1" xfId="38" applyNumberFormat="1" applyFont="1" applyBorder="1" applyProtection="1">
      <protection locked="0"/>
    </xf>
    <xf numFmtId="0" fontId="12" fillId="0" borderId="0" xfId="0" applyFont="1" applyAlignment="1">
      <alignment horizontal="left"/>
    </xf>
    <xf numFmtId="0" fontId="12" fillId="0" borderId="0" xfId="0" quotePrefix="1" applyFont="1" applyAlignment="1">
      <alignment horizontal="left"/>
    </xf>
    <xf numFmtId="0" fontId="12" fillId="0" borderId="0" xfId="0" quotePrefix="1" applyFont="1"/>
    <xf numFmtId="0" fontId="17" fillId="0" borderId="0" xfId="0" applyFont="1" applyAlignment="1">
      <alignment horizontal="left"/>
    </xf>
    <xf numFmtId="0" fontId="93" fillId="0" borderId="0" xfId="0" quotePrefix="1" applyFont="1" applyAlignment="1">
      <alignment horizontal="left"/>
    </xf>
    <xf numFmtId="49" fontId="12" fillId="0" borderId="4" xfId="0" applyNumberFormat="1" applyFont="1" applyBorder="1" applyAlignment="1" applyProtection="1">
      <alignment horizontal="center"/>
      <protection locked="0"/>
    </xf>
    <xf numFmtId="0" fontId="18" fillId="0" borderId="0" xfId="114" applyFont="1"/>
    <xf numFmtId="0" fontId="2" fillId="0" borderId="0" xfId="114" applyFont="1" applyAlignment="1">
      <alignment horizontal="center"/>
    </xf>
    <xf numFmtId="0" fontId="2" fillId="0" borderId="0" xfId="114" applyFont="1" applyAlignment="1">
      <alignment shrinkToFit="1"/>
    </xf>
    <xf numFmtId="49" fontId="2" fillId="0" borderId="0" xfId="114" applyNumberFormat="1" applyFont="1" applyAlignment="1">
      <alignment horizontal="center"/>
    </xf>
    <xf numFmtId="49" fontId="2" fillId="0" borderId="1" xfId="114" applyNumberFormat="1" applyFont="1" applyBorder="1" applyAlignment="1">
      <alignment horizontal="center" shrinkToFit="1"/>
    </xf>
    <xf numFmtId="0" fontId="3" fillId="0" borderId="0" xfId="0" applyFont="1" applyAlignment="1">
      <alignment horizontal="center" wrapText="1"/>
    </xf>
    <xf numFmtId="0" fontId="4" fillId="0" borderId="1" xfId="0" applyFont="1" applyBorder="1" applyAlignment="1">
      <alignment horizontal="center" wrapText="1"/>
    </xf>
    <xf numFmtId="49" fontId="2" fillId="0" borderId="1" xfId="114" applyNumberFormat="1" applyFont="1" applyBorder="1" applyAlignment="1">
      <alignment horizontal="center"/>
    </xf>
    <xf numFmtId="0" fontId="2" fillId="0" borderId="1" xfId="114" applyFont="1" applyBorder="1" applyAlignment="1" applyProtection="1">
      <alignment horizontal="center"/>
      <protection locked="0"/>
    </xf>
    <xf numFmtId="43" fontId="2" fillId="0" borderId="0" xfId="29" applyAlignment="1" applyProtection="1">
      <alignment horizontal="center"/>
      <protection locked="0"/>
    </xf>
    <xf numFmtId="43" fontId="2" fillId="0" borderId="1" xfId="29" applyBorder="1" applyAlignment="1" applyProtection="1">
      <alignment horizontal="center"/>
      <protection locked="0"/>
    </xf>
    <xf numFmtId="166" fontId="21" fillId="0" borderId="0" xfId="0" applyNumberFormat="1" applyFont="1"/>
    <xf numFmtId="180" fontId="2" fillId="0" borderId="1" xfId="0" applyNumberFormat="1" applyFont="1" applyBorder="1" applyProtection="1">
      <protection locked="0"/>
    </xf>
    <xf numFmtId="180" fontId="96" fillId="0" borderId="0" xfId="126" applyNumberFormat="1" applyFont="1" applyAlignment="1">
      <alignment horizontal="center"/>
    </xf>
    <xf numFmtId="181" fontId="96" fillId="0" borderId="0" xfId="126" applyFont="1" applyAlignment="1">
      <alignment horizontal="center"/>
    </xf>
    <xf numFmtId="165" fontId="21" fillId="0" borderId="0" xfId="0" applyNumberFormat="1" applyFont="1"/>
    <xf numFmtId="0" fontId="103" fillId="0" borderId="0" xfId="0" applyFont="1" applyAlignment="1">
      <alignment horizontal="left"/>
    </xf>
    <xf numFmtId="180" fontId="0" fillId="0" borderId="0" xfId="0" applyNumberFormat="1"/>
    <xf numFmtId="185" fontId="0" fillId="0" borderId="0" xfId="0" applyNumberFormat="1"/>
    <xf numFmtId="180" fontId="0" fillId="0" borderId="1" xfId="0" applyNumberFormat="1" applyBorder="1"/>
    <xf numFmtId="180" fontId="104" fillId="0" borderId="4" xfId="0" applyNumberFormat="1" applyFont="1" applyBorder="1"/>
    <xf numFmtId="0" fontId="94" fillId="0" borderId="0" xfId="0" applyFont="1"/>
    <xf numFmtId="0" fontId="94" fillId="0" borderId="0" xfId="0" applyFont="1" applyAlignment="1">
      <alignment horizontal="center"/>
    </xf>
    <xf numFmtId="180" fontId="104" fillId="0" borderId="0" xfId="0" applyNumberFormat="1" applyFont="1"/>
    <xf numFmtId="180" fontId="94" fillId="0" borderId="0" xfId="0" applyNumberFormat="1" applyFont="1"/>
    <xf numFmtId="0" fontId="98" fillId="0" borderId="0" xfId="0" applyFont="1"/>
    <xf numFmtId="185" fontId="0" fillId="0" borderId="0" xfId="0" applyNumberFormat="1" applyProtection="1">
      <protection locked="0"/>
    </xf>
    <xf numFmtId="180" fontId="0" fillId="0" borderId="0" xfId="0" applyNumberFormat="1" applyProtection="1">
      <protection locked="0"/>
    </xf>
    <xf numFmtId="180" fontId="0" fillId="0" borderId="1" xfId="0" applyNumberFormat="1" applyBorder="1" applyProtection="1">
      <protection locked="0"/>
    </xf>
    <xf numFmtId="180" fontId="0" fillId="0" borderId="4" xfId="0" applyNumberFormat="1" applyBorder="1"/>
    <xf numFmtId="180" fontId="0" fillId="0" borderId="8" xfId="0" applyNumberFormat="1" applyBorder="1"/>
    <xf numFmtId="0" fontId="105" fillId="0" borderId="0" xfId="0" applyFont="1"/>
    <xf numFmtId="0" fontId="106" fillId="0" borderId="0" xfId="0" applyFont="1"/>
    <xf numFmtId="0" fontId="11" fillId="0" borderId="0" xfId="0" applyFont="1"/>
    <xf numFmtId="0" fontId="24" fillId="0" borderId="0" xfId="0" applyFont="1"/>
    <xf numFmtId="10" fontId="21" fillId="0" borderId="0" xfId="130" applyNumberFormat="1" applyFont="1"/>
    <xf numFmtId="0" fontId="4" fillId="0" borderId="0" xfId="95" applyFont="1"/>
    <xf numFmtId="179" fontId="12" fillId="0" borderId="1" xfId="0" applyNumberFormat="1" applyFont="1" applyBorder="1" applyProtection="1">
      <protection locked="0"/>
    </xf>
    <xf numFmtId="179" fontId="21" fillId="0" borderId="1" xfId="0" applyNumberFormat="1" applyFont="1" applyBorder="1" applyProtection="1">
      <protection locked="0"/>
    </xf>
    <xf numFmtId="10" fontId="21" fillId="0" borderId="4" xfId="130" applyNumberFormat="1" applyFont="1" applyBorder="1" applyProtection="1">
      <protection locked="0"/>
    </xf>
    <xf numFmtId="0" fontId="21" fillId="0" borderId="0" xfId="0" applyFont="1" applyProtection="1">
      <protection locked="0"/>
    </xf>
    <xf numFmtId="176" fontId="7" fillId="0" borderId="3" xfId="89" applyNumberFormat="1" applyFont="1" applyBorder="1"/>
    <xf numFmtId="0" fontId="81" fillId="0" borderId="0" xfId="57" applyFont="1" applyAlignment="1">
      <alignment horizontal="center"/>
      <protection locked="0"/>
    </xf>
    <xf numFmtId="0" fontId="0" fillId="0" borderId="0" xfId="0" applyProtection="1">
      <protection locked="0"/>
    </xf>
    <xf numFmtId="0" fontId="18" fillId="0" borderId="0" xfId="114" applyFont="1" applyAlignment="1" applyProtection="1">
      <alignment horizontal="center"/>
      <protection locked="0"/>
    </xf>
    <xf numFmtId="0" fontId="18" fillId="0" borderId="0" xfId="114" applyFont="1" applyProtection="1">
      <protection locked="0"/>
    </xf>
    <xf numFmtId="0" fontId="2" fillId="0" borderId="0" xfId="114" applyFont="1" applyProtection="1">
      <protection locked="0"/>
    </xf>
    <xf numFmtId="0" fontId="2" fillId="0" borderId="0" xfId="114" applyFont="1" applyAlignment="1" applyProtection="1">
      <alignment horizontal="center"/>
      <protection locked="0"/>
    </xf>
    <xf numFmtId="0" fontId="12" fillId="0" borderId="0" xfId="103" applyFont="1" applyProtection="1">
      <protection locked="0"/>
    </xf>
    <xf numFmtId="0" fontId="2" fillId="0" borderId="0" xfId="114" applyFont="1" applyAlignment="1" applyProtection="1">
      <alignment shrinkToFit="1"/>
      <protection locked="0"/>
    </xf>
    <xf numFmtId="0" fontId="2" fillId="0" borderId="0" xfId="114" applyFont="1" applyAlignment="1" applyProtection="1">
      <alignment horizontal="center" shrinkToFit="1"/>
      <protection locked="0"/>
    </xf>
    <xf numFmtId="0" fontId="7" fillId="0" borderId="2" xfId="95" applyFont="1" applyBorder="1" applyProtection="1">
      <protection locked="0"/>
    </xf>
    <xf numFmtId="0" fontId="2" fillId="0" borderId="0" xfId="95" applyFont="1" applyProtection="1">
      <protection locked="0"/>
    </xf>
    <xf numFmtId="0" fontId="101" fillId="0" borderId="0" xfId="118" applyFont="1" applyAlignment="1">
      <alignment horizontal="left"/>
      <protection locked="0"/>
    </xf>
    <xf numFmtId="0" fontId="21" fillId="0" borderId="0" xfId="118" applyFont="1">
      <protection locked="0"/>
    </xf>
    <xf numFmtId="0" fontId="14" fillId="0" borderId="0" xfId="0" applyFont="1" applyAlignment="1" applyProtection="1">
      <alignment horizontal="left"/>
      <protection locked="0"/>
    </xf>
    <xf numFmtId="0" fontId="14" fillId="0" borderId="0" xfId="0" applyFont="1" applyProtection="1">
      <protection locked="0"/>
    </xf>
    <xf numFmtId="188" fontId="21" fillId="0" borderId="0" xfId="123" applyNumberFormat="1" applyFont="1">
      <protection locked="0"/>
    </xf>
    <xf numFmtId="166" fontId="21" fillId="0" borderId="0" xfId="0" applyNumberFormat="1" applyFont="1" applyProtection="1">
      <protection locked="0"/>
    </xf>
    <xf numFmtId="166" fontId="15" fillId="0" borderId="0" xfId="0" applyNumberFormat="1" applyFont="1" applyProtection="1">
      <protection locked="0"/>
    </xf>
    <xf numFmtId="0" fontId="15" fillId="0" borderId="0" xfId="0" applyFont="1" applyProtection="1">
      <protection locked="0"/>
    </xf>
    <xf numFmtId="183" fontId="15" fillId="0" borderId="0" xfId="0" applyNumberFormat="1" applyFont="1" applyProtection="1">
      <protection locked="0"/>
    </xf>
    <xf numFmtId="0" fontId="75" fillId="0" borderId="0" xfId="118" applyFont="1" applyAlignment="1">
      <alignment horizontal="left"/>
      <protection locked="0"/>
    </xf>
    <xf numFmtId="188" fontId="21" fillId="0" borderId="0" xfId="118" applyNumberFormat="1" applyFont="1">
      <protection locked="0"/>
    </xf>
    <xf numFmtId="173" fontId="21" fillId="0" borderId="0" xfId="0" applyNumberFormat="1" applyFont="1" applyProtection="1">
      <protection locked="0"/>
    </xf>
    <xf numFmtId="0" fontId="15" fillId="0" borderId="0" xfId="118">
      <protection locked="0"/>
    </xf>
    <xf numFmtId="188" fontId="15" fillId="0" borderId="0" xfId="118" applyNumberFormat="1">
      <protection locked="0"/>
    </xf>
    <xf numFmtId="0" fontId="101" fillId="0" borderId="0" xfId="0" applyFont="1" applyAlignment="1" applyProtection="1">
      <alignment horizontal="left"/>
      <protection locked="0"/>
    </xf>
    <xf numFmtId="187" fontId="21" fillId="0" borderId="0" xfId="27" applyFont="1" applyAlignment="1" applyProtection="1">
      <alignment horizontal="center"/>
      <protection locked="0"/>
    </xf>
    <xf numFmtId="180" fontId="4" fillId="0" borderId="0" xfId="0" applyNumberFormat="1" applyFont="1" applyAlignment="1" applyProtection="1">
      <alignment horizontal="center"/>
      <protection locked="0"/>
    </xf>
    <xf numFmtId="0" fontId="101" fillId="0" borderId="0" xfId="0" applyFont="1" applyProtection="1">
      <protection locked="0"/>
    </xf>
    <xf numFmtId="15" fontId="0" fillId="0" borderId="0" xfId="0" quotePrefix="1" applyNumberFormat="1" applyProtection="1">
      <protection locked="0"/>
    </xf>
    <xf numFmtId="173" fontId="14" fillId="0" borderId="0" xfId="0" applyNumberFormat="1" applyFont="1" applyProtection="1">
      <protection locked="0"/>
    </xf>
    <xf numFmtId="165" fontId="14" fillId="0" borderId="0" xfId="0" applyNumberFormat="1" applyFont="1" applyProtection="1">
      <protection locked="0"/>
    </xf>
    <xf numFmtId="180" fontId="2" fillId="0" borderId="4" xfId="0" applyNumberFormat="1" applyFont="1" applyBorder="1"/>
    <xf numFmtId="185" fontId="2" fillId="0" borderId="3" xfId="0" applyNumberFormat="1" applyFont="1" applyBorder="1"/>
    <xf numFmtId="180" fontId="2" fillId="0" borderId="3" xfId="0" applyNumberFormat="1" applyFont="1" applyBorder="1"/>
    <xf numFmtId="0" fontId="8" fillId="0" borderId="1" xfId="115" applyBorder="1" applyAlignment="1" applyProtection="1">
      <alignment horizontal="center"/>
      <protection locked="0"/>
    </xf>
    <xf numFmtId="0" fontId="17" fillId="0" borderId="4" xfId="115" applyFont="1" applyBorder="1" applyAlignment="1" applyProtection="1">
      <alignment horizontal="center"/>
      <protection locked="0"/>
    </xf>
    <xf numFmtId="0" fontId="52" fillId="0" borderId="0" xfId="0" applyFont="1" applyProtection="1">
      <protection hidden="1"/>
    </xf>
    <xf numFmtId="15" fontId="51" fillId="0" borderId="0" xfId="0" applyNumberFormat="1" applyFont="1" applyAlignment="1" applyProtection="1">
      <alignment horizontal="center"/>
      <protection hidden="1"/>
    </xf>
    <xf numFmtId="0" fontId="25" fillId="0" borderId="0" xfId="95" applyFont="1" applyAlignment="1">
      <alignment horizontal="centerContinuous"/>
    </xf>
    <xf numFmtId="0" fontId="66" fillId="0" borderId="0" xfId="95" applyFont="1"/>
    <xf numFmtId="0" fontId="25" fillId="0" borderId="0" xfId="95" applyFont="1"/>
    <xf numFmtId="0" fontId="70" fillId="0" borderId="0" xfId="95" applyFont="1" applyAlignment="1">
      <alignment horizontal="center"/>
    </xf>
    <xf numFmtId="0" fontId="26" fillId="0" borderId="0" xfId="95" applyFont="1" applyAlignment="1">
      <alignment horizontal="centerContinuous"/>
    </xf>
    <xf numFmtId="0" fontId="26" fillId="0" borderId="0" xfId="95" applyFont="1"/>
    <xf numFmtId="0" fontId="7" fillId="0" borderId="1" xfId="95" applyFont="1" applyBorder="1" applyAlignment="1">
      <alignment horizontal="center"/>
    </xf>
    <xf numFmtId="0" fontId="44" fillId="0" borderId="0" xfId="95" applyFont="1"/>
    <xf numFmtId="0" fontId="13" fillId="0" borderId="3" xfId="95" applyFont="1" applyBorder="1"/>
    <xf numFmtId="0" fontId="13" fillId="0" borderId="0" xfId="95" applyFont="1"/>
    <xf numFmtId="0" fontId="13" fillId="0" borderId="0" xfId="95" applyFont="1" applyAlignment="1">
      <alignment horizontal="center"/>
    </xf>
    <xf numFmtId="0" fontId="4" fillId="0" borderId="15" xfId="95" applyFont="1" applyBorder="1" applyAlignment="1">
      <alignment horizontal="center" wrapText="1"/>
    </xf>
    <xf numFmtId="0" fontId="12" fillId="0" borderId="0" xfId="95"/>
    <xf numFmtId="0" fontId="15" fillId="0" borderId="0" xfId="95" applyFont="1"/>
    <xf numFmtId="0" fontId="6" fillId="0" borderId="4" xfId="89" applyFont="1" applyBorder="1" applyAlignment="1" applyProtection="1">
      <alignment horizontal="center"/>
      <protection locked="0"/>
    </xf>
    <xf numFmtId="9" fontId="21" fillId="0" borderId="1" xfId="130" applyFont="1" applyBorder="1" applyProtection="1">
      <protection locked="0"/>
    </xf>
    <xf numFmtId="176" fontId="7" fillId="0" borderId="1" xfId="89" applyNumberFormat="1" applyFont="1" applyBorder="1" applyProtection="1">
      <protection locked="0"/>
    </xf>
    <xf numFmtId="176" fontId="7" fillId="0" borderId="4" xfId="89" applyNumberFormat="1" applyFont="1" applyBorder="1" applyProtection="1">
      <protection locked="0"/>
    </xf>
    <xf numFmtId="176" fontId="7" fillId="3" borderId="1" xfId="84" applyNumberFormat="1" applyFont="1" applyFill="1" applyBorder="1"/>
    <xf numFmtId="176" fontId="7" fillId="3" borderId="4" xfId="84" applyNumberFormat="1" applyFont="1" applyFill="1" applyBorder="1"/>
    <xf numFmtId="0" fontId="51" fillId="0" borderId="15" xfId="0" applyFont="1" applyBorder="1" applyAlignment="1" applyProtection="1">
      <alignment horizontal="center"/>
      <protection hidden="1"/>
    </xf>
    <xf numFmtId="0" fontId="7" fillId="0" borderId="0" xfId="94" applyFont="1" applyAlignment="1">
      <alignment horizontal="right"/>
    </xf>
    <xf numFmtId="0" fontId="7" fillId="0" borderId="2" xfId="94" applyFont="1" applyBorder="1"/>
    <xf numFmtId="176" fontId="38" fillId="0" borderId="0" xfId="81" applyNumberFormat="1" applyFont="1" applyProtection="1">
      <protection locked="0"/>
    </xf>
    <xf numFmtId="0" fontId="7" fillId="0" borderId="0" xfId="89" quotePrefix="1" applyFont="1"/>
    <xf numFmtId="0" fontId="6" fillId="0" borderId="0" xfId="89" applyFont="1"/>
    <xf numFmtId="0" fontId="3" fillId="0" borderId="1" xfId="89" applyFont="1" applyBorder="1"/>
    <xf numFmtId="0" fontId="7" fillId="0" borderId="0" xfId="0" applyFont="1" applyAlignment="1">
      <alignment wrapText="1"/>
    </xf>
    <xf numFmtId="0" fontId="29" fillId="0" borderId="0" xfId="0" applyFont="1" applyAlignment="1">
      <alignment horizontal="left" vertical="top"/>
    </xf>
    <xf numFmtId="170" fontId="7" fillId="0" borderId="0" xfId="86" applyNumberFormat="1" applyFont="1"/>
    <xf numFmtId="186" fontId="7" fillId="0" borderId="0" xfId="107" applyNumberFormat="1" applyFont="1"/>
    <xf numFmtId="176" fontId="7" fillId="0" borderId="0" xfId="107" applyNumberFormat="1" applyFont="1"/>
    <xf numFmtId="179" fontId="0" fillId="0" borderId="0" xfId="0" applyNumberFormat="1"/>
    <xf numFmtId="9" fontId="0" fillId="0" borderId="0" xfId="130" applyFont="1"/>
    <xf numFmtId="10" fontId="0" fillId="0" borderId="0" xfId="130" applyNumberFormat="1" applyFont="1"/>
    <xf numFmtId="0" fontId="4" fillId="0" borderId="0" xfId="88" applyFont="1"/>
    <xf numFmtId="176" fontId="7" fillId="0" borderId="0" xfId="84" applyNumberFormat="1" applyFont="1" applyProtection="1">
      <protection locked="0"/>
    </xf>
    <xf numFmtId="0" fontId="107" fillId="0" borderId="0" xfId="0" applyFont="1"/>
    <xf numFmtId="49" fontId="12" fillId="0" borderId="0" xfId="0" applyNumberFormat="1" applyFont="1" applyAlignment="1" applyProtection="1">
      <alignment horizontal="center"/>
      <protection locked="0"/>
    </xf>
    <xf numFmtId="176" fontId="7" fillId="0" borderId="18" xfId="84" applyNumberFormat="1" applyFont="1" applyBorder="1" applyProtection="1">
      <protection locked="0"/>
    </xf>
    <xf numFmtId="176" fontId="7" fillId="3" borderId="18" xfId="84" applyNumberFormat="1" applyFont="1" applyFill="1" applyBorder="1"/>
    <xf numFmtId="0" fontId="44" fillId="0" borderId="0" xfId="0" applyFont="1"/>
    <xf numFmtId="176" fontId="7" fillId="0" borderId="18" xfId="84" applyNumberFormat="1" applyFont="1" applyBorder="1"/>
    <xf numFmtId="0" fontId="80" fillId="0" borderId="0" xfId="0" applyFont="1"/>
    <xf numFmtId="176" fontId="7" fillId="0" borderId="22" xfId="84" applyNumberFormat="1" applyFont="1" applyBorder="1" applyProtection="1">
      <protection locked="0"/>
    </xf>
    <xf numFmtId="0" fontId="42" fillId="0" borderId="0" xfId="88" applyFont="1"/>
    <xf numFmtId="0" fontId="29" fillId="0" borderId="0" xfId="88" applyFont="1"/>
    <xf numFmtId="168" fontId="4" fillId="0" borderId="0" xfId="82" applyFont="1" applyAlignment="1" applyProtection="1">
      <alignment horizontal="centerContinuous"/>
    </xf>
    <xf numFmtId="0" fontId="52" fillId="0" borderId="0" xfId="0" applyFont="1" applyAlignment="1">
      <alignment horizontal="center"/>
    </xf>
    <xf numFmtId="0" fontId="52" fillId="0" borderId="0" xfId="0" applyFont="1"/>
    <xf numFmtId="186" fontId="7" fillId="0" borderId="1" xfId="107" applyNumberFormat="1" applyFont="1" applyBorder="1" applyAlignment="1" applyProtection="1">
      <alignment horizontal="center"/>
      <protection locked="0"/>
    </xf>
    <xf numFmtId="0" fontId="51" fillId="0" borderId="0" xfId="0" applyFont="1" applyAlignment="1" applyProtection="1">
      <alignment horizontal="left"/>
      <protection hidden="1"/>
    </xf>
    <xf numFmtId="0" fontId="108" fillId="0" borderId="0" xfId="0" applyFont="1" applyAlignment="1" applyProtection="1">
      <alignment horizontal="left" wrapText="1"/>
      <protection hidden="1"/>
    </xf>
    <xf numFmtId="0" fontId="22" fillId="0" borderId="0" xfId="84" applyFont="1" applyAlignment="1">
      <alignment horizontal="center"/>
    </xf>
    <xf numFmtId="0" fontId="17" fillId="0" borderId="0" xfId="84" applyFont="1"/>
    <xf numFmtId="0" fontId="108" fillId="0" borderId="0" xfId="0" applyFont="1" applyAlignment="1" applyProtection="1">
      <alignment wrapText="1"/>
      <protection hidden="1"/>
    </xf>
    <xf numFmtId="0" fontId="21" fillId="0" borderId="0" xfId="88" applyFont="1" applyAlignment="1">
      <alignment horizontal="center" wrapText="1" shrinkToFit="1"/>
    </xf>
    <xf numFmtId="164" fontId="7" fillId="0" borderId="0" xfId="96" applyNumberFormat="1" applyFont="1" applyAlignment="1">
      <alignment shrinkToFit="1"/>
    </xf>
    <xf numFmtId="0" fontId="7" fillId="0" borderId="1" xfId="95" applyFont="1" applyBorder="1" applyAlignment="1" applyProtection="1">
      <alignment horizontal="center" shrinkToFit="1"/>
      <protection locked="0"/>
    </xf>
    <xf numFmtId="0" fontId="2" fillId="0" borderId="0" xfId="85" applyNumberFormat="1" applyFont="1" applyAlignment="1">
      <alignment horizontal="center"/>
      <protection locked="0"/>
    </xf>
    <xf numFmtId="0" fontId="7" fillId="0" borderId="1" xfId="107" applyFont="1" applyBorder="1" applyAlignment="1" applyProtection="1">
      <alignment horizontal="center" shrinkToFit="1"/>
      <protection locked="0"/>
    </xf>
    <xf numFmtId="0" fontId="7" fillId="0" borderId="1" xfId="108" applyFont="1" applyBorder="1" applyAlignment="1">
      <alignment shrinkToFit="1"/>
    </xf>
    <xf numFmtId="0" fontId="7" fillId="0" borderId="1" xfId="108" applyFont="1" applyBorder="1" applyAlignment="1" applyProtection="1">
      <alignment horizontal="center" shrinkToFit="1"/>
      <protection locked="0"/>
    </xf>
    <xf numFmtId="0" fontId="28" fillId="0" borderId="0" xfId="101" applyFont="1" applyAlignment="1">
      <alignment horizontal="center"/>
    </xf>
    <xf numFmtId="0" fontId="8" fillId="0" borderId="0" xfId="0" applyFont="1" applyAlignment="1">
      <alignment horizontal="center"/>
    </xf>
    <xf numFmtId="0" fontId="8" fillId="0" borderId="0" xfId="0" applyFont="1"/>
    <xf numFmtId="0" fontId="8" fillId="0" borderId="15" xfId="0" quotePrefix="1" applyFont="1" applyBorder="1"/>
    <xf numFmtId="0" fontId="8" fillId="0" borderId="15" xfId="0" quotePrefix="1" applyFont="1" applyBorder="1" applyAlignment="1">
      <alignment horizontal="center"/>
    </xf>
    <xf numFmtId="0" fontId="59" fillId="0" borderId="15" xfId="0" applyFont="1" applyBorder="1"/>
    <xf numFmtId="0" fontId="59" fillId="0" borderId="15" xfId="0" applyFont="1" applyBorder="1" applyAlignment="1">
      <alignment horizontal="center" wrapText="1"/>
    </xf>
    <xf numFmtId="0" fontId="112" fillId="0" borderId="0" xfId="0" applyFont="1" applyAlignment="1">
      <alignment horizontal="left"/>
    </xf>
    <xf numFmtId="0" fontId="112" fillId="0" borderId="0" xfId="0" applyFont="1"/>
    <xf numFmtId="0" fontId="111" fillId="0" borderId="0" xfId="0" applyFont="1"/>
    <xf numFmtId="0" fontId="7" fillId="0" borderId="0" xfId="92" applyFont="1" applyAlignment="1">
      <alignment horizontal="left"/>
    </xf>
    <xf numFmtId="0" fontId="74" fillId="0" borderId="0" xfId="106" applyFont="1" applyAlignment="1">
      <alignment horizontal="right" shrinkToFit="1"/>
    </xf>
    <xf numFmtId="164" fontId="2" fillId="0" borderId="0" xfId="106" applyNumberFormat="1" applyFont="1" applyAlignment="1">
      <alignment horizontal="right"/>
    </xf>
    <xf numFmtId="164" fontId="7" fillId="0" borderId="0" xfId="100" applyNumberFormat="1" applyFont="1" applyAlignment="1">
      <alignment horizontal="left"/>
    </xf>
    <xf numFmtId="0" fontId="2" fillId="0" borderId="0" xfId="101" applyFont="1" applyAlignment="1">
      <alignment horizontal="left"/>
    </xf>
    <xf numFmtId="0" fontId="28" fillId="0" borderId="0" xfId="101" applyFont="1" applyAlignment="1">
      <alignment horizontal="left"/>
    </xf>
    <xf numFmtId="0" fontId="12" fillId="0" borderId="1" xfId="0" applyFont="1" applyBorder="1" applyAlignment="1">
      <alignment horizontal="center"/>
    </xf>
    <xf numFmtId="0" fontId="38" fillId="0" borderId="0" xfId="81" applyFont="1" applyAlignment="1" applyProtection="1">
      <alignment horizontal="center"/>
      <protection locked="0"/>
    </xf>
    <xf numFmtId="0" fontId="6" fillId="0" borderId="0" xfId="88" applyFont="1" applyProtection="1">
      <protection hidden="1"/>
    </xf>
    <xf numFmtId="0" fontId="48" fillId="0" borderId="0" xfId="81" applyFont="1" applyAlignment="1">
      <alignment horizontal="left"/>
    </xf>
    <xf numFmtId="0" fontId="38" fillId="0" borderId="0" xfId="81" applyFont="1" applyAlignment="1">
      <alignment horizontal="left"/>
    </xf>
    <xf numFmtId="0" fontId="38" fillId="0" borderId="1" xfId="81" applyFont="1" applyBorder="1" applyAlignment="1">
      <alignment horizontal="center"/>
    </xf>
    <xf numFmtId="189" fontId="4" fillId="0" borderId="1" xfId="0" applyNumberFormat="1" applyFont="1" applyBorder="1" applyAlignment="1">
      <alignment horizontal="center"/>
    </xf>
    <xf numFmtId="180" fontId="2" fillId="0" borderId="0" xfId="114" applyNumberFormat="1" applyFont="1" applyAlignment="1">
      <alignment horizontal="right"/>
    </xf>
    <xf numFmtId="180" fontId="2" fillId="0" borderId="0" xfId="114" applyNumberFormat="1" applyFont="1" applyAlignment="1">
      <alignment horizontal="right" shrinkToFit="1"/>
    </xf>
    <xf numFmtId="180" fontId="2" fillId="0" borderId="0" xfId="114" applyNumberFormat="1" applyFont="1"/>
    <xf numFmtId="1" fontId="0" fillId="0" borderId="0" xfId="0" applyNumberFormat="1" applyAlignment="1">
      <alignment horizontal="center"/>
    </xf>
    <xf numFmtId="1" fontId="4" fillId="0" borderId="0" xfId="0" applyNumberFormat="1" applyFont="1" applyAlignment="1">
      <alignment horizontal="center"/>
    </xf>
    <xf numFmtId="185" fontId="0" fillId="0" borderId="3" xfId="0" applyNumberFormat="1" applyBorder="1"/>
    <xf numFmtId="180" fontId="116" fillId="0" borderId="0" xfId="0" applyNumberFormat="1" applyFont="1" applyAlignment="1">
      <alignment horizontal="center"/>
    </xf>
    <xf numFmtId="0" fontId="2" fillId="0" borderId="0" xfId="114" applyFont="1" applyAlignment="1">
      <alignment horizontal="right"/>
    </xf>
    <xf numFmtId="0" fontId="11" fillId="0" borderId="0" xfId="0" applyFont="1" applyAlignment="1">
      <alignment horizontal="left"/>
    </xf>
    <xf numFmtId="180" fontId="94" fillId="0" borderId="0" xfId="124" applyNumberFormat="1" applyFont="1" applyBorder="1" applyProtection="1"/>
    <xf numFmtId="176" fontId="7" fillId="0" borderId="1" xfId="113" applyNumberFormat="1" applyFont="1" applyBorder="1" applyProtection="1">
      <protection locked="0"/>
    </xf>
    <xf numFmtId="176" fontId="7" fillId="0" borderId="1" xfId="105" applyNumberFormat="1" applyFont="1" applyBorder="1"/>
    <xf numFmtId="9" fontId="7" fillId="0" borderId="1" xfId="130" applyFont="1" applyBorder="1" applyAlignment="1">
      <alignment horizontal="right"/>
    </xf>
    <xf numFmtId="0" fontId="117" fillId="0" borderId="0" xfId="88" applyFont="1" applyProtection="1">
      <protection hidden="1"/>
    </xf>
    <xf numFmtId="0" fontId="2" fillId="0" borderId="0" xfId="114" applyFont="1" applyAlignment="1" applyProtection="1">
      <alignment horizontal="right"/>
      <protection locked="0"/>
    </xf>
    <xf numFmtId="0" fontId="3" fillId="0" borderId="0" xfId="90" applyFont="1" applyAlignment="1">
      <alignment horizontal="center"/>
    </xf>
    <xf numFmtId="0" fontId="118" fillId="0" borderId="0" xfId="0" applyFont="1" applyProtection="1">
      <protection hidden="1"/>
    </xf>
    <xf numFmtId="164" fontId="7" fillId="0" borderId="1" xfId="95" applyNumberFormat="1" applyFont="1" applyBorder="1" applyAlignment="1" applyProtection="1">
      <alignment horizontal="center" shrinkToFit="1"/>
      <protection locked="0"/>
    </xf>
    <xf numFmtId="0" fontId="5" fillId="0" borderId="0" xfId="94" applyFont="1"/>
    <xf numFmtId="0" fontId="81" fillId="0" borderId="0" xfId="57" applyFont="1" applyAlignment="1" applyProtection="1"/>
    <xf numFmtId="0" fontId="21" fillId="0" borderId="0" xfId="118" applyFont="1" applyProtection="1"/>
    <xf numFmtId="0" fontId="181" fillId="0" borderId="0" xfId="0" applyFont="1"/>
    <xf numFmtId="0" fontId="182" fillId="0" borderId="0" xfId="0" applyFont="1"/>
    <xf numFmtId="0" fontId="183" fillId="0" borderId="0" xfId="0" applyFont="1"/>
    <xf numFmtId="0" fontId="183" fillId="0" borderId="0" xfId="0" quotePrefix="1" applyFont="1" applyAlignment="1">
      <alignment horizontal="center"/>
    </xf>
    <xf numFmtId="0" fontId="184" fillId="0" borderId="0" xfId="0" applyFont="1" applyAlignment="1">
      <alignment horizontal="left"/>
    </xf>
    <xf numFmtId="0" fontId="183" fillId="0" borderId="0" xfId="0" applyFont="1" applyAlignment="1">
      <alignment horizontal="left" indent="1"/>
    </xf>
    <xf numFmtId="0" fontId="183" fillId="0" borderId="0" xfId="0" applyFont="1" applyAlignment="1">
      <alignment horizontal="center"/>
    </xf>
    <xf numFmtId="0" fontId="183" fillId="0" borderId="0" xfId="0" applyFont="1" applyAlignment="1">
      <alignment horizontal="left"/>
    </xf>
    <xf numFmtId="0" fontId="185" fillId="0" borderId="0" xfId="0" applyFont="1"/>
    <xf numFmtId="0" fontId="44" fillId="0" borderId="0" xfId="89" applyFont="1"/>
    <xf numFmtId="44" fontId="7" fillId="0" borderId="0" xfId="89" applyNumberFormat="1" applyFont="1"/>
    <xf numFmtId="0" fontId="12" fillId="0" borderId="0" xfId="89"/>
    <xf numFmtId="0" fontId="32" fillId="0" borderId="0" xfId="89" quotePrefix="1" applyFont="1" applyAlignment="1">
      <alignment horizontal="center"/>
    </xf>
    <xf numFmtId="0" fontId="183" fillId="0" borderId="0" xfId="0" applyFont="1" applyAlignment="1">
      <alignment horizontal="left" indent="2"/>
    </xf>
    <xf numFmtId="49" fontId="183" fillId="0" borderId="0" xfId="0" applyNumberFormat="1" applyFont="1"/>
    <xf numFmtId="0" fontId="3" fillId="0" borderId="0" xfId="88" applyFont="1" applyProtection="1">
      <protection hidden="1"/>
    </xf>
    <xf numFmtId="0" fontId="31" fillId="0" borderId="0" xfId="94" applyFont="1"/>
    <xf numFmtId="0" fontId="29" fillId="0" borderId="2" xfId="0" applyFont="1" applyBorder="1"/>
    <xf numFmtId="0" fontId="0" fillId="0" borderId="2" xfId="0" applyBorder="1"/>
    <xf numFmtId="0" fontId="120" fillId="0" borderId="0" xfId="0" applyFont="1"/>
    <xf numFmtId="164" fontId="18" fillId="0" borderId="0" xfId="106" applyNumberFormat="1" applyFont="1" applyAlignment="1">
      <alignment horizontal="center"/>
    </xf>
    <xf numFmtId="0" fontId="10" fillId="0" borderId="0" xfId="0" applyFont="1" applyProtection="1">
      <protection hidden="1"/>
    </xf>
    <xf numFmtId="185" fontId="2" fillId="0" borderId="0" xfId="40" applyNumberFormat="1"/>
    <xf numFmtId="180" fontId="2" fillId="0" borderId="1" xfId="0" applyNumberFormat="1" applyFont="1" applyBorder="1"/>
    <xf numFmtId="180" fontId="7" fillId="0" borderId="0" xfId="0" applyNumberFormat="1" applyFont="1" applyProtection="1">
      <protection locked="0"/>
    </xf>
    <xf numFmtId="0" fontId="125" fillId="0" borderId="0" xfId="116" applyFont="1" applyProtection="1">
      <protection locked="0"/>
    </xf>
    <xf numFmtId="0" fontId="123" fillId="0" borderId="0" xfId="116" applyProtection="1">
      <protection locked="0"/>
    </xf>
    <xf numFmtId="0" fontId="127" fillId="0" borderId="2" xfId="116" applyFont="1" applyBorder="1" applyAlignment="1" applyProtection="1">
      <alignment horizontal="centerContinuous"/>
      <protection locked="0"/>
    </xf>
    <xf numFmtId="0" fontId="123" fillId="0" borderId="2" xfId="116" applyBorder="1" applyAlignment="1" applyProtection="1">
      <alignment horizontal="centerContinuous"/>
      <protection locked="0"/>
    </xf>
    <xf numFmtId="0" fontId="127" fillId="0" borderId="0" xfId="116" applyFont="1" applyAlignment="1" applyProtection="1">
      <alignment horizontal="centerContinuous"/>
      <protection locked="0"/>
    </xf>
    <xf numFmtId="0" fontId="130" fillId="0" borderId="0" xfId="116" applyFont="1" applyAlignment="1" applyProtection="1">
      <alignment horizontal="center"/>
      <protection locked="0"/>
    </xf>
    <xf numFmtId="0" fontId="127" fillId="0" borderId="0" xfId="116" applyFont="1" applyAlignment="1">
      <alignment horizontal="center"/>
    </xf>
    <xf numFmtId="176" fontId="123" fillId="0" borderId="1" xfId="116" applyNumberFormat="1" applyBorder="1" applyProtection="1">
      <protection locked="0"/>
    </xf>
    <xf numFmtId="0" fontId="123" fillId="0" borderId="1" xfId="116" applyBorder="1" applyAlignment="1" applyProtection="1">
      <alignment horizontal="center"/>
      <protection locked="0"/>
    </xf>
    <xf numFmtId="0" fontId="123" fillId="0" borderId="1" xfId="116" applyBorder="1" applyProtection="1">
      <protection locked="0"/>
    </xf>
    <xf numFmtId="0" fontId="123" fillId="0" borderId="0" xfId="116"/>
    <xf numFmtId="0" fontId="127" fillId="0" borderId="0" xfId="116" applyFont="1" applyProtection="1">
      <protection locked="0"/>
    </xf>
    <xf numFmtId="0" fontId="130" fillId="0" borderId="0" xfId="116" applyFont="1" applyProtection="1">
      <protection locked="0"/>
    </xf>
    <xf numFmtId="0" fontId="126" fillId="0" borderId="0" xfId="116" applyFont="1" applyProtection="1">
      <protection locked="0"/>
    </xf>
    <xf numFmtId="0" fontId="127" fillId="0" borderId="2" xfId="116" applyFont="1" applyBorder="1" applyAlignment="1" applyProtection="1">
      <alignment horizontal="center"/>
      <protection locked="0"/>
    </xf>
    <xf numFmtId="0" fontId="123" fillId="0" borderId="2" xfId="116" applyBorder="1" applyProtection="1">
      <protection locked="0"/>
    </xf>
    <xf numFmtId="39" fontId="0" fillId="0" borderId="1" xfId="0" applyNumberFormat="1" applyBorder="1" applyProtection="1">
      <protection locked="0"/>
    </xf>
    <xf numFmtId="0" fontId="0" fillId="0" borderId="1" xfId="0" applyBorder="1" applyProtection="1">
      <protection locked="0"/>
    </xf>
    <xf numFmtId="180" fontId="186" fillId="0" borderId="0" xfId="0" applyNumberFormat="1" applyFont="1" applyProtection="1">
      <protection locked="0"/>
    </xf>
    <xf numFmtId="168" fontId="115" fillId="0" borderId="0" xfId="0" applyNumberFormat="1" applyFont="1"/>
    <xf numFmtId="180" fontId="181" fillId="0" borderId="0" xfId="0" applyNumberFormat="1" applyFont="1" applyProtection="1">
      <protection locked="0"/>
    </xf>
    <xf numFmtId="0" fontId="79" fillId="0" borderId="0" xfId="81" applyFont="1"/>
    <xf numFmtId="0" fontId="247" fillId="0" borderId="0" xfId="69"/>
    <xf numFmtId="0" fontId="5" fillId="0" borderId="0" xfId="69" applyFont="1"/>
    <xf numFmtId="0" fontId="7" fillId="0" borderId="0" xfId="69" applyFont="1"/>
    <xf numFmtId="0" fontId="11" fillId="0" borderId="0" xfId="88" applyFont="1" applyAlignment="1">
      <alignment horizontal="center"/>
    </xf>
    <xf numFmtId="0" fontId="12" fillId="0" borderId="0" xfId="69" applyFont="1" applyAlignment="1">
      <alignment horizontal="left"/>
    </xf>
    <xf numFmtId="0" fontId="11" fillId="0" borderId="1" xfId="88" applyFont="1" applyBorder="1" applyAlignment="1">
      <alignment horizontal="center"/>
    </xf>
    <xf numFmtId="176" fontId="12" fillId="0" borderId="0" xfId="84" applyNumberFormat="1" applyFont="1" applyAlignment="1">
      <alignment horizontal="center"/>
    </xf>
    <xf numFmtId="176" fontId="12" fillId="0" borderId="0" xfId="84" applyNumberFormat="1" applyFont="1"/>
    <xf numFmtId="176" fontId="12" fillId="0" borderId="1" xfId="84" applyNumberFormat="1" applyFont="1" applyBorder="1" applyProtection="1">
      <protection locked="0"/>
    </xf>
    <xf numFmtId="176" fontId="12" fillId="0" borderId="1" xfId="84" applyNumberFormat="1" applyFont="1" applyBorder="1"/>
    <xf numFmtId="176" fontId="12" fillId="0" borderId="4" xfId="84" applyNumberFormat="1" applyFont="1" applyBorder="1" applyProtection="1">
      <protection locked="0"/>
    </xf>
    <xf numFmtId="176" fontId="12" fillId="0" borderId="0" xfId="84" applyNumberFormat="1" applyFont="1" applyProtection="1">
      <protection locked="0"/>
    </xf>
    <xf numFmtId="0" fontId="44" fillId="0" borderId="0" xfId="69" applyFont="1"/>
    <xf numFmtId="0" fontId="12" fillId="0" borderId="0" xfId="69" applyFont="1"/>
    <xf numFmtId="0" fontId="12" fillId="0" borderId="0" xfId="88"/>
    <xf numFmtId="0" fontId="12" fillId="0" borderId="0" xfId="88" applyAlignment="1">
      <alignment horizontal="right"/>
    </xf>
    <xf numFmtId="0" fontId="12" fillId="0" borderId="1" xfId="69" applyFont="1" applyBorder="1" applyAlignment="1" applyProtection="1">
      <alignment horizontal="center"/>
      <protection locked="0"/>
    </xf>
    <xf numFmtId="0" fontId="12" fillId="0" borderId="0" xfId="84" applyFont="1"/>
    <xf numFmtId="176" fontId="12" fillId="0" borderId="4" xfId="84" applyNumberFormat="1" applyFont="1" applyBorder="1"/>
    <xf numFmtId="44" fontId="7" fillId="0" borderId="1" xfId="89" applyNumberFormat="1" applyFont="1" applyBorder="1" applyProtection="1">
      <protection locked="0"/>
    </xf>
    <xf numFmtId="43" fontId="7" fillId="0" borderId="4" xfId="89" applyNumberFormat="1" applyFont="1" applyBorder="1" applyProtection="1">
      <protection locked="0"/>
    </xf>
    <xf numFmtId="44" fontId="7" fillId="0" borderId="3" xfId="89" applyNumberFormat="1" applyFont="1" applyBorder="1"/>
    <xf numFmtId="0" fontId="132" fillId="0" borderId="0" xfId="0" applyFont="1"/>
    <xf numFmtId="0" fontId="7" fillId="0" borderId="0" xfId="93" applyFont="1" applyAlignment="1">
      <alignment horizontal="center" shrinkToFit="1"/>
    </xf>
    <xf numFmtId="164" fontId="7" fillId="0" borderId="0" xfId="0" applyNumberFormat="1" applyFont="1" applyAlignment="1" applyProtection="1">
      <alignment horizontal="center" shrinkToFit="1"/>
      <protection locked="0"/>
    </xf>
    <xf numFmtId="164" fontId="7" fillId="0" borderId="0" xfId="93" applyNumberFormat="1" applyFont="1" applyAlignment="1" applyProtection="1">
      <alignment horizontal="center" shrinkToFit="1"/>
      <protection locked="0"/>
    </xf>
    <xf numFmtId="164" fontId="80" fillId="0" borderId="0" xfId="115" applyNumberFormat="1" applyFont="1" applyAlignment="1">
      <alignment horizontal="center"/>
    </xf>
    <xf numFmtId="0" fontId="4" fillId="0" borderId="0" xfId="115" applyFont="1" applyAlignment="1">
      <alignment horizontal="right"/>
    </xf>
    <xf numFmtId="164" fontId="134" fillId="0" borderId="0" xfId="115" applyNumberFormat="1" applyFont="1" applyAlignment="1">
      <alignment horizontal="center"/>
    </xf>
    <xf numFmtId="164" fontId="24" fillId="0" borderId="0" xfId="115" applyNumberFormat="1" applyFont="1" applyAlignment="1">
      <alignment horizontal="left"/>
    </xf>
    <xf numFmtId="0" fontId="4" fillId="0" borderId="0" xfId="88" applyFont="1" applyProtection="1">
      <protection locked="0"/>
    </xf>
    <xf numFmtId="0" fontId="7" fillId="0" borderId="0" xfId="0" applyFont="1" applyProtection="1">
      <protection locked="0"/>
    </xf>
    <xf numFmtId="14" fontId="7" fillId="0" borderId="1" xfId="0" applyNumberFormat="1" applyFont="1" applyBorder="1" applyAlignment="1" applyProtection="1">
      <alignment horizontal="center"/>
      <protection locked="0"/>
    </xf>
    <xf numFmtId="0" fontId="71" fillId="0" borderId="0" xfId="0" applyFont="1" applyAlignment="1">
      <alignment horizontal="left"/>
    </xf>
    <xf numFmtId="0" fontId="7" fillId="0" borderId="0" xfId="0" applyFont="1" applyAlignment="1">
      <alignment vertical="top" wrapText="1"/>
    </xf>
    <xf numFmtId="0" fontId="7" fillId="0" borderId="0" xfId="0" applyFont="1" applyAlignment="1" applyProtection="1">
      <alignment horizontal="center"/>
      <protection locked="0"/>
    </xf>
    <xf numFmtId="0" fontId="3" fillId="0" borderId="0" xfId="81" applyFont="1"/>
    <xf numFmtId="0" fontId="4" fillId="0" borderId="0" xfId="0" applyFont="1" applyAlignment="1" applyProtection="1">
      <alignment horizontal="center"/>
      <protection locked="0"/>
    </xf>
    <xf numFmtId="176" fontId="7" fillId="0" borderId="0" xfId="0" applyNumberFormat="1" applyFont="1" applyProtection="1">
      <protection locked="0"/>
    </xf>
    <xf numFmtId="0" fontId="32" fillId="0" borderId="0" xfId="0" applyFont="1" applyAlignment="1">
      <alignment horizontal="left"/>
    </xf>
    <xf numFmtId="164" fontId="7" fillId="0" borderId="4" xfId="0" applyNumberFormat="1" applyFont="1" applyBorder="1" applyAlignment="1" applyProtection="1">
      <alignment horizontal="center" shrinkToFit="1"/>
      <protection locked="0"/>
    </xf>
    <xf numFmtId="0" fontId="3" fillId="0" borderId="0" xfId="115" applyFont="1"/>
    <xf numFmtId="0" fontId="4" fillId="0" borderId="0" xfId="0" applyFont="1" applyAlignment="1" applyProtection="1">
      <alignment horizontal="right"/>
      <protection locked="0"/>
    </xf>
    <xf numFmtId="0" fontId="60" fillId="0" borderId="0" xfId="115" applyFont="1" applyAlignment="1">
      <alignment horizontal="center" vertical="center"/>
    </xf>
    <xf numFmtId="168" fontId="136" fillId="0" borderId="0" xfId="82" applyFont="1" applyProtection="1"/>
    <xf numFmtId="168" fontId="36" fillId="0" borderId="0" xfId="82" applyFont="1" applyProtection="1"/>
    <xf numFmtId="176" fontId="136" fillId="0" borderId="0" xfId="82" applyNumberFormat="1" applyFont="1" applyProtection="1"/>
    <xf numFmtId="176" fontId="136" fillId="0" borderId="1" xfId="122" applyNumberFormat="1" applyFont="1" applyBorder="1">
      <protection locked="0"/>
    </xf>
    <xf numFmtId="176" fontId="136" fillId="0" borderId="1" xfId="122" applyNumberFormat="1" applyFont="1" applyBorder="1" applyProtection="1"/>
    <xf numFmtId="176" fontId="136" fillId="0" borderId="0" xfId="122" applyNumberFormat="1" applyFont="1" applyProtection="1"/>
    <xf numFmtId="0" fontId="36" fillId="0" borderId="0" xfId="82" applyNumberFormat="1" applyFont="1" applyProtection="1"/>
    <xf numFmtId="176" fontId="136" fillId="0" borderId="3" xfId="122" applyNumberFormat="1" applyFont="1" applyBorder="1" applyProtection="1"/>
    <xf numFmtId="169" fontId="36" fillId="0" borderId="0" xfId="82" applyNumberFormat="1" applyFont="1" applyProtection="1"/>
    <xf numFmtId="0" fontId="136" fillId="0" borderId="0" xfId="88" applyFont="1"/>
    <xf numFmtId="168" fontId="136" fillId="0" borderId="0" xfId="82" applyFont="1">
      <protection locked="0"/>
    </xf>
    <xf numFmtId="0" fontId="39" fillId="0" borderId="0" xfId="88" applyFont="1"/>
    <xf numFmtId="0" fontId="6" fillId="0" borderId="0" xfId="88" applyFont="1" applyProtection="1">
      <protection locked="0"/>
    </xf>
    <xf numFmtId="168" fontId="6" fillId="0" borderId="0" xfId="85" applyFont="1" applyProtection="1"/>
    <xf numFmtId="168" fontId="18" fillId="0" borderId="0" xfId="85" applyFont="1" applyAlignment="1" applyProtection="1">
      <alignment horizontal="centerContinuous"/>
    </xf>
    <xf numFmtId="168" fontId="6" fillId="0" borderId="0" xfId="85" applyFont="1" applyAlignment="1" applyProtection="1">
      <alignment horizontal="centerContinuous"/>
    </xf>
    <xf numFmtId="168" fontId="136" fillId="0" borderId="0" xfId="85" applyFont="1" applyProtection="1"/>
    <xf numFmtId="168" fontId="136" fillId="0" borderId="0" xfId="82" applyFont="1" applyAlignment="1" applyProtection="1">
      <alignment horizontal="center"/>
    </xf>
    <xf numFmtId="168" fontId="136" fillId="0" borderId="0" xfId="82" applyFont="1" applyAlignment="1" applyProtection="1">
      <alignment horizontal="center" shrinkToFit="1"/>
    </xf>
    <xf numFmtId="0" fontId="136" fillId="0" borderId="1" xfId="85" applyNumberFormat="1" applyFont="1" applyBorder="1" applyAlignment="1">
      <alignment horizontal="center"/>
      <protection locked="0"/>
    </xf>
    <xf numFmtId="0" fontId="136" fillId="0" borderId="0" xfId="85" applyNumberFormat="1" applyFont="1" applyAlignment="1">
      <alignment horizontal="center"/>
      <protection locked="0"/>
    </xf>
    <xf numFmtId="168" fontId="136" fillId="0" borderId="2" xfId="85" applyFont="1" applyBorder="1" applyProtection="1"/>
    <xf numFmtId="176" fontId="136" fillId="0" borderId="0" xfId="85" applyNumberFormat="1" applyFont="1" applyProtection="1"/>
    <xf numFmtId="168" fontId="136" fillId="0" borderId="0" xfId="85" applyFont="1" applyAlignment="1" applyProtection="1">
      <alignment horizontal="center"/>
    </xf>
    <xf numFmtId="176" fontId="136" fillId="0" borderId="4" xfId="122" applyNumberFormat="1" applyFont="1" applyBorder="1">
      <protection locked="0"/>
    </xf>
    <xf numFmtId="168" fontId="49" fillId="0" borderId="0" xfId="57" applyNumberFormat="1" applyAlignment="1" applyProtection="1"/>
    <xf numFmtId="0" fontId="188" fillId="0" borderId="0" xfId="0" applyFont="1"/>
    <xf numFmtId="0" fontId="189" fillId="0" borderId="0" xfId="0" applyFont="1"/>
    <xf numFmtId="168" fontId="44" fillId="0" borderId="0" xfId="85" applyFont="1" applyProtection="1"/>
    <xf numFmtId="0" fontId="137" fillId="0" borderId="0" xfId="88" applyFont="1" applyProtection="1">
      <protection hidden="1"/>
    </xf>
    <xf numFmtId="0" fontId="44" fillId="0" borderId="0" xfId="88" applyFont="1" applyProtection="1">
      <protection hidden="1"/>
    </xf>
    <xf numFmtId="0" fontId="29" fillId="0" borderId="0" xfId="90" applyFont="1" applyAlignment="1">
      <alignment horizontal="right"/>
    </xf>
    <xf numFmtId="0" fontId="17" fillId="0" borderId="0" xfId="99" applyFont="1" applyAlignment="1" applyProtection="1">
      <alignment horizontal="center"/>
      <protection locked="0"/>
    </xf>
    <xf numFmtId="0" fontId="11" fillId="0" borderId="0" xfId="115" applyFont="1" applyAlignment="1">
      <alignment horizontal="center"/>
    </xf>
    <xf numFmtId="168" fontId="12" fillId="0" borderId="0" xfId="85" applyFont="1" applyProtection="1"/>
    <xf numFmtId="0" fontId="8" fillId="0" borderId="0" xfId="115" applyAlignment="1" applyProtection="1">
      <alignment horizontal="center"/>
      <protection locked="0"/>
    </xf>
    <xf numFmtId="0" fontId="12" fillId="0" borderId="1" xfId="99" applyFont="1" applyBorder="1" applyAlignment="1" applyProtection="1">
      <alignment horizontal="center"/>
      <protection locked="0"/>
    </xf>
    <xf numFmtId="168" fontId="136" fillId="0" borderId="0" xfId="85" applyFont="1">
      <protection locked="0"/>
    </xf>
    <xf numFmtId="0" fontId="12" fillId="0" borderId="0" xfId="115" applyFont="1"/>
    <xf numFmtId="0" fontId="7" fillId="0" borderId="0" xfId="93" applyFont="1" applyAlignment="1">
      <alignment horizontal="center"/>
    </xf>
    <xf numFmtId="164" fontId="7" fillId="0" borderId="0" xfId="0" applyNumberFormat="1" applyFont="1" applyAlignment="1" applyProtection="1">
      <alignment horizontal="center"/>
      <protection locked="0"/>
    </xf>
    <xf numFmtId="164" fontId="7" fillId="0" borderId="0" xfId="93" applyNumberFormat="1" applyFont="1" applyAlignment="1" applyProtection="1">
      <alignment horizontal="center"/>
      <protection locked="0"/>
    </xf>
    <xf numFmtId="189" fontId="7" fillId="0" borderId="1" xfId="89" applyNumberFormat="1" applyFont="1" applyBorder="1" applyAlignment="1">
      <alignment horizontal="center"/>
    </xf>
    <xf numFmtId="0" fontId="12" fillId="0" borderId="0" xfId="89" applyAlignment="1">
      <alignment horizontal="center"/>
    </xf>
    <xf numFmtId="0" fontId="191" fillId="0" borderId="0" xfId="0" applyFont="1" applyAlignment="1">
      <alignment horizontal="left"/>
    </xf>
    <xf numFmtId="49" fontId="183" fillId="0" borderId="0" xfId="0" applyNumberFormat="1" applyFont="1" applyAlignment="1">
      <alignment horizontal="center"/>
    </xf>
    <xf numFmtId="0" fontId="192" fillId="0" borderId="0" xfId="0" applyFont="1"/>
    <xf numFmtId="0" fontId="183" fillId="0" borderId="0" xfId="0" applyFont="1" applyAlignment="1" applyProtection="1">
      <alignment horizontal="center"/>
      <protection locked="0"/>
    </xf>
    <xf numFmtId="49" fontId="44" fillId="0" borderId="4" xfId="89" applyNumberFormat="1" applyFont="1" applyBorder="1" applyAlignment="1" applyProtection="1">
      <alignment horizontal="center"/>
      <protection locked="0"/>
    </xf>
    <xf numFmtId="49" fontId="44" fillId="0" borderId="1" xfId="89" applyNumberFormat="1" applyFont="1" applyBorder="1" applyAlignment="1" applyProtection="1">
      <alignment horizontal="center"/>
      <protection locked="0"/>
    </xf>
    <xf numFmtId="49" fontId="193" fillId="0" borderId="1" xfId="0" applyNumberFormat="1" applyFont="1" applyBorder="1" applyAlignment="1" applyProtection="1">
      <alignment horizontal="center"/>
      <protection locked="0"/>
    </xf>
    <xf numFmtId="49" fontId="193" fillId="0" borderId="4" xfId="0" applyNumberFormat="1" applyFont="1" applyBorder="1" applyAlignment="1" applyProtection="1">
      <alignment horizontal="center"/>
      <protection locked="0"/>
    </xf>
    <xf numFmtId="49" fontId="32" fillId="0" borderId="1" xfId="84" applyNumberFormat="1" applyFont="1" applyBorder="1" applyAlignment="1" applyProtection="1">
      <alignment horizontal="center"/>
      <protection locked="0"/>
    </xf>
    <xf numFmtId="49" fontId="32" fillId="0" borderId="4" xfId="84" applyNumberFormat="1" applyFont="1" applyBorder="1" applyAlignment="1" applyProtection="1">
      <alignment horizontal="center"/>
      <protection locked="0"/>
    </xf>
    <xf numFmtId="0" fontId="44" fillId="0" borderId="0" xfId="89" applyFont="1" applyAlignment="1">
      <alignment horizontal="left"/>
    </xf>
    <xf numFmtId="49" fontId="7" fillId="0" borderId="0" xfId="84" applyNumberFormat="1" applyFont="1" applyProtection="1">
      <protection locked="0"/>
    </xf>
    <xf numFmtId="49" fontId="32" fillId="0" borderId="0" xfId="84" applyNumberFormat="1" applyFont="1" applyAlignment="1" applyProtection="1">
      <alignment horizontal="center"/>
      <protection locked="0"/>
    </xf>
    <xf numFmtId="49" fontId="12" fillId="0" borderId="0" xfId="89" applyNumberFormat="1"/>
    <xf numFmtId="49" fontId="44" fillId="0" borderId="0" xfId="89" applyNumberFormat="1" applyFont="1"/>
    <xf numFmtId="176" fontId="7" fillId="4" borderId="1" xfId="84" applyNumberFormat="1" applyFont="1" applyFill="1" applyBorder="1"/>
    <xf numFmtId="0" fontId="7" fillId="0" borderId="0" xfId="102" applyFont="1"/>
    <xf numFmtId="0" fontId="12" fillId="0" borderId="0" xfId="89" quotePrefix="1"/>
    <xf numFmtId="0" fontId="185" fillId="0" borderId="0" xfId="0" applyFont="1" applyAlignment="1">
      <alignment horizontal="center"/>
    </xf>
    <xf numFmtId="190" fontId="12" fillId="0" borderId="1" xfId="89" applyNumberFormat="1" applyBorder="1" applyAlignment="1" applyProtection="1">
      <alignment horizontal="right"/>
      <protection locked="0"/>
    </xf>
    <xf numFmtId="190" fontId="12" fillId="0" borderId="4" xfId="89" applyNumberFormat="1" applyBorder="1" applyAlignment="1" applyProtection="1">
      <alignment horizontal="right"/>
      <protection locked="0"/>
    </xf>
    <xf numFmtId="0" fontId="78" fillId="0" borderId="0" xfId="0" applyFont="1" applyProtection="1">
      <protection hidden="1"/>
    </xf>
    <xf numFmtId="49" fontId="12" fillId="0" borderId="4" xfId="89" applyNumberFormat="1" applyBorder="1" applyAlignment="1" applyProtection="1">
      <alignment horizontal="center"/>
      <protection locked="0"/>
    </xf>
    <xf numFmtId="0" fontId="32" fillId="0" borderId="1" xfId="89" applyFont="1" applyBorder="1" applyAlignment="1" applyProtection="1">
      <alignment horizontal="center"/>
      <protection locked="0"/>
    </xf>
    <xf numFmtId="0" fontId="32" fillId="0" borderId="4" xfId="89" applyFont="1" applyBorder="1" applyAlignment="1" applyProtection="1">
      <alignment horizontal="center"/>
      <protection locked="0"/>
    </xf>
    <xf numFmtId="0" fontId="191" fillId="0" borderId="0" xfId="0" applyFont="1" applyAlignment="1" applyProtection="1">
      <alignment horizontal="left"/>
      <protection locked="0"/>
    </xf>
    <xf numFmtId="0" fontId="7" fillId="0" borderId="0" xfId="89" applyFont="1" applyProtection="1">
      <protection locked="0"/>
    </xf>
    <xf numFmtId="0" fontId="194" fillId="0" borderId="0" xfId="0" applyFont="1"/>
    <xf numFmtId="1" fontId="5" fillId="0" borderId="0" xfId="0" applyNumberFormat="1" applyFont="1" applyAlignment="1">
      <alignment horizontal="center"/>
    </xf>
    <xf numFmtId="0" fontId="3" fillId="0" borderId="0" xfId="91" applyFont="1" applyAlignment="1">
      <alignment horizontal="center"/>
    </xf>
    <xf numFmtId="0" fontId="7" fillId="0" borderId="0" xfId="91" applyFont="1"/>
    <xf numFmtId="0" fontId="4" fillId="0" borderId="0" xfId="91" applyFont="1"/>
    <xf numFmtId="0" fontId="7" fillId="0" borderId="0" xfId="91" applyFont="1" applyAlignment="1">
      <alignment horizontal="center"/>
    </xf>
    <xf numFmtId="0" fontId="7" fillId="0" borderId="0" xfId="91" applyFont="1" applyAlignment="1">
      <alignment horizontal="right"/>
    </xf>
    <xf numFmtId="0" fontId="7" fillId="0" borderId="1" xfId="91" applyFont="1" applyBorder="1" applyAlignment="1">
      <alignment horizontal="center"/>
    </xf>
    <xf numFmtId="0" fontId="7" fillId="0" borderId="2" xfId="91" applyFont="1" applyBorder="1"/>
    <xf numFmtId="0" fontId="7" fillId="0" borderId="0" xfId="69" applyFont="1" applyAlignment="1">
      <alignment vertical="top" wrapText="1"/>
    </xf>
    <xf numFmtId="0" fontId="247" fillId="0" borderId="0" xfId="69" applyAlignment="1">
      <alignment vertical="top" wrapText="1"/>
    </xf>
    <xf numFmtId="0" fontId="69" fillId="0" borderId="5" xfId="91" applyFont="1" applyBorder="1" applyAlignment="1">
      <alignment horizontal="center"/>
    </xf>
    <xf numFmtId="0" fontId="69" fillId="0" borderId="9" xfId="91" applyFont="1" applyBorder="1" applyAlignment="1">
      <alignment horizontal="center"/>
    </xf>
    <xf numFmtId="0" fontId="7" fillId="0" borderId="7" xfId="91" applyFont="1" applyBorder="1" applyAlignment="1" applyProtection="1">
      <alignment horizontal="center"/>
      <protection locked="0"/>
    </xf>
    <xf numFmtId="0" fontId="7" fillId="0" borderId="6" xfId="91" applyFont="1" applyBorder="1" applyAlignment="1" applyProtection="1">
      <alignment horizontal="center"/>
      <protection locked="0"/>
    </xf>
    <xf numFmtId="0" fontId="7" fillId="0" borderId="13" xfId="91" applyFont="1" applyBorder="1" applyAlignment="1" applyProtection="1">
      <alignment horizontal="center"/>
      <protection locked="0"/>
    </xf>
    <xf numFmtId="0" fontId="4" fillId="0" borderId="0" xfId="69" applyFont="1"/>
    <xf numFmtId="176" fontId="7" fillId="0" borderId="12" xfId="91" applyNumberFormat="1" applyFont="1" applyBorder="1" applyProtection="1">
      <protection locked="0"/>
    </xf>
    <xf numFmtId="176" fontId="7" fillId="0" borderId="15" xfId="91" applyNumberFormat="1" applyFont="1" applyBorder="1" applyProtection="1">
      <protection locked="0"/>
    </xf>
    <xf numFmtId="0" fontId="32" fillId="0" borderId="0" xfId="91" applyFont="1"/>
    <xf numFmtId="176" fontId="7" fillId="5" borderId="23" xfId="69" applyNumberFormat="1" applyFont="1" applyFill="1" applyBorder="1"/>
    <xf numFmtId="176" fontId="7" fillId="5" borderId="15" xfId="69" applyNumberFormat="1" applyFont="1" applyFill="1" applyBorder="1"/>
    <xf numFmtId="0" fontId="7" fillId="0" borderId="0" xfId="69" applyFont="1" applyProtection="1">
      <protection locked="0"/>
    </xf>
    <xf numFmtId="176" fontId="7" fillId="0" borderId="24" xfId="69" applyNumberFormat="1" applyFont="1" applyBorder="1"/>
    <xf numFmtId="0" fontId="67" fillId="0" borderId="0" xfId="91" applyFont="1" applyAlignment="1">
      <alignment horizontal="centerContinuous"/>
    </xf>
    <xf numFmtId="0" fontId="7" fillId="0" borderId="0" xfId="69" applyFont="1" applyAlignment="1">
      <alignment horizontal="left" indent="1"/>
    </xf>
    <xf numFmtId="170" fontId="7" fillId="6" borderId="25" xfId="91" applyNumberFormat="1" applyFont="1" applyFill="1" applyBorder="1"/>
    <xf numFmtId="170" fontId="7" fillId="6" borderId="26" xfId="91" applyNumberFormat="1" applyFont="1" applyFill="1" applyBorder="1"/>
    <xf numFmtId="0" fontId="99" fillId="0" borderId="0" xfId="69" applyFont="1" applyAlignment="1" applyProtection="1">
      <alignment horizontal="center"/>
      <protection hidden="1"/>
    </xf>
    <xf numFmtId="0" fontId="69" fillId="0" borderId="0" xfId="91" applyFont="1" applyAlignment="1">
      <alignment horizontal="center"/>
    </xf>
    <xf numFmtId="0" fontId="7" fillId="0" borderId="0" xfId="91" applyFont="1" applyAlignment="1" applyProtection="1">
      <alignment horizontal="center"/>
      <protection locked="0"/>
    </xf>
    <xf numFmtId="176" fontId="7" fillId="0" borderId="0" xfId="91" applyNumberFormat="1" applyFont="1" applyProtection="1">
      <protection locked="0"/>
    </xf>
    <xf numFmtId="176" fontId="7" fillId="0" borderId="0" xfId="69" applyNumberFormat="1" applyFont="1"/>
    <xf numFmtId="0" fontId="187" fillId="0" borderId="0" xfId="69" applyFont="1"/>
    <xf numFmtId="0" fontId="247" fillId="0" borderId="0" xfId="69" applyAlignment="1">
      <alignment vertical="top"/>
    </xf>
    <xf numFmtId="0" fontId="4" fillId="0" borderId="0" xfId="69" applyFont="1" applyAlignment="1">
      <alignment horizontal="center"/>
    </xf>
    <xf numFmtId="170" fontId="109" fillId="6" borderId="0" xfId="91" applyNumberFormat="1" applyFont="1" applyFill="1"/>
    <xf numFmtId="170" fontId="7"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0" fontId="0" fillId="6" borderId="0" xfId="0" applyFill="1"/>
    <xf numFmtId="0" fontId="7" fillId="6" borderId="0" xfId="0" applyFont="1" applyFill="1"/>
    <xf numFmtId="168" fontId="44" fillId="0" borderId="0" xfId="85" applyFont="1">
      <protection locked="0"/>
    </xf>
    <xf numFmtId="0" fontId="138" fillId="0" borderId="0" xfId="82" applyNumberFormat="1" applyFont="1" applyProtection="1"/>
    <xf numFmtId="180" fontId="195" fillId="8" borderId="0" xfId="0" applyNumberFormat="1" applyFont="1" applyFill="1"/>
    <xf numFmtId="0" fontId="69" fillId="0" borderId="0" xfId="74" applyFont="1"/>
    <xf numFmtId="0" fontId="69" fillId="7" borderId="0" xfId="74" applyFont="1" applyFill="1" applyAlignment="1">
      <alignment wrapText="1"/>
    </xf>
    <xf numFmtId="0" fontId="69" fillId="0" borderId="0" xfId="74" applyFont="1" applyAlignment="1">
      <alignment wrapText="1"/>
    </xf>
    <xf numFmtId="0" fontId="7" fillId="0" borderId="0" xfId="74"/>
    <xf numFmtId="49" fontId="10" fillId="0" borderId="0" xfId="74" applyNumberFormat="1" applyFont="1" applyAlignment="1" applyProtection="1">
      <alignment horizontal="center"/>
      <protection hidden="1"/>
    </xf>
    <xf numFmtId="0" fontId="78" fillId="0" borderId="0" xfId="74" applyFont="1" applyProtection="1">
      <protection hidden="1"/>
    </xf>
    <xf numFmtId="39" fontId="10" fillId="0" borderId="0" xfId="74" applyNumberFormat="1" applyFont="1" applyProtection="1">
      <protection hidden="1"/>
    </xf>
    <xf numFmtId="0" fontId="10" fillId="0" borderId="0" xfId="74" applyFont="1" applyProtection="1">
      <protection hidden="1"/>
    </xf>
    <xf numFmtId="0" fontId="10" fillId="0" borderId="0" xfId="74" applyFont="1" applyAlignment="1" applyProtection="1">
      <alignment horizontal="left"/>
      <protection hidden="1"/>
    </xf>
    <xf numFmtId="39" fontId="7" fillId="0" borderId="0" xfId="74" applyNumberFormat="1"/>
    <xf numFmtId="49" fontId="195" fillId="8" borderId="0" xfId="0" applyNumberFormat="1" applyFont="1" applyFill="1"/>
    <xf numFmtId="180" fontId="195" fillId="8" borderId="1" xfId="0" applyNumberFormat="1" applyFont="1" applyFill="1" applyBorder="1"/>
    <xf numFmtId="39" fontId="10" fillId="0" borderId="0" xfId="74" applyNumberFormat="1" applyFont="1"/>
    <xf numFmtId="49" fontId="10" fillId="9" borderId="0" xfId="74" applyNumberFormat="1" applyFont="1" applyFill="1" applyAlignment="1" applyProtection="1">
      <alignment horizontal="center"/>
      <protection hidden="1"/>
    </xf>
    <xf numFmtId="49" fontId="10" fillId="10" borderId="0" xfId="74" applyNumberFormat="1" applyFont="1" applyFill="1" applyAlignment="1" applyProtection="1">
      <alignment horizontal="center"/>
      <protection hidden="1"/>
    </xf>
    <xf numFmtId="49" fontId="108" fillId="10" borderId="0" xfId="74" applyNumberFormat="1" applyFont="1" applyFill="1" applyAlignment="1" applyProtection="1">
      <alignment horizontal="center"/>
      <protection hidden="1"/>
    </xf>
    <xf numFmtId="0" fontId="140" fillId="0" borderId="0" xfId="0" applyFont="1" applyProtection="1">
      <protection hidden="1"/>
    </xf>
    <xf numFmtId="0" fontId="9" fillId="0" borderId="0" xfId="0" applyFont="1" applyAlignment="1" applyProtection="1">
      <alignment horizontal="center"/>
      <protection hidden="1"/>
    </xf>
    <xf numFmtId="0" fontId="9" fillId="7" borderId="0" xfId="0" applyFont="1" applyFill="1" applyAlignment="1" applyProtection="1">
      <alignment horizontal="center"/>
      <protection hidden="1"/>
    </xf>
    <xf numFmtId="0" fontId="53" fillId="7" borderId="0" xfId="0" applyFont="1" applyFill="1" applyAlignment="1" applyProtection="1">
      <alignment horizontal="center" wrapText="1"/>
      <protection hidden="1"/>
    </xf>
    <xf numFmtId="0" fontId="53" fillId="7" borderId="0" xfId="0" applyFont="1" applyFill="1" applyAlignment="1" applyProtection="1">
      <alignment horizontal="center"/>
      <protection hidden="1"/>
    </xf>
    <xf numFmtId="0" fontId="53" fillId="0" borderId="0" xfId="0" applyFont="1" applyAlignment="1" applyProtection="1">
      <alignment horizontal="center" wrapText="1"/>
      <protection hidden="1"/>
    </xf>
    <xf numFmtId="0" fontId="9" fillId="0" borderId="0" xfId="0" applyFont="1" applyProtection="1">
      <protection hidden="1"/>
    </xf>
    <xf numFmtId="0" fontId="53" fillId="0" borderId="0" xfId="0" applyFont="1" applyAlignment="1" applyProtection="1">
      <alignment wrapText="1"/>
      <protection hidden="1"/>
    </xf>
    <xf numFmtId="0" fontId="2" fillId="0" borderId="0" xfId="74" applyFont="1"/>
    <xf numFmtId="49" fontId="10" fillId="10" borderId="0" xfId="74" quotePrefix="1" applyNumberFormat="1" applyFont="1" applyFill="1" applyAlignment="1">
      <alignment horizontal="center"/>
    </xf>
    <xf numFmtId="49" fontId="10" fillId="10" borderId="0" xfId="74" quotePrefix="1" applyNumberFormat="1" applyFont="1" applyFill="1" applyAlignment="1" applyProtection="1">
      <alignment horizontal="center"/>
      <protection hidden="1"/>
    </xf>
    <xf numFmtId="180" fontId="2" fillId="0" borderId="8" xfId="0" applyNumberFormat="1" applyFont="1" applyBorder="1"/>
    <xf numFmtId="180" fontId="2" fillId="8" borderId="0" xfId="0" applyNumberFormat="1" applyFont="1" applyFill="1"/>
    <xf numFmtId="49" fontId="2" fillId="8" borderId="0" xfId="0" applyNumberFormat="1" applyFont="1" applyFill="1"/>
    <xf numFmtId="180" fontId="4" fillId="0" borderId="2" xfId="95" applyNumberFormat="1" applyFont="1" applyBorder="1" applyAlignment="1">
      <alignment horizontal="center"/>
    </xf>
    <xf numFmtId="0" fontId="4" fillId="0" borderId="2" xfId="95" applyFont="1" applyBorder="1" applyAlignment="1">
      <alignment horizontal="center"/>
    </xf>
    <xf numFmtId="49" fontId="195" fillId="8" borderId="4" xfId="0" applyNumberFormat="1" applyFont="1" applyFill="1" applyBorder="1"/>
    <xf numFmtId="0" fontId="196" fillId="0" borderId="0" xfId="0" applyFont="1"/>
    <xf numFmtId="180" fontId="181" fillId="0" borderId="0" xfId="0" applyNumberFormat="1" applyFont="1"/>
    <xf numFmtId="180" fontId="0" fillId="11" borderId="0" xfId="0" applyNumberFormat="1" applyFill="1"/>
    <xf numFmtId="0" fontId="4" fillId="0" borderId="2" xfId="95" quotePrefix="1" applyFont="1" applyBorder="1" applyAlignment="1">
      <alignment horizontal="center"/>
    </xf>
    <xf numFmtId="0" fontId="3" fillId="0" borderId="0" xfId="0" applyFont="1" applyAlignment="1">
      <alignment wrapText="1"/>
    </xf>
    <xf numFmtId="0" fontId="81" fillId="8" borderId="0" xfId="57" applyFont="1" applyFill="1" applyAlignment="1" applyProtection="1">
      <alignment horizontal="center"/>
    </xf>
    <xf numFmtId="180" fontId="12" fillId="0" borderId="0" xfId="114" applyNumberFormat="1" applyAlignment="1">
      <alignment horizontal="right"/>
    </xf>
    <xf numFmtId="180" fontId="116" fillId="0" borderId="0" xfId="0" applyNumberFormat="1" applyFont="1" applyAlignment="1">
      <alignment horizontal="left"/>
    </xf>
    <xf numFmtId="0" fontId="121" fillId="0" borderId="0" xfId="0" applyFont="1"/>
    <xf numFmtId="180" fontId="0" fillId="8" borderId="0" xfId="0" applyNumberFormat="1" applyFill="1" applyProtection="1">
      <protection locked="0"/>
    </xf>
    <xf numFmtId="0" fontId="84" fillId="8" borderId="0" xfId="110" applyFont="1" applyFill="1" applyAlignment="1">
      <alignment horizontal="left"/>
    </xf>
    <xf numFmtId="0" fontId="7" fillId="8" borderId="0" xfId="110" applyFont="1" applyFill="1"/>
    <xf numFmtId="0" fontId="84" fillId="8" borderId="0" xfId="110" applyFont="1" applyFill="1" applyAlignment="1">
      <alignment horizontal="center"/>
    </xf>
    <xf numFmtId="0" fontId="141" fillId="8" borderId="0" xfId="110" applyFont="1" applyFill="1"/>
    <xf numFmtId="0" fontId="69" fillId="8" borderId="0" xfId="110" applyFont="1" applyFill="1"/>
    <xf numFmtId="0" fontId="4" fillId="8" borderId="0" xfId="110" applyFont="1" applyFill="1" applyAlignment="1">
      <alignment horizontal="center"/>
    </xf>
    <xf numFmtId="0" fontId="142" fillId="8" borderId="0" xfId="110" applyFont="1" applyFill="1" applyAlignment="1">
      <alignment horizontal="left"/>
    </xf>
    <xf numFmtId="15" fontId="12" fillId="0" borderId="1" xfId="0" applyNumberFormat="1" applyFont="1" applyBorder="1" applyAlignment="1">
      <alignment horizontal="center"/>
    </xf>
    <xf numFmtId="0" fontId="4" fillId="0" borderId="0" xfId="115" applyFont="1"/>
    <xf numFmtId="0" fontId="2" fillId="0" borderId="0" xfId="115" applyFont="1"/>
    <xf numFmtId="0" fontId="4" fillId="0" borderId="0" xfId="115" applyFont="1" applyAlignment="1">
      <alignment horizontal="center"/>
    </xf>
    <xf numFmtId="0" fontId="4" fillId="0" borderId="0" xfId="115" applyFont="1" applyAlignment="1">
      <alignment horizontal="left"/>
    </xf>
    <xf numFmtId="168" fontId="4" fillId="0" borderId="0" xfId="82" applyFont="1" applyAlignment="1" applyProtection="1">
      <alignment horizontal="left"/>
    </xf>
    <xf numFmtId="0" fontId="143" fillId="0" borderId="0" xfId="0" applyFont="1"/>
    <xf numFmtId="0" fontId="2" fillId="6" borderId="0" xfId="0" applyFont="1" applyFill="1"/>
    <xf numFmtId="0" fontId="2" fillId="0" borderId="0" xfId="0" applyFont="1" applyAlignment="1">
      <alignment horizontal="left"/>
    </xf>
    <xf numFmtId="0" fontId="2" fillId="0" borderId="4" xfId="107" applyFont="1" applyBorder="1"/>
    <xf numFmtId="176" fontId="12" fillId="0" borderId="2" xfId="0" applyNumberFormat="1" applyFont="1" applyBorder="1"/>
    <xf numFmtId="0" fontId="4" fillId="0" borderId="0" xfId="0" quotePrefix="1" applyFont="1" applyAlignment="1">
      <alignment horizontal="center"/>
    </xf>
    <xf numFmtId="0" fontId="144" fillId="0" borderId="0" xfId="0" quotePrefix="1" applyFont="1"/>
    <xf numFmtId="0" fontId="197" fillId="0" borderId="0" xfId="0" applyFont="1"/>
    <xf numFmtId="0" fontId="198" fillId="0" borderId="0" xfId="0" applyFont="1" applyProtection="1">
      <protection locked="0"/>
    </xf>
    <xf numFmtId="0" fontId="198" fillId="0" borderId="0" xfId="0" applyFont="1"/>
    <xf numFmtId="0" fontId="199" fillId="0" borderId="0" xfId="0" applyFont="1"/>
    <xf numFmtId="0" fontId="197" fillId="0" borderId="0" xfId="0" applyFont="1" applyProtection="1">
      <protection hidden="1"/>
    </xf>
    <xf numFmtId="0" fontId="200" fillId="0" borderId="0" xfId="0" applyFont="1"/>
    <xf numFmtId="0" fontId="201" fillId="0" borderId="0" xfId="0" applyFont="1"/>
    <xf numFmtId="0" fontId="198" fillId="0" borderId="0" xfId="0" applyFont="1" applyAlignment="1">
      <alignment horizontal="center"/>
    </xf>
    <xf numFmtId="0" fontId="202" fillId="0" borderId="0" xfId="0" applyFont="1" applyAlignment="1">
      <alignment horizontal="center"/>
    </xf>
    <xf numFmtId="0" fontId="202" fillId="0" borderId="0" xfId="0" applyFont="1" applyAlignment="1" applyProtection="1">
      <alignment horizontal="center"/>
      <protection hidden="1"/>
    </xf>
    <xf numFmtId="0" fontId="201" fillId="0" borderId="0" xfId="0" applyFont="1" applyProtection="1">
      <protection hidden="1"/>
    </xf>
    <xf numFmtId="0" fontId="198" fillId="0" borderId="0" xfId="0" applyFont="1" applyProtection="1">
      <protection hidden="1"/>
    </xf>
    <xf numFmtId="0" fontId="198" fillId="0" borderId="4" xfId="0" applyFont="1" applyBorder="1"/>
    <xf numFmtId="175" fontId="202" fillId="0" borderId="0" xfId="0" applyNumberFormat="1" applyFont="1" applyAlignment="1" applyProtection="1">
      <alignment horizontal="center"/>
      <protection hidden="1"/>
    </xf>
    <xf numFmtId="0" fontId="203" fillId="0" borderId="0" xfId="0" applyFont="1" applyProtection="1">
      <protection hidden="1"/>
    </xf>
    <xf numFmtId="175" fontId="198" fillId="0" borderId="0" xfId="0" applyNumberFormat="1" applyFont="1"/>
    <xf numFmtId="0" fontId="204" fillId="0" borderId="0" xfId="0" applyFont="1"/>
    <xf numFmtId="0" fontId="198" fillId="0" borderId="0" xfId="119" applyFont="1" applyProtection="1">
      <protection locked="0"/>
    </xf>
    <xf numFmtId="0" fontId="205" fillId="0" borderId="23" xfId="0" applyFont="1" applyBorder="1" applyAlignment="1">
      <alignment horizontal="center" wrapText="1"/>
    </xf>
    <xf numFmtId="0" fontId="202" fillId="0" borderId="15" xfId="57" applyFont="1" applyBorder="1" applyAlignment="1" applyProtection="1">
      <alignment horizontal="center"/>
    </xf>
    <xf numFmtId="0" fontId="198" fillId="3" borderId="15" xfId="119" applyFont="1" applyFill="1" applyBorder="1" applyAlignment="1">
      <alignment horizontal="center" vertical="center" wrapText="1"/>
    </xf>
    <xf numFmtId="0" fontId="201" fillId="0" borderId="23" xfId="119" applyFont="1" applyBorder="1" applyAlignment="1">
      <alignment horizontal="center"/>
    </xf>
    <xf numFmtId="0" fontId="198" fillId="0" borderId="15" xfId="119" applyFont="1" applyBorder="1" applyAlignment="1" applyProtection="1">
      <alignment horizontal="center"/>
      <protection locked="0"/>
    </xf>
    <xf numFmtId="0" fontId="202" fillId="0" borderId="15" xfId="57" applyFont="1" applyBorder="1" applyAlignment="1" applyProtection="1">
      <alignment horizontal="center" wrapText="1"/>
    </xf>
    <xf numFmtId="0" fontId="202" fillId="0" borderId="15" xfId="57" applyFont="1" applyBorder="1" applyAlignment="1" applyProtection="1">
      <alignment horizontal="center" shrinkToFit="1"/>
    </xf>
    <xf numFmtId="0" fontId="202" fillId="0" borderId="15" xfId="57" applyFont="1" applyBorder="1" applyAlignment="1" applyProtection="1"/>
    <xf numFmtId="182" fontId="198" fillId="0" borderId="0" xfId="0" applyNumberFormat="1" applyFont="1"/>
    <xf numFmtId="49" fontId="198" fillId="0" borderId="0" xfId="0" applyNumberFormat="1" applyFont="1"/>
    <xf numFmtId="49" fontId="198" fillId="0" borderId="0" xfId="0" applyNumberFormat="1" applyFont="1" applyProtection="1">
      <protection locked="0"/>
    </xf>
    <xf numFmtId="0" fontId="15" fillId="8" borderId="0" xfId="0" applyFont="1" applyFill="1"/>
    <xf numFmtId="0" fontId="15" fillId="0" borderId="0" xfId="98" applyFont="1" applyAlignment="1">
      <alignment horizontal="center"/>
    </xf>
    <xf numFmtId="0" fontId="14" fillId="0" borderId="0" xfId="98" applyFont="1" applyAlignment="1">
      <alignment horizontal="center"/>
    </xf>
    <xf numFmtId="0" fontId="14" fillId="0" borderId="0" xfId="98" applyFont="1"/>
    <xf numFmtId="0" fontId="15" fillId="0" borderId="0" xfId="101" applyFont="1" applyAlignment="1">
      <alignment horizontal="right"/>
    </xf>
    <xf numFmtId="40" fontId="15" fillId="0" borderId="0" xfId="39" applyFont="1"/>
    <xf numFmtId="1" fontId="72" fillId="0" borderId="0" xfId="101" applyNumberFormat="1" applyFont="1" applyAlignment="1">
      <alignment horizontal="right"/>
    </xf>
    <xf numFmtId="0" fontId="21" fillId="0" borderId="0" xfId="101" applyFont="1" applyAlignment="1">
      <alignment horizontal="right"/>
    </xf>
    <xf numFmtId="39" fontId="28" fillId="0" borderId="0" xfId="101" applyNumberFormat="1" applyFont="1"/>
    <xf numFmtId="0" fontId="31" fillId="0" borderId="0" xfId="101" applyFont="1" applyAlignment="1">
      <alignment horizontal="center"/>
    </xf>
    <xf numFmtId="0" fontId="31" fillId="0" borderId="1" xfId="101" applyFont="1" applyBorder="1" applyAlignment="1">
      <alignment horizontal="center"/>
    </xf>
    <xf numFmtId="0" fontId="12" fillId="0" borderId="0" xfId="98" applyAlignment="1">
      <alignment horizontal="center"/>
    </xf>
    <xf numFmtId="0" fontId="12" fillId="0" borderId="1" xfId="98" applyBorder="1" applyAlignment="1">
      <alignment horizontal="center"/>
    </xf>
    <xf numFmtId="0" fontId="24" fillId="0" borderId="0" xfId="98" applyFont="1"/>
    <xf numFmtId="39" fontId="12" fillId="0" borderId="0" xfId="98" applyNumberFormat="1"/>
    <xf numFmtId="0" fontId="15" fillId="0" borderId="8" xfId="0" applyFont="1" applyBorder="1" applyAlignment="1">
      <alignment horizontal="center"/>
    </xf>
    <xf numFmtId="176" fontId="15" fillId="0" borderId="1" xfId="38" applyNumberFormat="1" applyFont="1" applyBorder="1"/>
    <xf numFmtId="176" fontId="15" fillId="0" borderId="14" xfId="38" applyNumberFormat="1" applyFont="1" applyBorder="1"/>
    <xf numFmtId="0" fontId="2" fillId="0" borderId="1" xfId="0" applyFont="1" applyBorder="1" applyAlignment="1">
      <alignment horizontal="center"/>
    </xf>
    <xf numFmtId="0" fontId="206" fillId="0" borderId="0" xfId="0" applyFont="1" applyAlignment="1">
      <alignment horizontal="center"/>
    </xf>
    <xf numFmtId="0" fontId="12" fillId="0" borderId="0" xfId="0" applyFont="1" applyAlignment="1">
      <alignment wrapText="1"/>
    </xf>
    <xf numFmtId="0" fontId="11" fillId="0" borderId="1" xfId="0" applyFont="1" applyBorder="1" applyAlignment="1">
      <alignment horizontal="center" wrapText="1"/>
    </xf>
    <xf numFmtId="0" fontId="11" fillId="0" borderId="0" xfId="0" applyFont="1" applyAlignment="1">
      <alignment horizontal="center" wrapText="1"/>
    </xf>
    <xf numFmtId="0" fontId="207" fillId="0" borderId="0" xfId="0" applyFont="1"/>
    <xf numFmtId="39" fontId="15" fillId="0" borderId="1" xfId="38" applyNumberFormat="1" applyFont="1" applyBorder="1" applyProtection="1">
      <protection locked="0"/>
    </xf>
    <xf numFmtId="39" fontId="15" fillId="0" borderId="0" xfId="38" applyNumberFormat="1" applyFont="1" applyProtection="1">
      <protection locked="0"/>
    </xf>
    <xf numFmtId="39" fontId="15" fillId="0" borderId="0" xfId="0" applyNumberFormat="1" applyFont="1"/>
    <xf numFmtId="39" fontId="15" fillId="0" borderId="3" xfId="0" applyNumberFormat="1" applyFont="1" applyBorder="1"/>
    <xf numFmtId="0" fontId="208" fillId="0" borderId="0" xfId="0" applyFont="1"/>
    <xf numFmtId="0" fontId="84" fillId="0" borderId="0" xfId="0" applyFont="1" applyAlignment="1">
      <alignment horizontal="center"/>
    </xf>
    <xf numFmtId="0" fontId="209" fillId="12" borderId="0" xfId="0" applyFont="1" applyFill="1" applyAlignment="1">
      <alignment horizontal="center"/>
    </xf>
    <xf numFmtId="0" fontId="210" fillId="0" borderId="0" xfId="0" applyFont="1"/>
    <xf numFmtId="0" fontId="49" fillId="0" borderId="0" xfId="57" applyAlignment="1" applyProtection="1"/>
    <xf numFmtId="0" fontId="10" fillId="0" borderId="0" xfId="0" applyFont="1" applyAlignment="1" applyProtection="1">
      <alignment horizontal="left"/>
      <protection hidden="1"/>
    </xf>
    <xf numFmtId="0" fontId="108" fillId="0" borderId="0" xfId="0" applyFont="1" applyProtection="1">
      <protection hidden="1"/>
    </xf>
    <xf numFmtId="0" fontId="211" fillId="0" borderId="0" xfId="119" applyFont="1" applyProtection="1">
      <protection locked="0"/>
    </xf>
    <xf numFmtId="0" fontId="8" fillId="0" borderId="1" xfId="116" applyFont="1" applyBorder="1" applyAlignment="1" applyProtection="1">
      <alignment horizontal="center"/>
      <protection locked="0"/>
    </xf>
    <xf numFmtId="0" fontId="8" fillId="0" borderId="1" xfId="116" quotePrefix="1" applyFont="1" applyBorder="1" applyAlignment="1" applyProtection="1">
      <alignment horizontal="center"/>
      <protection locked="0"/>
    </xf>
    <xf numFmtId="0" fontId="124" fillId="0" borderId="0" xfId="116" applyFont="1" applyAlignment="1">
      <alignment vertical="center"/>
    </xf>
    <xf numFmtId="0" fontId="123" fillId="0" borderId="0" xfId="116" applyAlignment="1">
      <alignment horizontal="center"/>
    </xf>
    <xf numFmtId="0" fontId="212" fillId="0" borderId="0" xfId="0" applyFont="1" applyAlignment="1">
      <alignment horizontal="left" indent="1"/>
    </xf>
    <xf numFmtId="0" fontId="212" fillId="0" borderId="0" xfId="0" applyFont="1"/>
    <xf numFmtId="0" fontId="205" fillId="0" borderId="0" xfId="0" applyFont="1" applyAlignment="1">
      <alignment horizontal="center"/>
    </xf>
    <xf numFmtId="0" fontId="198" fillId="0" borderId="23" xfId="119" applyFont="1" applyBorder="1" applyAlignment="1" applyProtection="1">
      <alignment horizontal="center"/>
      <protection locked="0"/>
    </xf>
    <xf numFmtId="49" fontId="213" fillId="0" borderId="0" xfId="0" applyNumberFormat="1" applyFont="1"/>
    <xf numFmtId="0" fontId="214" fillId="0" borderId="0" xfId="0" applyFont="1" applyAlignment="1">
      <alignment horizontal="center"/>
    </xf>
    <xf numFmtId="0" fontId="146" fillId="0" borderId="0" xfId="0" applyFont="1" applyAlignment="1">
      <alignment horizontal="center"/>
    </xf>
    <xf numFmtId="49" fontId="146" fillId="0" borderId="0" xfId="0" applyNumberFormat="1" applyFont="1"/>
    <xf numFmtId="0" fontId="146" fillId="0" borderId="0" xfId="0" applyFont="1"/>
    <xf numFmtId="0" fontId="145" fillId="0" borderId="0" xfId="0" applyFont="1"/>
    <xf numFmtId="0" fontId="148" fillId="0" borderId="0" xfId="0" applyFont="1"/>
    <xf numFmtId="0" fontId="213" fillId="0" borderId="0" xfId="0" applyFont="1"/>
    <xf numFmtId="0" fontId="146" fillId="0" borderId="0" xfId="119" applyFont="1"/>
    <xf numFmtId="0" fontId="215" fillId="0" borderId="0" xfId="0" applyFont="1"/>
    <xf numFmtId="0" fontId="213" fillId="0" borderId="23" xfId="0" applyFont="1" applyBorder="1"/>
    <xf numFmtId="0" fontId="216" fillId="0" borderId="15" xfId="0" applyFont="1" applyBorder="1" applyAlignment="1">
      <alignment horizontal="center"/>
    </xf>
    <xf numFmtId="0" fontId="216" fillId="0" borderId="23" xfId="0" applyFont="1" applyBorder="1" applyAlignment="1">
      <alignment horizontal="center" wrapText="1"/>
    </xf>
    <xf numFmtId="0" fontId="217" fillId="0" borderId="15" xfId="57" applyFont="1" applyBorder="1" applyAlignment="1" applyProtection="1">
      <alignment horizontal="center"/>
    </xf>
    <xf numFmtId="0" fontId="213" fillId="3" borderId="15" xfId="119" applyFont="1" applyFill="1" applyBorder="1" applyAlignment="1">
      <alignment horizontal="center" vertical="center" wrapText="1"/>
    </xf>
    <xf numFmtId="0" fontId="213" fillId="0" borderId="15" xfId="119" applyFont="1" applyBorder="1" applyAlignment="1" applyProtection="1">
      <alignment horizontal="center"/>
      <protection locked="0"/>
    </xf>
    <xf numFmtId="0" fontId="8" fillId="0" borderId="0" xfId="115" applyProtection="1">
      <protection locked="0"/>
    </xf>
    <xf numFmtId="0" fontId="11" fillId="0" borderId="0" xfId="115" applyFont="1"/>
    <xf numFmtId="176" fontId="7" fillId="0" borderId="8" xfId="84" applyNumberFormat="1" applyFont="1" applyBorder="1" applyProtection="1">
      <protection locked="0"/>
    </xf>
    <xf numFmtId="0" fontId="2" fillId="0" borderId="0" xfId="84" applyFont="1"/>
    <xf numFmtId="49" fontId="44" fillId="0" borderId="0" xfId="89" quotePrefix="1" applyNumberFormat="1" applyFont="1" applyAlignment="1">
      <alignment horizontal="right"/>
    </xf>
    <xf numFmtId="176" fontId="2" fillId="0" borderId="1" xfId="39" applyNumberFormat="1" applyFont="1" applyBorder="1" applyProtection="1">
      <protection locked="0"/>
    </xf>
    <xf numFmtId="170" fontId="7" fillId="0" borderId="0" xfId="29" applyNumberFormat="1" applyFont="1" applyProtection="1">
      <protection locked="0"/>
    </xf>
    <xf numFmtId="0" fontId="2" fillId="0" borderId="0" xfId="86" applyFont="1"/>
    <xf numFmtId="170" fontId="7" fillId="0" borderId="2" xfId="29" applyNumberFormat="1" applyFont="1" applyBorder="1" applyProtection="1">
      <protection locked="0"/>
    </xf>
    <xf numFmtId="170" fontId="7" fillId="0" borderId="4" xfId="29" applyNumberFormat="1" applyFont="1" applyBorder="1" applyProtection="1">
      <protection locked="0"/>
    </xf>
    <xf numFmtId="0" fontId="2" fillId="6" borderId="0" xfId="0" applyFont="1" applyFill="1" applyAlignment="1">
      <alignment horizontal="center"/>
    </xf>
    <xf numFmtId="0" fontId="114" fillId="0" borderId="0" xfId="0" applyFont="1"/>
    <xf numFmtId="0" fontId="2" fillId="0" borderId="0" xfId="0" applyFont="1" applyProtection="1">
      <protection locked="0"/>
    </xf>
    <xf numFmtId="0" fontId="4" fillId="0" borderId="0" xfId="0" applyFont="1" applyAlignment="1">
      <alignment horizontal="left" indent="4"/>
    </xf>
    <xf numFmtId="0" fontId="29" fillId="0" borderId="0" xfId="86" applyFont="1" applyAlignment="1">
      <alignment horizontal="left" indent="1"/>
    </xf>
    <xf numFmtId="0" fontId="2" fillId="0" borderId="0" xfId="0" applyFont="1" applyAlignment="1">
      <alignment vertical="center"/>
    </xf>
    <xf numFmtId="0" fontId="2" fillId="0" borderId="7" xfId="91" applyFont="1" applyBorder="1" applyAlignment="1" applyProtection="1">
      <alignment horizontal="center"/>
      <protection locked="0"/>
    </xf>
    <xf numFmtId="176" fontId="7" fillId="0" borderId="0" xfId="69" applyNumberFormat="1" applyFont="1" applyProtection="1">
      <protection locked="0"/>
    </xf>
    <xf numFmtId="176" fontId="7" fillId="0" borderId="7" xfId="91" applyNumberFormat="1" applyFont="1" applyBorder="1" applyProtection="1">
      <protection locked="0"/>
    </xf>
    <xf numFmtId="176" fontId="7" fillId="0" borderId="6" xfId="69" applyNumberFormat="1" applyFont="1" applyBorder="1" applyProtection="1">
      <protection locked="0"/>
    </xf>
    <xf numFmtId="0" fontId="81" fillId="7" borderId="0" xfId="57" applyFont="1" applyFill="1" applyAlignment="1" applyProtection="1">
      <alignment horizontal="center"/>
      <protection hidden="1"/>
    </xf>
    <xf numFmtId="39" fontId="10" fillId="9" borderId="0" xfId="74" applyNumberFormat="1" applyFont="1" applyFill="1" applyProtection="1">
      <protection hidden="1"/>
    </xf>
    <xf numFmtId="39" fontId="10" fillId="13" borderId="0" xfId="74" applyNumberFormat="1" applyFont="1" applyFill="1" applyProtection="1">
      <protection hidden="1"/>
    </xf>
    <xf numFmtId="0" fontId="53" fillId="13" borderId="0" xfId="0" applyFont="1" applyFill="1" applyProtection="1">
      <protection hidden="1"/>
    </xf>
    <xf numFmtId="0" fontId="10" fillId="13" borderId="0" xfId="0" applyFont="1" applyFill="1" applyProtection="1">
      <protection hidden="1"/>
    </xf>
    <xf numFmtId="49" fontId="2" fillId="0" borderId="18" xfId="0" applyNumberFormat="1" applyFont="1" applyBorder="1"/>
    <xf numFmtId="49" fontId="10" fillId="13" borderId="0" xfId="74" quotePrefix="1" applyNumberFormat="1" applyFont="1" applyFill="1" applyAlignment="1" applyProtection="1">
      <alignment horizontal="center"/>
      <protection hidden="1"/>
    </xf>
    <xf numFmtId="0" fontId="7" fillId="0" borderId="0" xfId="107" applyFont="1" applyAlignment="1" applyProtection="1">
      <alignment horizontal="center"/>
      <protection locked="0"/>
    </xf>
    <xf numFmtId="49" fontId="2" fillId="0" borderId="1" xfId="114" applyNumberFormat="1" applyFont="1" applyBorder="1" applyAlignment="1">
      <alignment horizontal="left" shrinkToFit="1"/>
    </xf>
    <xf numFmtId="0" fontId="2" fillId="0" borderId="2" xfId="114" applyFont="1" applyBorder="1"/>
    <xf numFmtId="180" fontId="2" fillId="0" borderId="2" xfId="114" applyNumberFormat="1" applyFont="1" applyBorder="1"/>
    <xf numFmtId="0" fontId="212" fillId="0" borderId="0" xfId="95" applyFont="1"/>
    <xf numFmtId="0" fontId="0" fillId="10" borderId="0" xfId="0" applyFill="1" applyAlignment="1">
      <alignment horizontal="center"/>
    </xf>
    <xf numFmtId="180" fontId="0" fillId="10" borderId="0" xfId="0" applyNumberFormat="1" applyFill="1" applyAlignment="1">
      <alignment horizontal="center"/>
    </xf>
    <xf numFmtId="180" fontId="2" fillId="10" borderId="0" xfId="0" applyNumberFormat="1" applyFont="1" applyFill="1" applyAlignment="1">
      <alignment horizontal="center"/>
    </xf>
    <xf numFmtId="0" fontId="141" fillId="0" borderId="0" xfId="74" applyFont="1" applyAlignment="1">
      <alignment wrapText="1"/>
    </xf>
    <xf numFmtId="0" fontId="218" fillId="0" borderId="0" xfId="69" applyFont="1"/>
    <xf numFmtId="0" fontId="198" fillId="8" borderId="15" xfId="119" applyFont="1" applyFill="1" applyBorder="1" applyAlignment="1">
      <alignment horizontal="center"/>
    </xf>
    <xf numFmtId="0" fontId="198" fillId="8" borderId="23" xfId="119" applyFont="1" applyFill="1" applyBorder="1" applyAlignment="1">
      <alignment horizontal="center" vertical="center" wrapText="1"/>
    </xf>
    <xf numFmtId="0" fontId="198" fillId="8" borderId="23" xfId="119" applyFont="1" applyFill="1" applyBorder="1" applyAlignment="1">
      <alignment horizontal="center"/>
    </xf>
    <xf numFmtId="0" fontId="141" fillId="8" borderId="0" xfId="95" applyFont="1" applyFill="1" applyAlignment="1">
      <alignment horizontal="center"/>
    </xf>
    <xf numFmtId="180" fontId="94" fillId="8" borderId="0" xfId="0" applyNumberFormat="1" applyFont="1" applyFill="1"/>
    <xf numFmtId="0" fontId="2" fillId="8" borderId="0" xfId="0" applyFont="1" applyFill="1" applyAlignment="1">
      <alignment horizontal="center"/>
    </xf>
    <xf numFmtId="168" fontId="115"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5" fillId="10" borderId="0" xfId="0" applyNumberFormat="1" applyFont="1" applyFill="1"/>
    <xf numFmtId="0" fontId="2" fillId="10" borderId="0" xfId="0" applyFont="1" applyFill="1"/>
    <xf numFmtId="0" fontId="219" fillId="0" borderId="0" xfId="0" applyFont="1"/>
    <xf numFmtId="0" fontId="0" fillId="14" borderId="0" xfId="0" applyFill="1"/>
    <xf numFmtId="0" fontId="69" fillId="0" borderId="0" xfId="84" applyFont="1"/>
    <xf numFmtId="0" fontId="24" fillId="8" borderId="0" xfId="84" applyFont="1" applyFill="1"/>
    <xf numFmtId="0" fontId="24" fillId="8" borderId="0" xfId="88" applyFont="1" applyFill="1" applyAlignment="1">
      <alignment horizontal="center"/>
    </xf>
    <xf numFmtId="0" fontId="24" fillId="8" borderId="0" xfId="88" applyFont="1" applyFill="1" applyAlignment="1" applyProtection="1">
      <alignment horizontal="center"/>
      <protection locked="0"/>
    </xf>
    <xf numFmtId="0" fontId="24" fillId="8" borderId="0" xfId="88" applyFont="1" applyFill="1" applyAlignment="1">
      <alignment horizontal="center" wrapText="1" shrinkToFit="1"/>
    </xf>
    <xf numFmtId="0" fontId="7" fillId="0" borderId="0" xfId="82" applyNumberFormat="1" applyFont="1" applyAlignment="1">
      <alignment horizontal="center"/>
      <protection locked="0"/>
    </xf>
    <xf numFmtId="168" fontId="136" fillId="8" borderId="0" xfId="82" applyFont="1" applyFill="1" applyProtection="1"/>
    <xf numFmtId="1" fontId="5" fillId="8" borderId="0" xfId="0" applyNumberFormat="1" applyFont="1" applyFill="1" applyAlignment="1">
      <alignment horizontal="center"/>
    </xf>
    <xf numFmtId="0" fontId="12" fillId="0" borderId="1" xfId="0" applyFont="1" applyBorder="1" applyAlignment="1" applyProtection="1">
      <alignment horizontal="center"/>
      <protection locked="0"/>
    </xf>
    <xf numFmtId="0" fontId="10" fillId="0" borderId="0" xfId="74" applyFont="1" applyAlignment="1" applyProtection="1">
      <alignment horizontal="right"/>
      <protection hidden="1"/>
    </xf>
    <xf numFmtId="0" fontId="155" fillId="0" borderId="0" xfId="74" applyFont="1" applyAlignment="1" applyProtection="1">
      <alignment horizontal="right"/>
      <protection hidden="1"/>
    </xf>
    <xf numFmtId="15" fontId="12" fillId="0" borderId="1" xfId="0" applyNumberFormat="1" applyFont="1" applyBorder="1" applyAlignment="1" applyProtection="1">
      <alignment horizontal="center"/>
      <protection locked="0"/>
    </xf>
    <xf numFmtId="180" fontId="2" fillId="5" borderId="0" xfId="0" applyNumberFormat="1" applyFont="1" applyFill="1"/>
    <xf numFmtId="0" fontId="12" fillId="8" borderId="1" xfId="0" applyFont="1" applyFill="1" applyBorder="1" applyAlignment="1" applyProtection="1">
      <alignment horizontal="center"/>
      <protection locked="0"/>
    </xf>
    <xf numFmtId="180" fontId="2" fillId="0" borderId="0" xfId="95" applyNumberFormat="1" applyFont="1"/>
    <xf numFmtId="0" fontId="12" fillId="8" borderId="1" xfId="0" applyFont="1" applyFill="1" applyBorder="1" applyAlignment="1">
      <alignment horizontal="center"/>
    </xf>
    <xf numFmtId="165" fontId="84" fillId="0" borderId="0" xfId="0" applyNumberFormat="1" applyFont="1"/>
    <xf numFmtId="0" fontId="220" fillId="0" borderId="0" xfId="69" applyFont="1"/>
    <xf numFmtId="180" fontId="4" fillId="0" borderId="0" xfId="0" applyNumberFormat="1" applyFont="1" applyAlignment="1">
      <alignment horizontal="center"/>
    </xf>
    <xf numFmtId="188" fontId="15" fillId="0" borderId="0" xfId="123" applyNumberFormat="1" applyProtection="1"/>
    <xf numFmtId="188" fontId="21" fillId="0" borderId="0" xfId="118" applyNumberFormat="1" applyFont="1" applyProtection="1"/>
    <xf numFmtId="188" fontId="15" fillId="0" borderId="0" xfId="118" applyNumberFormat="1" applyProtection="1"/>
    <xf numFmtId="0" fontId="221" fillId="0" borderId="0" xfId="0" applyFont="1"/>
    <xf numFmtId="0" fontId="158" fillId="0" borderId="0" xfId="0" applyFont="1"/>
    <xf numFmtId="179" fontId="12" fillId="0" borderId="4" xfId="0" applyNumberFormat="1" applyFont="1" applyBorder="1" applyProtection="1">
      <protection locked="0"/>
    </xf>
    <xf numFmtId="179" fontId="12" fillId="0" borderId="0" xfId="0" applyNumberFormat="1" applyFont="1" applyProtection="1">
      <protection locked="0"/>
    </xf>
    <xf numFmtId="0" fontId="21" fillId="0" borderId="4" xfId="0" applyFont="1" applyBorder="1" applyProtection="1">
      <protection locked="0"/>
    </xf>
    <xf numFmtId="10" fontId="21" fillId="0" borderId="1" xfId="130" applyNumberFormat="1" applyFont="1" applyBorder="1" applyProtection="1">
      <protection locked="0"/>
    </xf>
    <xf numFmtId="170" fontId="7" fillId="0" borderId="8" xfId="29" applyNumberFormat="1" applyFont="1" applyBorder="1"/>
    <xf numFmtId="0" fontId="2" fillId="0" borderId="0" xfId="94" applyFont="1" applyAlignment="1">
      <alignment horizontal="center"/>
    </xf>
    <xf numFmtId="0" fontId="2" fillId="11" borderId="0" xfId="74" applyFont="1" applyFill="1"/>
    <xf numFmtId="0" fontId="0" fillId="11" borderId="0" xfId="0" applyFill="1" applyProtection="1">
      <protection locked="0"/>
    </xf>
    <xf numFmtId="176" fontId="21" fillId="0" borderId="18" xfId="39" applyNumberFormat="1" applyFont="1" applyBorder="1" applyProtection="1">
      <protection locked="0"/>
    </xf>
    <xf numFmtId="1" fontId="71" fillId="0" borderId="0" xfId="101" applyNumberFormat="1" applyFont="1" applyAlignment="1">
      <alignment horizontal="center"/>
    </xf>
    <xf numFmtId="0" fontId="15" fillId="0" borderId="0" xfId="101" applyFont="1" applyAlignment="1">
      <alignment horizontal="left"/>
    </xf>
    <xf numFmtId="1" fontId="14" fillId="0" borderId="0" xfId="101" applyNumberFormat="1" applyFont="1" applyAlignment="1">
      <alignment horizontal="center"/>
    </xf>
    <xf numFmtId="176" fontId="15" fillId="0" borderId="2" xfId="38" applyNumberFormat="1" applyFont="1" applyBorder="1" applyProtection="1">
      <protection locked="0"/>
    </xf>
    <xf numFmtId="0" fontId="2" fillId="0" borderId="0" xfId="0" quotePrefix="1" applyFont="1"/>
    <xf numFmtId="0" fontId="44" fillId="0" borderId="0" xfId="0" applyFont="1" applyAlignment="1">
      <alignment horizontal="left"/>
    </xf>
    <xf numFmtId="0" fontId="11" fillId="0" borderId="0" xfId="0" quotePrefix="1" applyFont="1"/>
    <xf numFmtId="0" fontId="9" fillId="8" borderId="0" xfId="0" applyFont="1" applyFill="1" applyAlignment="1">
      <alignment horizontal="center"/>
    </xf>
    <xf numFmtId="0" fontId="9" fillId="8" borderId="34" xfId="0" applyFont="1" applyFill="1" applyBorder="1" applyAlignment="1">
      <alignment horizontal="left"/>
    </xf>
    <xf numFmtId="0" fontId="9" fillId="8" borderId="35" xfId="0" applyFont="1" applyFill="1" applyBorder="1" applyAlignment="1">
      <alignment horizontal="left"/>
    </xf>
    <xf numFmtId="0" fontId="9" fillId="8" borderId="36" xfId="0" applyFont="1" applyFill="1" applyBorder="1" applyAlignment="1">
      <alignment horizontal="left"/>
    </xf>
    <xf numFmtId="176" fontId="2" fillId="0" borderId="0" xfId="84" applyNumberFormat="1" applyFont="1"/>
    <xf numFmtId="180" fontId="195" fillId="8" borderId="0" xfId="75" applyNumberFormat="1" applyFont="1" applyFill="1"/>
    <xf numFmtId="180" fontId="2" fillId="0" borderId="0" xfId="75" applyNumberFormat="1"/>
    <xf numFmtId="180" fontId="181" fillId="0" borderId="1" xfId="0" applyNumberFormat="1" applyFont="1" applyBorder="1" applyProtection="1">
      <protection locked="0"/>
    </xf>
    <xf numFmtId="180" fontId="2" fillId="0" borderId="0" xfId="73" applyNumberFormat="1"/>
    <xf numFmtId="168" fontId="2" fillId="0" borderId="0" xfId="85" applyFont="1">
      <protection locked="0"/>
    </xf>
    <xf numFmtId="0" fontId="147" fillId="12" borderId="0" xfId="119" applyFont="1" applyFill="1"/>
    <xf numFmtId="0" fontId="0" fillId="16" borderId="0" xfId="0" applyFill="1"/>
    <xf numFmtId="180" fontId="2" fillId="16" borderId="0" xfId="0" applyNumberFormat="1" applyFont="1" applyFill="1"/>
    <xf numFmtId="0" fontId="89" fillId="11" borderId="0" xfId="0" applyFont="1" applyFill="1" applyProtection="1">
      <protection locked="0"/>
    </xf>
    <xf numFmtId="49" fontId="15" fillId="8" borderId="0" xfId="0" applyNumberFormat="1" applyFont="1" applyFill="1"/>
    <xf numFmtId="0" fontId="15" fillId="16" borderId="0" xfId="0" applyFont="1" applyFill="1"/>
    <xf numFmtId="166" fontId="14" fillId="0" borderId="0" xfId="0" applyNumberFormat="1" applyFont="1" applyAlignment="1" applyProtection="1">
      <alignment horizontal="center"/>
      <protection locked="0"/>
    </xf>
    <xf numFmtId="0" fontId="69" fillId="8" borderId="0" xfId="0" applyFont="1" applyFill="1" applyAlignment="1">
      <alignment horizontal="center"/>
    </xf>
    <xf numFmtId="0" fontId="101" fillId="0" borderId="0" xfId="118" applyFont="1" applyAlignment="1" applyProtection="1">
      <alignment horizontal="left"/>
    </xf>
    <xf numFmtId="188" fontId="21" fillId="0" borderId="0" xfId="123" applyNumberFormat="1" applyFont="1" applyProtection="1"/>
    <xf numFmtId="0" fontId="75" fillId="0" borderId="0" xfId="118" applyFont="1" applyAlignment="1" applyProtection="1">
      <alignment horizontal="left"/>
    </xf>
    <xf numFmtId="173" fontId="21" fillId="0" borderId="0" xfId="0" applyNumberFormat="1" applyFont="1"/>
    <xf numFmtId="0" fontId="15" fillId="0" borderId="0" xfId="118" applyProtection="1"/>
    <xf numFmtId="187" fontId="21" fillId="0" borderId="0" xfId="27" applyFont="1" applyAlignment="1">
      <alignment horizontal="center"/>
    </xf>
    <xf numFmtId="0" fontId="101" fillId="0" borderId="0" xfId="0" applyFont="1"/>
    <xf numFmtId="0" fontId="0" fillId="15" borderId="0" xfId="0" applyFill="1"/>
    <xf numFmtId="0" fontId="163" fillId="0" borderId="0" xfId="0" applyFont="1" applyAlignment="1">
      <alignment vertical="center"/>
    </xf>
    <xf numFmtId="0" fontId="164" fillId="0" borderId="0" xfId="0" applyFont="1" applyAlignment="1">
      <alignment horizontal="left" vertical="center" indent="4"/>
    </xf>
    <xf numFmtId="176" fontId="21" fillId="0" borderId="1" xfId="39" applyNumberFormat="1" applyFont="1" applyBorder="1"/>
    <xf numFmtId="39" fontId="15" fillId="0" borderId="0" xfId="0" applyNumberFormat="1" applyFont="1" applyProtection="1">
      <protection locked="0"/>
    </xf>
    <xf numFmtId="0" fontId="2" fillId="0" borderId="0" xfId="84" applyFont="1" applyAlignment="1">
      <alignment horizontal="left" indent="1"/>
    </xf>
    <xf numFmtId="0" fontId="4" fillId="0" borderId="15" xfId="0" applyFont="1" applyBorder="1"/>
    <xf numFmtId="0" fontId="143" fillId="9" borderId="0" xfId="0" applyFont="1" applyFill="1"/>
    <xf numFmtId="0" fontId="143" fillId="17" borderId="0" xfId="73" applyFont="1" applyFill="1"/>
    <xf numFmtId="0" fontId="4" fillId="0" borderId="15" xfId="73" applyFont="1" applyBorder="1"/>
    <xf numFmtId="0" fontId="4" fillId="11" borderId="0" xfId="0" applyFont="1" applyFill="1"/>
    <xf numFmtId="0" fontId="2" fillId="11" borderId="0" xfId="0" applyFont="1" applyFill="1"/>
    <xf numFmtId="0" fontId="81" fillId="0" borderId="0" xfId="57" applyFont="1" applyAlignment="1" applyProtection="1">
      <alignment horizontal="left"/>
    </xf>
    <xf numFmtId="0" fontId="141" fillId="0" borderId="0" xfId="0" applyFont="1" applyProtection="1">
      <protection locked="0"/>
    </xf>
    <xf numFmtId="178" fontId="21" fillId="0" borderId="0" xfId="0" quotePrefix="1" applyNumberFormat="1" applyFont="1"/>
    <xf numFmtId="178" fontId="21" fillId="0" borderId="0" xfId="0" applyNumberFormat="1" applyFont="1"/>
    <xf numFmtId="178" fontId="15" fillId="0" borderId="0" xfId="0" applyNumberFormat="1" applyFont="1"/>
    <xf numFmtId="0" fontId="4" fillId="6" borderId="37" xfId="95" applyFont="1" applyFill="1" applyBorder="1"/>
    <xf numFmtId="0" fontId="64" fillId="6" borderId="38" xfId="95" applyFont="1" applyFill="1" applyBorder="1"/>
    <xf numFmtId="0" fontId="13" fillId="6" borderId="38" xfId="95" applyFont="1" applyFill="1" applyBorder="1"/>
    <xf numFmtId="0" fontId="13" fillId="6" borderId="39" xfId="95" applyFont="1" applyFill="1" applyBorder="1"/>
    <xf numFmtId="0" fontId="2" fillId="6" borderId="40" xfId="95" applyFont="1" applyFill="1" applyBorder="1"/>
    <xf numFmtId="0" fontId="64" fillId="6" borderId="0" xfId="95" applyFont="1" applyFill="1"/>
    <xf numFmtId="0" fontId="13" fillId="6" borderId="0" xfId="95" applyFont="1" applyFill="1"/>
    <xf numFmtId="0" fontId="13" fillId="6" borderId="41" xfId="95" applyFont="1" applyFill="1" applyBorder="1"/>
    <xf numFmtId="0" fontId="2" fillId="6" borderId="42" xfId="95" applyFont="1" applyFill="1" applyBorder="1"/>
    <xf numFmtId="0" fontId="64" fillId="6" borderId="14" xfId="95" applyFont="1" applyFill="1" applyBorder="1"/>
    <xf numFmtId="0" fontId="64" fillId="6" borderId="43" xfId="95" applyFont="1" applyFill="1" applyBorder="1"/>
    <xf numFmtId="164" fontId="2" fillId="0" borderId="0" xfId="99" applyNumberFormat="1"/>
    <xf numFmtId="164" fontId="2" fillId="0" borderId="1" xfId="99" applyNumberFormat="1" applyBorder="1" applyAlignment="1">
      <alignment horizontal="center"/>
    </xf>
    <xf numFmtId="164" fontId="2" fillId="0" borderId="0" xfId="99" applyNumberFormat="1" applyAlignment="1">
      <alignment horizontal="right"/>
    </xf>
    <xf numFmtId="164" fontId="2" fillId="0" borderId="1" xfId="96" applyNumberFormat="1" applyBorder="1" applyAlignment="1">
      <alignment horizontal="left"/>
    </xf>
    <xf numFmtId="0" fontId="2" fillId="0" borderId="1" xfId="0" applyFont="1" applyBorder="1" applyAlignment="1">
      <alignment horizontal="left"/>
    </xf>
    <xf numFmtId="164" fontId="2" fillId="0" borderId="4" xfId="96" applyNumberFormat="1" applyBorder="1" applyAlignment="1">
      <alignment horizontal="left"/>
    </xf>
    <xf numFmtId="0" fontId="2" fillId="0" borderId="4" xfId="0" applyFont="1" applyBorder="1" applyAlignment="1">
      <alignment horizontal="left"/>
    </xf>
    <xf numFmtId="164" fontId="2" fillId="0" borderId="4" xfId="96" applyNumberFormat="1" applyBorder="1" applyAlignment="1" applyProtection="1">
      <alignment horizontal="left"/>
      <protection locked="0"/>
    </xf>
    <xf numFmtId="164" fontId="76" fillId="0" borderId="0" xfId="99" applyNumberFormat="1" applyFont="1" applyAlignment="1">
      <alignment horizontal="center"/>
    </xf>
    <xf numFmtId="0" fontId="167" fillId="0" borderId="0" xfId="0" applyFont="1" applyAlignment="1">
      <alignment vertical="center"/>
    </xf>
    <xf numFmtId="0" fontId="2" fillId="0" borderId="0" xfId="0" applyFont="1" applyAlignment="1">
      <alignment horizontal="left" vertical="center"/>
    </xf>
    <xf numFmtId="0" fontId="5" fillId="0" borderId="0" xfId="0" applyFont="1" applyAlignment="1">
      <alignment vertical="center"/>
    </xf>
    <xf numFmtId="164" fontId="4" fillId="0" borderId="0" xfId="99" applyNumberFormat="1" applyFont="1" applyAlignment="1">
      <alignment horizontal="center"/>
    </xf>
    <xf numFmtId="164" fontId="4" fillId="0" borderId="2" xfId="99" applyNumberFormat="1" applyFont="1" applyBorder="1" applyAlignment="1">
      <alignment horizontal="center"/>
    </xf>
    <xf numFmtId="0" fontId="29" fillId="0" borderId="0" xfId="0" applyFont="1" applyAlignment="1">
      <alignment horizontal="left" vertical="center" indent="1"/>
    </xf>
    <xf numFmtId="0" fontId="116" fillId="0" borderId="0" xfId="94" applyFont="1" applyAlignment="1" applyProtection="1">
      <alignment horizontal="center"/>
      <protection locked="0"/>
    </xf>
    <xf numFmtId="0" fontId="2" fillId="0" borderId="0" xfId="94" applyFont="1"/>
    <xf numFmtId="39" fontId="222" fillId="0" borderId="0" xfId="74" applyNumberFormat="1" applyFont="1" applyProtection="1">
      <protection hidden="1"/>
    </xf>
    <xf numFmtId="0" fontId="2" fillId="0" borderId="4" xfId="94" applyFont="1" applyBorder="1"/>
    <xf numFmtId="0" fontId="2" fillId="0" borderId="1" xfId="113" applyFont="1" applyBorder="1" applyProtection="1">
      <protection locked="0"/>
    </xf>
    <xf numFmtId="180" fontId="21" fillId="0" borderId="1" xfId="0" applyNumberFormat="1" applyFont="1" applyBorder="1" applyProtection="1">
      <protection locked="0"/>
    </xf>
    <xf numFmtId="0" fontId="223" fillId="0" borderId="0" xfId="0" applyFont="1" applyAlignment="1">
      <alignment horizontal="center"/>
    </xf>
    <xf numFmtId="180" fontId="21" fillId="0" borderId="0" xfId="0" applyNumberFormat="1" applyFont="1" applyProtection="1">
      <protection locked="0"/>
    </xf>
    <xf numFmtId="180" fontId="21" fillId="8" borderId="1" xfId="0" applyNumberFormat="1" applyFont="1" applyFill="1" applyBorder="1"/>
    <xf numFmtId="180" fontId="21" fillId="8" borderId="3" xfId="0" applyNumberFormat="1" applyFont="1" applyFill="1" applyBorder="1"/>
    <xf numFmtId="180" fontId="21" fillId="8" borderId="4" xfId="0" applyNumberFormat="1" applyFont="1" applyFill="1" applyBorder="1"/>
    <xf numFmtId="0" fontId="12" fillId="9" borderId="23" xfId="95" applyFill="1" applyBorder="1"/>
    <xf numFmtId="0" fontId="12" fillId="9" borderId="4" xfId="95" applyFill="1" applyBorder="1"/>
    <xf numFmtId="180" fontId="12" fillId="9" borderId="4" xfId="95" applyNumberFormat="1" applyFill="1" applyBorder="1"/>
    <xf numFmtId="0" fontId="12" fillId="9" borderId="33" xfId="95" applyFill="1" applyBorder="1"/>
    <xf numFmtId="0" fontId="12" fillId="9" borderId="4" xfId="0" applyFont="1" applyFill="1" applyBorder="1"/>
    <xf numFmtId="0" fontId="12" fillId="9" borderId="33" xfId="0" applyFont="1" applyFill="1" applyBorder="1"/>
    <xf numFmtId="0" fontId="2" fillId="16" borderId="0" xfId="0" applyFont="1" applyFill="1"/>
    <xf numFmtId="180" fontId="168" fillId="0" borderId="0" xfId="0" applyNumberFormat="1" applyFont="1"/>
    <xf numFmtId="0" fontId="2" fillId="15" borderId="0" xfId="0" applyFont="1" applyFill="1"/>
    <xf numFmtId="22" fontId="2" fillId="0" borderId="0" xfId="0" applyNumberFormat="1" applyFont="1"/>
    <xf numFmtId="0" fontId="2" fillId="0" borderId="15" xfId="115" applyFont="1" applyBorder="1" applyAlignment="1" applyProtection="1">
      <alignment horizontal="center"/>
      <protection locked="0"/>
    </xf>
    <xf numFmtId="0" fontId="2" fillId="0" borderId="4" xfId="0" applyFont="1" applyBorder="1" applyAlignment="1" applyProtection="1">
      <alignment horizontal="left"/>
      <protection locked="0"/>
    </xf>
    <xf numFmtId="0" fontId="2" fillId="0" borderId="0" xfId="81" applyFont="1" applyAlignment="1">
      <alignment horizontal="left"/>
    </xf>
    <xf numFmtId="0" fontId="2" fillId="0" borderId="0" xfId="81" applyFont="1"/>
    <xf numFmtId="0" fontId="2" fillId="0" borderId="1" xfId="81" applyFont="1" applyBorder="1" applyAlignment="1">
      <alignment horizontal="center"/>
    </xf>
    <xf numFmtId="0" fontId="2" fillId="0" borderId="0" xfId="81" applyFont="1" applyAlignment="1">
      <alignment horizontal="right"/>
    </xf>
    <xf numFmtId="0" fontId="2" fillId="0" borderId="0" xfId="81" applyFont="1" applyAlignment="1">
      <alignment horizontal="center"/>
    </xf>
    <xf numFmtId="0" fontId="2" fillId="0" borderId="2" xfId="81" applyFont="1" applyBorder="1" applyAlignment="1">
      <alignment horizontal="centerContinuous"/>
    </xf>
    <xf numFmtId="0" fontId="2" fillId="0" borderId="0" xfId="81" applyFont="1" applyAlignment="1">
      <alignment horizontal="centerContinuous"/>
    </xf>
    <xf numFmtId="0" fontId="2" fillId="0" borderId="1" xfId="81" applyFont="1" applyBorder="1" applyAlignment="1">
      <alignment horizontal="centerContinuous"/>
    </xf>
    <xf numFmtId="0" fontId="2" fillId="0" borderId="1" xfId="81" applyFont="1" applyBorder="1" applyAlignment="1" applyProtection="1">
      <alignment horizontal="center"/>
      <protection locked="0"/>
    </xf>
    <xf numFmtId="0" fontId="2" fillId="0" borderId="0" xfId="81" applyFont="1" applyAlignment="1" applyProtection="1">
      <alignment horizontal="center"/>
      <protection locked="0"/>
    </xf>
    <xf numFmtId="176" fontId="2" fillId="0" borderId="4" xfId="81" applyNumberFormat="1" applyFont="1" applyBorder="1" applyProtection="1">
      <protection locked="0"/>
    </xf>
    <xf numFmtId="176" fontId="2" fillId="0" borderId="0" xfId="81" applyNumberFormat="1" applyFont="1" applyProtection="1">
      <protection locked="0"/>
    </xf>
    <xf numFmtId="0" fontId="2" fillId="0" borderId="0" xfId="81" applyFont="1" applyProtection="1">
      <protection locked="0"/>
    </xf>
    <xf numFmtId="0" fontId="15" fillId="0" borderId="0" xfId="81" applyFont="1"/>
    <xf numFmtId="0" fontId="61" fillId="0" borderId="0" xfId="0" applyFont="1"/>
    <xf numFmtId="0" fontId="169" fillId="0" borderId="0" xfId="81" applyFont="1"/>
    <xf numFmtId="176" fontId="2" fillId="0" borderId="1" xfId="81" applyNumberFormat="1" applyFont="1" applyBorder="1" applyProtection="1">
      <protection locked="0"/>
    </xf>
    <xf numFmtId="176" fontId="2" fillId="0" borderId="0" xfId="81" applyNumberFormat="1" applyFont="1"/>
    <xf numFmtId="0" fontId="61" fillId="0" borderId="0" xfId="81" applyFont="1"/>
    <xf numFmtId="0" fontId="4" fillId="0" borderId="0" xfId="81" applyFont="1" applyAlignment="1">
      <alignment horizontal="center"/>
    </xf>
    <xf numFmtId="0" fontId="4" fillId="0" borderId="0" xfId="81" applyFont="1" applyAlignment="1">
      <alignment horizontal="centerContinuous"/>
    </xf>
    <xf numFmtId="176" fontId="4" fillId="0" borderId="0" xfId="81" applyNumberFormat="1" applyFont="1" applyProtection="1">
      <protection locked="0"/>
    </xf>
    <xf numFmtId="176" fontId="4" fillId="0" borderId="0" xfId="81" applyNumberFormat="1" applyFont="1"/>
    <xf numFmtId="0" fontId="101" fillId="0" borderId="0" xfId="81" applyFont="1"/>
    <xf numFmtId="170" fontId="2" fillId="6" borderId="15" xfId="91" applyNumberFormat="1" applyFont="1" applyFill="1" applyBorder="1"/>
    <xf numFmtId="170" fontId="2" fillId="6" borderId="25" xfId="91" applyNumberFormat="1" applyFont="1" applyFill="1" applyBorder="1"/>
    <xf numFmtId="0" fontId="4" fillId="0" borderId="5" xfId="0" applyFont="1" applyBorder="1"/>
    <xf numFmtId="49" fontId="146" fillId="12" borderId="0" xfId="0" applyNumberFormat="1" applyFont="1" applyFill="1"/>
    <xf numFmtId="176" fontId="136" fillId="0" borderId="4" xfId="85" applyNumberFormat="1" applyFont="1" applyBorder="1">
      <protection locked="0"/>
    </xf>
    <xf numFmtId="176" fontId="136" fillId="0" borderId="1" xfId="85" applyNumberFormat="1" applyFont="1" applyBorder="1">
      <protection locked="0"/>
    </xf>
    <xf numFmtId="0" fontId="15" fillId="0" borderId="0" xfId="0" quotePrefix="1" applyFont="1"/>
    <xf numFmtId="164" fontId="6" fillId="0" borderId="1" xfId="115" applyNumberFormat="1" applyFont="1" applyBorder="1" applyAlignment="1" applyProtection="1">
      <alignment horizontal="center"/>
      <protection locked="0"/>
    </xf>
    <xf numFmtId="0" fontId="2" fillId="0" borderId="1" xfId="0" applyFont="1" applyBorder="1" applyAlignment="1" applyProtection="1">
      <alignment horizontal="center"/>
      <protection locked="0"/>
    </xf>
    <xf numFmtId="170" fontId="64" fillId="0" borderId="0" xfId="95" applyNumberFormat="1" applyFont="1" applyProtection="1">
      <protection locked="0"/>
    </xf>
    <xf numFmtId="0" fontId="64" fillId="0" borderId="0" xfId="95" applyFont="1" applyProtection="1">
      <protection locked="0"/>
    </xf>
    <xf numFmtId="193" fontId="2" fillId="0" borderId="0" xfId="81" applyNumberFormat="1" applyFont="1" applyAlignment="1" applyProtection="1">
      <alignment horizontal="center"/>
      <protection locked="0"/>
    </xf>
    <xf numFmtId="193" fontId="2" fillId="0" borderId="0" xfId="81" applyNumberFormat="1" applyFont="1" applyAlignment="1">
      <alignment horizontal="center"/>
    </xf>
    <xf numFmtId="193" fontId="2" fillId="0" borderId="0" xfId="81" applyNumberFormat="1" applyFont="1"/>
    <xf numFmtId="176" fontId="15" fillId="0" borderId="1" xfId="39" applyNumberFormat="1" applyFont="1" applyBorder="1" applyProtection="1">
      <protection locked="0"/>
    </xf>
    <xf numFmtId="168" fontId="19" fillId="0" borderId="0" xfId="82" applyFont="1" applyAlignment="1" applyProtection="1">
      <alignment horizontal="right"/>
    </xf>
    <xf numFmtId="168" fontId="7" fillId="0" borderId="0" xfId="82" applyFont="1" applyAlignment="1" applyProtection="1">
      <alignment horizontal="right"/>
    </xf>
    <xf numFmtId="168" fontId="136" fillId="0" borderId="0" xfId="82" applyFont="1" applyAlignment="1" applyProtection="1">
      <alignment horizontal="right"/>
    </xf>
    <xf numFmtId="168" fontId="36" fillId="0" borderId="0" xfId="82" applyFont="1" applyAlignment="1" applyProtection="1">
      <alignment horizontal="right"/>
    </xf>
    <xf numFmtId="168" fontId="2" fillId="0" borderId="0" xfId="82" applyFont="1" applyAlignment="1" applyProtection="1">
      <alignment horizontal="right"/>
    </xf>
    <xf numFmtId="0" fontId="6" fillId="0" borderId="0" xfId="88" applyFont="1" applyAlignment="1" applyProtection="1">
      <alignment horizontal="right"/>
      <protection hidden="1"/>
    </xf>
    <xf numFmtId="168" fontId="15" fillId="0" borderId="0" xfId="82" applyAlignment="1" applyProtection="1">
      <alignment horizontal="right"/>
    </xf>
    <xf numFmtId="0" fontId="225" fillId="0" borderId="0" xfId="0" applyFont="1"/>
    <xf numFmtId="0" fontId="226" fillId="0" borderId="0" xfId="0" applyFont="1"/>
    <xf numFmtId="0" fontId="4" fillId="0" borderId="0" xfId="81" applyFont="1"/>
    <xf numFmtId="0" fontId="4" fillId="6" borderId="0" xfId="0" applyFont="1" applyFill="1"/>
    <xf numFmtId="170" fontId="64" fillId="0" borderId="19" xfId="95" applyNumberFormat="1" applyFont="1" applyBorder="1"/>
    <xf numFmtId="0" fontId="150" fillId="0" borderId="0" xfId="101" applyFont="1"/>
    <xf numFmtId="0" fontId="3" fillId="0" borderId="0" xfId="115" applyFont="1" applyAlignment="1">
      <alignment vertical="center"/>
    </xf>
    <xf numFmtId="0" fontId="60" fillId="0" borderId="0" xfId="115" applyFont="1" applyAlignment="1">
      <alignment vertical="center"/>
    </xf>
    <xf numFmtId="164" fontId="4" fillId="0" borderId="0" xfId="99" applyNumberFormat="1" applyFont="1" applyAlignment="1">
      <alignment horizontal="left"/>
    </xf>
    <xf numFmtId="0" fontId="49" fillId="0" borderId="0" xfId="57" applyAlignment="1" applyProtection="1">
      <alignment vertical="center"/>
    </xf>
    <xf numFmtId="0" fontId="101" fillId="6" borderId="0" xfId="115" applyFont="1" applyFill="1" applyAlignment="1" applyProtection="1">
      <alignment horizontal="left"/>
      <protection locked="0"/>
    </xf>
    <xf numFmtId="174" fontId="12" fillId="0" borderId="8" xfId="38" applyNumberFormat="1" applyFont="1" applyBorder="1" applyProtection="1">
      <protection locked="0"/>
    </xf>
    <xf numFmtId="49" fontId="15" fillId="0" borderId="8" xfId="0" applyNumberFormat="1" applyFont="1" applyBorder="1" applyAlignment="1">
      <alignment horizontal="center" vertical="top"/>
    </xf>
    <xf numFmtId="0" fontId="15" fillId="0" borderId="8" xfId="0" applyFont="1" applyBorder="1" applyAlignment="1">
      <alignment vertical="top"/>
    </xf>
    <xf numFmtId="0" fontId="4" fillId="0" borderId="0" xfId="91" applyFont="1" applyAlignment="1">
      <alignment horizontal="center"/>
    </xf>
    <xf numFmtId="0" fontId="10" fillId="0" borderId="0" xfId="0" applyFont="1"/>
    <xf numFmtId="0" fontId="59" fillId="0" borderId="0" xfId="0" applyFont="1"/>
    <xf numFmtId="0" fontId="101" fillId="0" borderId="0" xfId="0" applyFont="1" applyAlignment="1">
      <alignment horizontal="left"/>
    </xf>
    <xf numFmtId="180" fontId="116" fillId="0" borderId="0" xfId="124" applyNumberFormat="1" applyFont="1" applyBorder="1" applyProtection="1"/>
    <xf numFmtId="166" fontId="182" fillId="0" borderId="0" xfId="0" applyNumberFormat="1" applyFont="1"/>
    <xf numFmtId="0" fontId="14" fillId="0" borderId="0" xfId="101" applyFont="1"/>
    <xf numFmtId="0" fontId="2" fillId="0" borderId="20" xfId="94" applyFont="1" applyBorder="1" applyAlignment="1" applyProtection="1">
      <alignment horizontal="left"/>
      <protection locked="0"/>
    </xf>
    <xf numFmtId="0" fontId="226" fillId="0" borderId="0" xfId="81" applyFont="1" applyAlignment="1" applyProtection="1">
      <alignment horizontal="left"/>
      <protection locked="0"/>
    </xf>
    <xf numFmtId="0" fontId="226" fillId="0" borderId="0" xfId="0" applyFont="1" applyAlignment="1">
      <alignment horizontal="right"/>
    </xf>
    <xf numFmtId="0" fontId="226" fillId="0" borderId="0" xfId="0" applyFont="1" applyAlignment="1">
      <alignment vertical="top" wrapText="1"/>
    </xf>
    <xf numFmtId="0" fontId="247" fillId="0" borderId="0" xfId="69" applyAlignment="1">
      <alignment horizontal="right"/>
    </xf>
    <xf numFmtId="0" fontId="59" fillId="0" borderId="0" xfId="115" applyFont="1" applyAlignment="1">
      <alignment horizontal="center"/>
    </xf>
    <xf numFmtId="0" fontId="59" fillId="0" borderId="0" xfId="115" applyFont="1"/>
    <xf numFmtId="176" fontId="2" fillId="0" borderId="1" xfId="122" applyNumberFormat="1" applyFont="1" applyBorder="1">
      <protection locked="0"/>
    </xf>
    <xf numFmtId="0" fontId="68" fillId="0" borderId="0" xfId="90" applyFont="1" applyAlignment="1">
      <alignment horizontal="center" shrinkToFit="1"/>
    </xf>
    <xf numFmtId="0" fontId="101" fillId="6" borderId="0" xfId="115" applyFont="1" applyFill="1" applyAlignment="1">
      <alignment horizontal="left"/>
    </xf>
    <xf numFmtId="43" fontId="12" fillId="0" borderId="1" xfId="29" applyFont="1" applyBorder="1" applyProtection="1">
      <protection locked="0"/>
    </xf>
    <xf numFmtId="0" fontId="12" fillId="0" borderId="0" xfId="0" applyFont="1" applyAlignment="1" applyProtection="1">
      <alignment horizontal="center"/>
      <protection locked="0"/>
    </xf>
    <xf numFmtId="43" fontId="12" fillId="0" borderId="0" xfId="29" applyFont="1" applyAlignment="1" applyProtection="1">
      <alignment horizontal="center"/>
      <protection locked="0"/>
    </xf>
    <xf numFmtId="0" fontId="68" fillId="0" borderId="4" xfId="90" applyFont="1" applyBorder="1" applyAlignment="1">
      <alignment horizontal="center" shrinkToFit="1"/>
    </xf>
    <xf numFmtId="0" fontId="4" fillId="0" borderId="23" xfId="0" applyFont="1" applyBorder="1"/>
    <xf numFmtId="0" fontId="68" fillId="0" borderId="4" xfId="0" applyFont="1" applyBorder="1"/>
    <xf numFmtId="0" fontId="68" fillId="0" borderId="4" xfId="90" applyFont="1" applyBorder="1" applyAlignment="1">
      <alignment horizontal="right"/>
    </xf>
    <xf numFmtId="0" fontId="68" fillId="0" borderId="33" xfId="90" applyFont="1" applyBorder="1" applyAlignment="1">
      <alignment horizontal="center" shrinkToFit="1"/>
    </xf>
    <xf numFmtId="0" fontId="4" fillId="0" borderId="23" xfId="0" applyFont="1" applyBorder="1" applyAlignment="1">
      <alignment vertical="top"/>
    </xf>
    <xf numFmtId="0" fontId="2" fillId="0" borderId="4" xfId="0" applyFont="1" applyBorder="1"/>
    <xf numFmtId="0" fontId="4" fillId="0" borderId="12" xfId="0" applyFont="1" applyBorder="1"/>
    <xf numFmtId="0" fontId="4" fillId="0" borderId="33" xfId="0" applyFont="1" applyBorder="1"/>
    <xf numFmtId="0" fontId="0" fillId="0" borderId="1" xfId="0" applyBorder="1" applyAlignment="1">
      <alignment horizontal="left"/>
    </xf>
    <xf numFmtId="0" fontId="2" fillId="0" borderId="1" xfId="0" applyFont="1" applyBorder="1" applyAlignment="1">
      <alignment horizontal="left" vertical="top"/>
    </xf>
    <xf numFmtId="0" fontId="2" fillId="0" borderId="23" xfId="0" applyFont="1" applyBorder="1" applyAlignment="1">
      <alignment horizontal="left" vertical="top"/>
    </xf>
    <xf numFmtId="0" fontId="4" fillId="0" borderId="21" xfId="0" applyFont="1" applyBorder="1"/>
    <xf numFmtId="0" fontId="2" fillId="0" borderId="8" xfId="0" applyFont="1" applyBorder="1" applyAlignment="1">
      <alignment horizontal="left"/>
    </xf>
    <xf numFmtId="0" fontId="119" fillId="0" borderId="0" xfId="0" applyFont="1"/>
    <xf numFmtId="0" fontId="2" fillId="0" borderId="0" xfId="0" applyFont="1" applyAlignment="1">
      <alignment vertical="top" wrapText="1"/>
    </xf>
    <xf numFmtId="0" fontId="0" fillId="0" borderId="7" xfId="0" applyBorder="1"/>
    <xf numFmtId="0" fontId="32" fillId="0" borderId="0" xfId="84" applyFont="1"/>
    <xf numFmtId="0" fontId="227" fillId="0" borderId="0" xfId="0" applyFont="1"/>
    <xf numFmtId="0" fontId="2" fillId="0" borderId="2" xfId="92" applyFont="1" applyBorder="1" applyProtection="1">
      <protection locked="0"/>
    </xf>
    <xf numFmtId="0" fontId="49" fillId="0" borderId="15" xfId="57" applyBorder="1" applyAlignment="1" applyProtection="1"/>
    <xf numFmtId="0" fontId="49" fillId="0" borderId="15" xfId="57" applyBorder="1" applyAlignment="1" applyProtection="1">
      <alignment horizontal="center" shrinkToFit="1"/>
    </xf>
    <xf numFmtId="194" fontId="179" fillId="0" borderId="1" xfId="40" applyNumberFormat="1" applyFont="1" applyBorder="1" applyProtection="1">
      <protection locked="0"/>
    </xf>
    <xf numFmtId="0" fontId="2" fillId="0" borderId="1" xfId="110" applyFont="1" applyBorder="1" applyAlignment="1" applyProtection="1">
      <alignment horizontal="center"/>
      <protection locked="0"/>
    </xf>
    <xf numFmtId="0" fontId="2" fillId="0" borderId="1" xfId="108" applyFont="1" applyBorder="1" applyAlignment="1" applyProtection="1">
      <alignment horizontal="center"/>
      <protection locked="0"/>
    </xf>
    <xf numFmtId="49" fontId="158" fillId="0" borderId="0" xfId="0" applyNumberFormat="1" applyFont="1"/>
    <xf numFmtId="43" fontId="12" fillId="0" borderId="4" xfId="29" applyFont="1" applyBorder="1" applyProtection="1">
      <protection locked="0"/>
    </xf>
    <xf numFmtId="49" fontId="2" fillId="0" borderId="0" xfId="0" applyNumberFormat="1" applyFont="1"/>
    <xf numFmtId="176" fontId="7" fillId="0" borderId="0" xfId="89" applyNumberFormat="1" applyFont="1" applyProtection="1">
      <protection locked="0"/>
    </xf>
    <xf numFmtId="176" fontId="12" fillId="0" borderId="14" xfId="0" applyNumberFormat="1" applyFont="1" applyBorder="1"/>
    <xf numFmtId="0" fontId="190" fillId="0" borderId="15" xfId="119" applyFont="1" applyBorder="1" applyAlignment="1">
      <alignment horizontal="center" vertical="center" wrapText="1"/>
    </xf>
    <xf numFmtId="14" fontId="228" fillId="9" borderId="0" xfId="0" applyNumberFormat="1" applyFont="1" applyFill="1" applyAlignment="1">
      <alignment horizontal="right" wrapText="1"/>
    </xf>
    <xf numFmtId="0" fontId="183" fillId="4" borderId="35" xfId="0" applyFont="1" applyFill="1" applyBorder="1"/>
    <xf numFmtId="0" fontId="183" fillId="4" borderId="32" xfId="0" applyFont="1" applyFill="1" applyBorder="1"/>
    <xf numFmtId="14" fontId="228" fillId="17" borderId="0" xfId="73" applyNumberFormat="1" applyFont="1" applyFill="1" applyAlignment="1">
      <alignment horizontal="right"/>
    </xf>
    <xf numFmtId="0" fontId="183" fillId="4" borderId="30" xfId="0" applyFont="1" applyFill="1" applyBorder="1"/>
    <xf numFmtId="43" fontId="7" fillId="0" borderId="0" xfId="29" applyFont="1"/>
    <xf numFmtId="49" fontId="229" fillId="0" borderId="0" xfId="114" applyNumberFormat="1" applyFont="1" applyAlignment="1">
      <alignment horizontal="center"/>
    </xf>
    <xf numFmtId="49" fontId="175" fillId="0" borderId="0" xfId="57" applyNumberFormat="1" applyFont="1" applyAlignment="1" applyProtection="1">
      <alignment horizontal="left"/>
    </xf>
    <xf numFmtId="0" fontId="175" fillId="0" borderId="0" xfId="57" applyFont="1" applyAlignment="1" applyProtection="1"/>
    <xf numFmtId="180" fontId="195" fillId="0" borderId="0" xfId="0" applyNumberFormat="1" applyFont="1"/>
    <xf numFmtId="0" fontId="2" fillId="0" borderId="0" xfId="115" applyFont="1" applyAlignment="1" applyProtection="1">
      <alignment horizontal="center"/>
      <protection locked="0"/>
    </xf>
    <xf numFmtId="0" fontId="2" fillId="0" borderId="0" xfId="115" applyFont="1" applyAlignment="1">
      <alignment horizontal="left" indent="1"/>
    </xf>
    <xf numFmtId="49" fontId="2" fillId="0" borderId="0" xfId="115" applyNumberFormat="1" applyFont="1" applyAlignment="1">
      <alignment horizontal="center"/>
    </xf>
    <xf numFmtId="49" fontId="2" fillId="0" borderId="15" xfId="115" applyNumberFormat="1" applyFont="1" applyBorder="1" applyAlignment="1" applyProtection="1">
      <alignment horizontal="center"/>
      <protection locked="0"/>
    </xf>
    <xf numFmtId="0" fontId="230" fillId="0" borderId="0" xfId="69" applyFont="1" applyAlignment="1">
      <alignment wrapText="1"/>
    </xf>
    <xf numFmtId="0" fontId="2" fillId="0" borderId="0" xfId="0" applyFont="1" applyAlignment="1">
      <alignment wrapText="1"/>
    </xf>
    <xf numFmtId="0" fontId="7" fillId="8" borderId="0" xfId="94" applyFont="1" applyFill="1"/>
    <xf numFmtId="0" fontId="4" fillId="8" borderId="0" xfId="94" applyFont="1" applyFill="1"/>
    <xf numFmtId="0" fontId="4" fillId="8" borderId="0" xfId="94" applyFont="1" applyFill="1" applyProtection="1">
      <protection locked="0"/>
    </xf>
    <xf numFmtId="0" fontId="7" fillId="0" borderId="0" xfId="94" applyFont="1" applyAlignment="1" applyProtection="1">
      <alignment horizontal="center"/>
      <protection locked="0"/>
    </xf>
    <xf numFmtId="0" fontId="4" fillId="8" borderId="0" xfId="94" applyFont="1" applyFill="1" applyAlignment="1">
      <alignment horizontal="left"/>
    </xf>
    <xf numFmtId="176" fontId="7" fillId="8" borderId="0" xfId="94" applyNumberFormat="1" applyFont="1" applyFill="1"/>
    <xf numFmtId="0" fontId="7" fillId="8" borderId="0" xfId="94" applyFont="1" applyFill="1" applyAlignment="1">
      <alignment horizontal="center"/>
    </xf>
    <xf numFmtId="0" fontId="3" fillId="8" borderId="0" xfId="94" applyFont="1" applyFill="1" applyAlignment="1">
      <alignment horizontal="left" vertical="top"/>
    </xf>
    <xf numFmtId="0" fontId="226" fillId="8" borderId="0" xfId="0" applyFont="1" applyFill="1" applyAlignment="1">
      <alignment horizontal="left" vertical="top"/>
    </xf>
    <xf numFmtId="0" fontId="4" fillId="9" borderId="0" xfId="94" applyFont="1" applyFill="1"/>
    <xf numFmtId="0" fontId="7" fillId="9" borderId="0" xfId="94" applyFont="1" applyFill="1"/>
    <xf numFmtId="0" fontId="69" fillId="0" borderId="0" xfId="94" applyFont="1"/>
    <xf numFmtId="0" fontId="39" fillId="5" borderId="15" xfId="0" applyFont="1" applyFill="1" applyBorder="1" applyAlignment="1">
      <alignment wrapText="1"/>
    </xf>
    <xf numFmtId="0" fontId="4" fillId="5" borderId="15" xfId="0" applyFont="1" applyFill="1" applyBorder="1"/>
    <xf numFmtId="0" fontId="0" fillId="0" borderId="15" xfId="0" applyBorder="1"/>
    <xf numFmtId="0" fontId="15" fillId="0" borderId="0" xfId="0" applyFont="1" applyAlignment="1">
      <alignment wrapText="1"/>
    </xf>
    <xf numFmtId="0" fontId="4" fillId="0" borderId="7" xfId="0" applyFont="1" applyBorder="1"/>
    <xf numFmtId="0" fontId="0" fillId="0" borderId="1" xfId="0" applyBorder="1"/>
    <xf numFmtId="0" fontId="0" fillId="0" borderId="8" xfId="0" applyBorder="1"/>
    <xf numFmtId="0" fontId="4" fillId="0" borderId="4" xfId="0" applyFont="1" applyBorder="1"/>
    <xf numFmtId="0" fontId="4" fillId="0" borderId="15" xfId="0" applyFont="1" applyBorder="1" applyAlignment="1">
      <alignment vertical="top"/>
    </xf>
    <xf numFmtId="0" fontId="15" fillId="0" borderId="0" xfId="0" applyFont="1" applyAlignment="1">
      <alignment vertical="top" wrapText="1"/>
    </xf>
    <xf numFmtId="0" fontId="2" fillId="5" borderId="15" xfId="0" applyFont="1" applyFill="1" applyBorder="1" applyAlignment="1">
      <alignment vertical="top" wrapText="1"/>
    </xf>
    <xf numFmtId="0" fontId="231" fillId="0" borderId="0" xfId="0" applyFont="1" applyAlignment="1">
      <alignment vertical="center"/>
    </xf>
    <xf numFmtId="0" fontId="2" fillId="6" borderId="0" xfId="0" applyFont="1" applyFill="1" applyAlignment="1">
      <alignment wrapText="1"/>
    </xf>
    <xf numFmtId="0" fontId="15" fillId="5" borderId="15" xfId="0" applyFont="1" applyFill="1" applyBorder="1" applyAlignment="1">
      <alignment wrapText="1"/>
    </xf>
    <xf numFmtId="0" fontId="2" fillId="5" borderId="15" xfId="0" applyFont="1" applyFill="1" applyBorder="1" applyAlignment="1">
      <alignment wrapText="1"/>
    </xf>
    <xf numFmtId="0" fontId="2" fillId="6" borderId="4" xfId="0" applyFont="1" applyFill="1" applyBorder="1" applyAlignment="1">
      <alignment wrapText="1"/>
    </xf>
    <xf numFmtId="0" fontId="232" fillId="0" borderId="0" xfId="0" applyFont="1" applyAlignment="1">
      <alignment vertical="center" wrapText="1"/>
    </xf>
    <xf numFmtId="0" fontId="2" fillId="19" borderId="15" xfId="0" applyFont="1" applyFill="1" applyBorder="1" applyAlignment="1">
      <alignment wrapText="1"/>
    </xf>
    <xf numFmtId="0" fontId="2" fillId="0" borderId="1" xfId="0" applyFont="1" applyBorder="1"/>
    <xf numFmtId="0" fontId="0" fillId="0" borderId="9" xfId="0" applyBorder="1"/>
    <xf numFmtId="0" fontId="0" fillId="0" borderId="11" xfId="0" applyBorder="1" applyAlignment="1">
      <alignment vertical="top" wrapText="1"/>
    </xf>
    <xf numFmtId="0" fontId="0" fillId="0" borderId="13" xfId="0" applyBorder="1"/>
    <xf numFmtId="0" fontId="257" fillId="0" borderId="0" xfId="61" applyAlignment="1" applyProtection="1"/>
    <xf numFmtId="0" fontId="2" fillId="0" borderId="12" xfId="0" applyFont="1" applyBorder="1" applyAlignment="1">
      <alignment wrapText="1"/>
    </xf>
    <xf numFmtId="0" fontId="2" fillId="0" borderId="10" xfId="0" applyFont="1" applyBorder="1" applyAlignment="1">
      <alignment wrapText="1"/>
    </xf>
    <xf numFmtId="14" fontId="2" fillId="0" borderId="0" xfId="0" applyNumberFormat="1" applyFont="1" applyAlignment="1">
      <alignment wrapText="1"/>
    </xf>
    <xf numFmtId="0" fontId="2" fillId="0" borderId="0" xfId="0" applyFont="1" applyAlignment="1">
      <alignment vertical="center" wrapText="1"/>
    </xf>
    <xf numFmtId="0" fontId="2" fillId="0" borderId="4" xfId="0" applyFont="1" applyBorder="1" applyAlignment="1">
      <alignment wrapText="1"/>
    </xf>
    <xf numFmtId="0" fontId="177" fillId="0" borderId="0" xfId="0" applyFont="1"/>
    <xf numFmtId="0" fontId="39" fillId="5" borderId="15" xfId="0" applyFont="1" applyFill="1" applyBorder="1"/>
    <xf numFmtId="0" fontId="177" fillId="0" borderId="1" xfId="0" applyFont="1" applyBorder="1"/>
    <xf numFmtId="0" fontId="4" fillId="5" borderId="7" xfId="0" applyFont="1" applyFill="1" applyBorder="1"/>
    <xf numFmtId="0" fontId="0" fillId="0" borderId="4" xfId="0" applyBorder="1"/>
    <xf numFmtId="0" fontId="0" fillId="0" borderId="12" xfId="0" applyBorder="1"/>
    <xf numFmtId="0" fontId="115" fillId="0" borderId="0" xfId="0" applyFont="1"/>
    <xf numFmtId="0" fontId="4" fillId="0" borderId="8" xfId="0" applyFont="1" applyBorder="1"/>
    <xf numFmtId="0" fontId="115" fillId="0" borderId="1" xfId="0" applyFont="1" applyBorder="1"/>
    <xf numFmtId="0" fontId="176" fillId="0" borderId="0" xfId="0" applyFont="1"/>
    <xf numFmtId="0" fontId="4" fillId="5" borderId="5" xfId="0" applyFont="1" applyFill="1" applyBorder="1"/>
    <xf numFmtId="0" fontId="176" fillId="5" borderId="15" xfId="0" applyFont="1" applyFill="1" applyBorder="1"/>
    <xf numFmtId="0" fontId="4" fillId="5" borderId="15" xfId="0" applyFont="1" applyFill="1" applyBorder="1" applyAlignment="1">
      <alignment vertical="top" wrapText="1"/>
    </xf>
    <xf numFmtId="0" fontId="4" fillId="5" borderId="0" xfId="0" applyFont="1" applyFill="1" applyAlignment="1">
      <alignment wrapText="1"/>
    </xf>
    <xf numFmtId="49" fontId="2" fillId="0" borderId="1" xfId="115" applyNumberFormat="1" applyFont="1" applyBorder="1" applyAlignment="1" applyProtection="1">
      <alignment horizontal="center"/>
      <protection locked="0"/>
    </xf>
    <xf numFmtId="0" fontId="48" fillId="0" borderId="0" xfId="81" applyFont="1" applyAlignment="1">
      <alignment horizontal="right"/>
    </xf>
    <xf numFmtId="0" fontId="18" fillId="0" borderId="0" xfId="101" applyFont="1" applyAlignment="1">
      <alignment horizontal="center"/>
    </xf>
    <xf numFmtId="0" fontId="64" fillId="0" borderId="0" xfId="0" applyFont="1" applyProtection="1">
      <protection locked="0"/>
    </xf>
    <xf numFmtId="0" fontId="15" fillId="7" borderId="29" xfId="0" applyFont="1" applyFill="1" applyBorder="1"/>
    <xf numFmtId="0" fontId="23" fillId="7" borderId="45" xfId="0" applyFont="1" applyFill="1" applyBorder="1"/>
    <xf numFmtId="49" fontId="2" fillId="0" borderId="4" xfId="115" applyNumberFormat="1" applyFont="1" applyBorder="1" applyAlignment="1" applyProtection="1">
      <alignment horizontal="center"/>
      <protection locked="0"/>
    </xf>
    <xf numFmtId="0" fontId="12" fillId="0" borderId="1" xfId="115" applyFont="1" applyBorder="1" applyAlignment="1" applyProtection="1">
      <alignment horizontal="center"/>
      <protection locked="0"/>
    </xf>
    <xf numFmtId="176" fontId="12" fillId="0" borderId="22" xfId="0" applyNumberFormat="1" applyFont="1" applyBorder="1" applyProtection="1">
      <protection locked="0"/>
    </xf>
    <xf numFmtId="0" fontId="7" fillId="0" borderId="0" xfId="92" applyFont="1" applyAlignment="1">
      <alignment vertical="top" wrapText="1"/>
    </xf>
    <xf numFmtId="0" fontId="2" fillId="0" borderId="0" xfId="92" applyFont="1"/>
    <xf numFmtId="39" fontId="2" fillId="0" borderId="2" xfId="92" applyNumberFormat="1" applyFont="1" applyBorder="1" applyAlignment="1" applyProtection="1">
      <alignment vertical="top" wrapText="1"/>
      <protection locked="0"/>
    </xf>
    <xf numFmtId="39" fontId="7" fillId="0" borderId="2" xfId="92" applyNumberFormat="1" applyFont="1" applyBorder="1" applyAlignment="1" applyProtection="1">
      <alignment vertical="top" wrapText="1"/>
      <protection locked="0"/>
    </xf>
    <xf numFmtId="181" fontId="96" fillId="2" borderId="0" xfId="126" applyFont="1" applyFill="1" applyAlignment="1">
      <alignment horizontal="center"/>
    </xf>
    <xf numFmtId="180" fontId="233" fillId="18" borderId="46" xfId="0" applyNumberFormat="1" applyFont="1" applyFill="1" applyBorder="1"/>
    <xf numFmtId="0" fontId="233" fillId="18" borderId="16" xfId="0" applyFont="1" applyFill="1" applyBorder="1"/>
    <xf numFmtId="180" fontId="233" fillId="18" borderId="16" xfId="0" applyNumberFormat="1" applyFont="1" applyFill="1" applyBorder="1"/>
    <xf numFmtId="0" fontId="233" fillId="18" borderId="47" xfId="0" applyFont="1" applyFill="1" applyBorder="1"/>
    <xf numFmtId="0" fontId="234" fillId="18" borderId="5" xfId="0" applyFont="1" applyFill="1" applyBorder="1"/>
    <xf numFmtId="0" fontId="234" fillId="18" borderId="6" xfId="0" applyFont="1" applyFill="1" applyBorder="1"/>
    <xf numFmtId="0" fontId="234" fillId="18" borderId="7" xfId="0" applyFont="1" applyFill="1" applyBorder="1"/>
    <xf numFmtId="0" fontId="12" fillId="9" borderId="0" xfId="95" applyFill="1"/>
    <xf numFmtId="49" fontId="195" fillId="8" borderId="8" xfId="0" applyNumberFormat="1" applyFont="1" applyFill="1" applyBorder="1"/>
    <xf numFmtId="0" fontId="235" fillId="18" borderId="0" xfId="0" applyFont="1" applyFill="1" applyAlignment="1">
      <alignment horizontal="right"/>
    </xf>
    <xf numFmtId="0" fontId="236" fillId="18" borderId="0" xfId="57" applyFont="1" applyFill="1" applyAlignment="1" applyProtection="1">
      <alignment horizontal="center"/>
    </xf>
    <xf numFmtId="0" fontId="237" fillId="18" borderId="0" xfId="0" applyFont="1" applyFill="1" applyAlignment="1">
      <alignment horizontal="right"/>
    </xf>
    <xf numFmtId="0" fontId="236" fillId="18" borderId="0" xfId="0" applyFont="1" applyFill="1" applyAlignment="1">
      <alignment horizontal="center"/>
    </xf>
    <xf numFmtId="9" fontId="238" fillId="18" borderId="0" xfId="0" applyNumberFormat="1" applyFont="1" applyFill="1"/>
    <xf numFmtId="0" fontId="236" fillId="18" borderId="0" xfId="0" applyFont="1" applyFill="1" applyAlignment="1">
      <alignment horizontal="center" wrapText="1"/>
    </xf>
    <xf numFmtId="42" fontId="238" fillId="18" borderId="0" xfId="0" applyNumberFormat="1" applyFont="1" applyFill="1" applyAlignment="1">
      <alignment horizontal="right"/>
    </xf>
    <xf numFmtId="0" fontId="239" fillId="18" borderId="0" xfId="0" applyFont="1" applyFill="1" applyAlignment="1">
      <alignment horizontal="center"/>
    </xf>
    <xf numFmtId="0" fontId="238" fillId="18" borderId="0" xfId="0" applyFont="1" applyFill="1" applyAlignment="1">
      <alignment horizontal="right"/>
    </xf>
    <xf numFmtId="0" fontId="2" fillId="0" borderId="1" xfId="0" applyFont="1" applyBorder="1" applyProtection="1">
      <protection locked="0"/>
    </xf>
    <xf numFmtId="0" fontId="2" fillId="0" borderId="4" xfId="0" applyFont="1" applyBorder="1" applyProtection="1">
      <protection locked="0"/>
    </xf>
    <xf numFmtId="0" fontId="2" fillId="0" borderId="20" xfId="0" applyFont="1" applyBorder="1" applyAlignment="1" applyProtection="1">
      <alignment horizontal="center"/>
      <protection locked="0"/>
    </xf>
    <xf numFmtId="0" fontId="3" fillId="0" borderId="0" xfId="107" applyFont="1" applyAlignment="1">
      <alignment horizontal="right"/>
    </xf>
    <xf numFmtId="0" fontId="4" fillId="0" borderId="0" xfId="110" applyFont="1" applyAlignment="1">
      <alignment horizontal="right"/>
    </xf>
    <xf numFmtId="0" fontId="2" fillId="0" borderId="0" xfId="110" applyFont="1"/>
    <xf numFmtId="0" fontId="2" fillId="8" borderId="0" xfId="110" applyFont="1" applyFill="1"/>
    <xf numFmtId="176" fontId="2" fillId="0" borderId="0" xfId="110" applyNumberFormat="1" applyFont="1"/>
    <xf numFmtId="175" fontId="2" fillId="0" borderId="0" xfId="110" applyNumberFormat="1" applyFont="1"/>
    <xf numFmtId="0" fontId="2" fillId="0" borderId="0" xfId="110" applyFont="1" applyProtection="1">
      <protection hidden="1"/>
    </xf>
    <xf numFmtId="0" fontId="2" fillId="0" borderId="1" xfId="110" applyFont="1" applyBorder="1" applyAlignment="1">
      <alignment horizontal="center"/>
    </xf>
    <xf numFmtId="0" fontId="2" fillId="0" borderId="0" xfId="110" applyFont="1" applyAlignment="1">
      <alignment horizontal="center"/>
    </xf>
    <xf numFmtId="176" fontId="2" fillId="0" borderId="1" xfId="110" applyNumberFormat="1" applyFont="1" applyBorder="1" applyProtection="1">
      <protection locked="0"/>
    </xf>
    <xf numFmtId="176" fontId="2" fillId="0" borderId="2" xfId="110" applyNumberFormat="1" applyFont="1" applyBorder="1"/>
    <xf numFmtId="0" fontId="47" fillId="0" borderId="0" xfId="81" applyFont="1" applyAlignment="1">
      <alignment horizontal="left"/>
    </xf>
    <xf numFmtId="0" fontId="120" fillId="0" borderId="0" xfId="81" applyFont="1"/>
    <xf numFmtId="168" fontId="2" fillId="0" borderId="0" xfId="85" applyFont="1" applyAlignment="1" applyProtection="1">
      <alignment horizontal="right"/>
    </xf>
    <xf numFmtId="0" fontId="10" fillId="0" borderId="0" xfId="0" applyFont="1" applyAlignment="1" applyProtection="1">
      <alignment wrapText="1"/>
      <protection hidden="1"/>
    </xf>
    <xf numFmtId="0" fontId="5" fillId="0" borderId="0" xfId="81" applyFont="1"/>
    <xf numFmtId="0" fontId="11" fillId="0" borderId="0" xfId="81" applyFont="1"/>
    <xf numFmtId="0" fontId="178" fillId="0" borderId="0" xfId="81" applyFont="1"/>
    <xf numFmtId="0" fontId="15" fillId="0" borderId="0" xfId="95" applyFont="1" applyAlignment="1">
      <alignment vertical="top"/>
    </xf>
    <xf numFmtId="180" fontId="0" fillId="0" borderId="3" xfId="0" applyNumberFormat="1" applyBorder="1"/>
    <xf numFmtId="39" fontId="7" fillId="0" borderId="0" xfId="92" applyNumberFormat="1" applyFont="1" applyAlignment="1" applyProtection="1">
      <alignment vertical="top" wrapText="1"/>
      <protection locked="0"/>
    </xf>
    <xf numFmtId="0" fontId="2" fillId="0" borderId="0" xfId="92" applyFont="1" applyAlignment="1">
      <alignment vertical="top" wrapText="1"/>
    </xf>
    <xf numFmtId="0" fontId="176" fillId="4" borderId="20" xfId="0" applyFont="1" applyFill="1" applyBorder="1"/>
    <xf numFmtId="0" fontId="265" fillId="0" borderId="0" xfId="0" applyFont="1"/>
    <xf numFmtId="0" fontId="4" fillId="52" borderId="15" xfId="0" applyFont="1" applyFill="1" applyBorder="1"/>
    <xf numFmtId="0" fontId="266" fillId="0" borderId="0" xfId="0" applyFont="1"/>
    <xf numFmtId="0" fontId="4" fillId="53" borderId="15" xfId="0" applyFont="1" applyFill="1" applyBorder="1"/>
    <xf numFmtId="0" fontId="111" fillId="54" borderId="46" xfId="0" applyFont="1" applyFill="1" applyBorder="1"/>
    <xf numFmtId="0" fontId="15" fillId="54" borderId="16" xfId="0" applyFont="1" applyFill="1" applyBorder="1" applyAlignment="1">
      <alignment horizontal="right"/>
    </xf>
    <xf numFmtId="180" fontId="116" fillId="54" borderId="16" xfId="0" applyNumberFormat="1" applyFont="1" applyFill="1" applyBorder="1" applyAlignment="1">
      <alignment horizontal="center"/>
    </xf>
    <xf numFmtId="180" fontId="116" fillId="54" borderId="47" xfId="0" applyNumberFormat="1" applyFont="1" applyFill="1" applyBorder="1" applyAlignment="1">
      <alignment horizontal="center"/>
    </xf>
    <xf numFmtId="49" fontId="44" fillId="0" borderId="0" xfId="89" applyNumberFormat="1" applyFont="1" applyAlignment="1" applyProtection="1">
      <alignment horizontal="left"/>
      <protection locked="0"/>
    </xf>
    <xf numFmtId="190" fontId="12" fillId="0" borderId="0" xfId="89" applyNumberFormat="1" applyAlignment="1" applyProtection="1">
      <alignment horizontal="right"/>
      <protection locked="0"/>
    </xf>
    <xf numFmtId="49" fontId="44" fillId="0" borderId="0" xfId="89" applyNumberFormat="1" applyFont="1" applyAlignment="1" applyProtection="1">
      <alignment horizontal="center"/>
      <protection locked="0"/>
    </xf>
    <xf numFmtId="176" fontId="7" fillId="0" borderId="14" xfId="84" applyNumberFormat="1" applyFont="1" applyBorder="1"/>
    <xf numFmtId="0" fontId="3" fillId="0" borderId="0" xfId="101" applyFont="1" applyAlignment="1">
      <alignment horizontal="center"/>
    </xf>
    <xf numFmtId="0" fontId="2" fillId="0" borderId="0" xfId="101" applyFont="1" applyAlignment="1">
      <alignment horizontal="center"/>
    </xf>
    <xf numFmtId="0" fontId="28" fillId="0" borderId="2" xfId="101" applyFont="1" applyBorder="1" applyAlignment="1">
      <alignment horizontal="center"/>
    </xf>
    <xf numFmtId="0" fontId="71" fillId="0" borderId="0" xfId="101" applyFont="1"/>
    <xf numFmtId="0" fontId="71" fillId="0" borderId="0" xfId="101" applyFont="1" applyAlignment="1">
      <alignment horizontal="centerContinuous"/>
    </xf>
    <xf numFmtId="0" fontId="71" fillId="0" borderId="0" xfId="101" applyFont="1" applyAlignment="1">
      <alignment horizontal="center"/>
    </xf>
    <xf numFmtId="0" fontId="71" fillId="0" borderId="0" xfId="101" applyFont="1" applyAlignment="1">
      <alignment horizontal="left"/>
    </xf>
    <xf numFmtId="0" fontId="15" fillId="0" borderId="0" xfId="101" applyFont="1" applyAlignment="1">
      <alignment horizontal="center"/>
    </xf>
    <xf numFmtId="0" fontId="71" fillId="0" borderId="1" xfId="101" applyFont="1" applyBorder="1" applyAlignment="1">
      <alignment horizontal="centerContinuous"/>
    </xf>
    <xf numFmtId="14" fontId="71" fillId="0" borderId="1" xfId="101" applyNumberFormat="1" applyFont="1" applyBorder="1" applyAlignment="1">
      <alignment horizontal="center"/>
    </xf>
    <xf numFmtId="0" fontId="71" fillId="0" borderId="1" xfId="101" applyFont="1" applyBorder="1" applyAlignment="1">
      <alignment horizontal="center"/>
    </xf>
    <xf numFmtId="1" fontId="15" fillId="0" borderId="0" xfId="101" applyNumberFormat="1" applyFont="1" applyAlignment="1">
      <alignment horizontal="center"/>
    </xf>
    <xf numFmtId="0" fontId="14" fillId="0" borderId="0" xfId="101" applyFont="1" applyAlignment="1">
      <alignment horizontal="center"/>
    </xf>
    <xf numFmtId="176" fontId="15" fillId="0" borderId="0" xfId="101" applyNumberFormat="1" applyFont="1"/>
    <xf numFmtId="1" fontId="71" fillId="54" borderId="0" xfId="101" applyNumberFormat="1" applyFont="1" applyFill="1" applyAlignment="1">
      <alignment horizontal="center"/>
    </xf>
    <xf numFmtId="176" fontId="15" fillId="0" borderId="0" xfId="39" applyNumberFormat="1" applyFont="1"/>
    <xf numFmtId="176" fontId="2" fillId="3" borderId="1" xfId="84" applyNumberFormat="1" applyFont="1" applyFill="1" applyBorder="1"/>
    <xf numFmtId="176" fontId="15" fillId="0" borderId="0" xfId="39" applyNumberFormat="1" applyFont="1" applyProtection="1">
      <protection locked="0"/>
    </xf>
    <xf numFmtId="49" fontId="15" fillId="0" borderId="1" xfId="39" applyNumberFormat="1" applyFont="1" applyBorder="1" applyProtection="1">
      <protection locked="0"/>
    </xf>
    <xf numFmtId="176" fontId="15" fillId="0" borderId="4" xfId="39" applyNumberFormat="1" applyFont="1" applyBorder="1" applyProtection="1">
      <protection locked="0"/>
    </xf>
    <xf numFmtId="1" fontId="71" fillId="0" borderId="0" xfId="101" applyNumberFormat="1" applyFont="1" applyAlignment="1">
      <alignment horizontal="right"/>
    </xf>
    <xf numFmtId="0" fontId="4" fillId="0" borderId="0" xfId="88" applyFont="1" applyAlignment="1">
      <alignment horizontal="left"/>
    </xf>
    <xf numFmtId="49" fontId="15" fillId="0" borderId="0" xfId="39" applyNumberFormat="1" applyFont="1"/>
    <xf numFmtId="176" fontId="15" fillId="0" borderId="3" xfId="39" applyNumberFormat="1" applyFont="1" applyBorder="1"/>
    <xf numFmtId="0" fontId="15" fillId="0" borderId="0" xfId="101" applyFont="1" applyProtection="1">
      <protection hidden="1"/>
    </xf>
    <xf numFmtId="0" fontId="2" fillId="0" borderId="0" xfId="0" applyFont="1" applyAlignment="1">
      <alignment horizontal="left" vertical="center" indent="1"/>
    </xf>
    <xf numFmtId="0" fontId="267" fillId="0" borderId="0" xfId="0" applyFont="1"/>
    <xf numFmtId="176" fontId="2" fillId="3" borderId="0" xfId="84" applyNumberFormat="1" applyFont="1" applyFill="1"/>
    <xf numFmtId="168" fontId="2" fillId="0" borderId="0" xfId="83" applyFont="1" applyAlignment="1" applyProtection="1">
      <alignment horizontal="left"/>
    </xf>
    <xf numFmtId="0" fontId="163" fillId="0" borderId="15" xfId="119" applyFont="1" applyBorder="1" applyAlignment="1" applyProtection="1">
      <alignment horizontal="center"/>
      <protection locked="0"/>
    </xf>
    <xf numFmtId="176" fontId="2" fillId="0" borderId="8" xfId="81" applyNumberFormat="1" applyFont="1" applyBorder="1" applyProtection="1">
      <protection locked="0"/>
    </xf>
    <xf numFmtId="49" fontId="119" fillId="0" borderId="0" xfId="0" applyNumberFormat="1" applyFont="1"/>
    <xf numFmtId="49" fontId="175" fillId="0" borderId="0" xfId="57" applyNumberFormat="1" applyFont="1" applyAlignment="1" applyProtection="1"/>
    <xf numFmtId="0" fontId="119" fillId="0" borderId="1" xfId="0" applyFont="1" applyBorder="1" applyAlignment="1" applyProtection="1">
      <alignment horizontal="center"/>
      <protection locked="0"/>
    </xf>
    <xf numFmtId="0" fontId="163" fillId="8" borderId="23" xfId="119" applyFont="1" applyFill="1" applyBorder="1" applyAlignment="1" applyProtection="1">
      <alignment horizontal="center"/>
      <protection locked="0"/>
    </xf>
    <xf numFmtId="0" fontId="146" fillId="54" borderId="0" xfId="119" applyFont="1" applyFill="1"/>
    <xf numFmtId="0" fontId="201" fillId="0" borderId="23" xfId="119" applyFont="1" applyBorder="1" applyAlignment="1">
      <alignment horizontal="center" vertical="top" wrapText="1"/>
    </xf>
    <xf numFmtId="0" fontId="198" fillId="0" borderId="0" xfId="119" applyFont="1" applyAlignment="1" applyProtection="1">
      <alignment vertical="top" wrapText="1"/>
      <protection locked="0"/>
    </xf>
    <xf numFmtId="0" fontId="202" fillId="0" borderId="15" xfId="57" applyFont="1" applyBorder="1" applyAlignment="1" applyProtection="1">
      <alignment horizontal="center" vertical="center" wrapText="1"/>
    </xf>
    <xf numFmtId="0" fontId="202" fillId="0" borderId="15" xfId="57" applyFont="1" applyBorder="1" applyAlignment="1" applyProtection="1">
      <alignment horizontal="center" vertical="center"/>
    </xf>
    <xf numFmtId="0" fontId="268" fillId="0" borderId="0" xfId="0" applyFont="1" applyAlignment="1">
      <alignment horizontal="center"/>
    </xf>
    <xf numFmtId="0" fontId="10" fillId="0" borderId="0" xfId="119" applyFont="1" applyProtection="1">
      <protection locked="0"/>
    </xf>
    <xf numFmtId="0" fontId="246" fillId="0" borderId="0" xfId="0" applyFont="1" applyProtection="1">
      <protection locked="0"/>
    </xf>
    <xf numFmtId="0" fontId="28" fillId="0" borderId="0" xfId="101" applyFont="1" applyAlignment="1" applyProtection="1">
      <alignment horizontal="center"/>
      <protection locked="0"/>
    </xf>
    <xf numFmtId="0" fontId="10" fillId="0" borderId="0" xfId="0" quotePrefix="1" applyFont="1" applyAlignment="1" applyProtection="1">
      <alignment horizontal="center"/>
      <protection hidden="1"/>
    </xf>
    <xf numFmtId="0" fontId="0" fillId="0" borderId="0" xfId="0" applyAlignment="1" applyProtection="1">
      <alignment wrapText="1"/>
      <protection locked="0"/>
    </xf>
    <xf numFmtId="0" fontId="163" fillId="0" borderId="15" xfId="119" applyFont="1" applyBorder="1" applyAlignment="1" applyProtection="1">
      <alignment horizontal="center" vertical="top" wrapText="1"/>
      <protection locked="0"/>
    </xf>
    <xf numFmtId="0" fontId="163" fillId="0" borderId="23" xfId="119" applyFont="1" applyBorder="1" applyAlignment="1" applyProtection="1">
      <alignment horizontal="center"/>
      <protection locked="0"/>
    </xf>
    <xf numFmtId="0" fontId="163" fillId="0" borderId="23" xfId="119" applyFont="1" applyBorder="1" applyAlignment="1" applyProtection="1">
      <alignment horizontal="center" vertical="top" wrapText="1"/>
      <protection locked="0"/>
    </xf>
    <xf numFmtId="0" fontId="246" fillId="0" borderId="0" xfId="0" applyFont="1" applyAlignment="1" applyProtection="1">
      <alignment horizontal="left"/>
      <protection locked="0"/>
    </xf>
    <xf numFmtId="195" fontId="246" fillId="0" borderId="0" xfId="0" applyNumberFormat="1" applyFont="1" applyAlignment="1" applyProtection="1">
      <alignment horizontal="center"/>
      <protection locked="0"/>
    </xf>
    <xf numFmtId="164" fontId="81" fillId="0" borderId="0" xfId="57" applyNumberFormat="1" applyFont="1" applyAlignment="1" applyProtection="1">
      <alignment horizontal="center"/>
    </xf>
    <xf numFmtId="0" fontId="76" fillId="0" borderId="2" xfId="0" applyFont="1" applyBorder="1" applyAlignment="1" applyProtection="1">
      <alignment horizontal="center"/>
      <protection locked="0"/>
    </xf>
    <xf numFmtId="0" fontId="76" fillId="0" borderId="2" xfId="0" applyFont="1" applyBorder="1" applyAlignment="1" applyProtection="1">
      <alignment horizontal="center" wrapText="1"/>
      <protection locked="0"/>
    </xf>
    <xf numFmtId="49" fontId="246" fillId="0" borderId="0" xfId="0" applyNumberFormat="1" applyFont="1" applyAlignment="1" applyProtection="1">
      <alignment horizontal="center"/>
      <protection locked="0"/>
    </xf>
    <xf numFmtId="14" fontId="246" fillId="0" borderId="0" xfId="0" applyNumberFormat="1" applyFont="1" applyAlignment="1" applyProtection="1">
      <alignment horizontal="center"/>
      <protection locked="0"/>
    </xf>
    <xf numFmtId="0" fontId="246" fillId="0" borderId="0" xfId="0"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wrapText="1"/>
      <protection locked="0"/>
    </xf>
    <xf numFmtId="14" fontId="0" fillId="0" borderId="0" xfId="0" applyNumberFormat="1" applyAlignment="1" applyProtection="1">
      <alignment horizontal="center" wrapText="1"/>
      <protection locked="0"/>
    </xf>
    <xf numFmtId="0" fontId="246" fillId="0" borderId="0" xfId="0" applyFont="1" applyAlignment="1" applyProtection="1">
      <alignment horizontal="center" wrapText="1"/>
      <protection locked="0"/>
    </xf>
    <xf numFmtId="0" fontId="246" fillId="0" borderId="0" xfId="0" applyFont="1" applyAlignment="1" applyProtection="1">
      <alignment horizontal="center" vertical="top" wrapText="1"/>
      <protection locked="0"/>
    </xf>
    <xf numFmtId="0" fontId="2" fillId="0" borderId="4" xfId="0" applyFont="1" applyBorder="1" applyAlignment="1" applyProtection="1">
      <alignment horizontal="center"/>
      <protection locked="0"/>
    </xf>
    <xf numFmtId="176" fontId="2" fillId="0" borderId="1" xfId="0" applyNumberFormat="1" applyFont="1" applyBorder="1" applyProtection="1">
      <protection locked="0"/>
    </xf>
    <xf numFmtId="0" fontId="119" fillId="0" borderId="4" xfId="0" applyFont="1" applyBorder="1" applyAlignment="1" applyProtection="1">
      <alignment horizontal="center"/>
      <protection locked="0"/>
    </xf>
    <xf numFmtId="14" fontId="2" fillId="0" borderId="1" xfId="0" applyNumberFormat="1" applyFont="1" applyBorder="1" applyAlignment="1" applyProtection="1">
      <alignment horizontal="center"/>
      <protection locked="0"/>
    </xf>
    <xf numFmtId="49" fontId="119" fillId="4" borderId="32" xfId="0" applyNumberFormat="1" applyFont="1" applyFill="1" applyBorder="1" applyAlignment="1">
      <alignment vertical="top" wrapText="1"/>
    </xf>
    <xf numFmtId="0" fontId="0" fillId="0" borderId="0" xfId="0" applyAlignment="1">
      <alignment horizontal="center" vertical="top"/>
    </xf>
    <xf numFmtId="0" fontId="0" fillId="0" borderId="0" xfId="0" quotePrefix="1"/>
    <xf numFmtId="0" fontId="0" fillId="0" borderId="0" xfId="0" applyAlignment="1">
      <alignment horizontal="right"/>
    </xf>
    <xf numFmtId="196" fontId="0" fillId="0" borderId="0" xfId="0" applyNumberFormat="1"/>
    <xf numFmtId="0" fontId="94" fillId="0" borderId="15" xfId="57" applyFont="1" applyBorder="1" applyAlignment="1" applyProtection="1">
      <alignment horizontal="center"/>
    </xf>
    <xf numFmtId="5" fontId="0" fillId="0" borderId="0" xfId="0" applyNumberFormat="1"/>
    <xf numFmtId="0" fontId="2" fillId="0" borderId="0" xfId="0" applyFont="1" applyAlignment="1">
      <alignment horizontal="right"/>
    </xf>
    <xf numFmtId="164" fontId="2" fillId="0" borderId="0" xfId="106" applyNumberFormat="1" applyFont="1" applyAlignment="1">
      <alignment horizontal="center"/>
    </xf>
    <xf numFmtId="164" fontId="2" fillId="0" borderId="0" xfId="106" quotePrefix="1" applyNumberFormat="1" applyFont="1" applyAlignment="1">
      <alignment horizontal="center"/>
    </xf>
    <xf numFmtId="164" fontId="2" fillId="0" borderId="2" xfId="106" applyNumberFormat="1" applyFont="1" applyBorder="1" applyAlignment="1">
      <alignment horizontal="center"/>
    </xf>
    <xf numFmtId="164" fontId="2" fillId="0" borderId="18" xfId="106" applyNumberFormat="1" applyFont="1" applyBorder="1" applyAlignment="1">
      <alignment horizontal="center"/>
    </xf>
    <xf numFmtId="176" fontId="2" fillId="0" borderId="1" xfId="104" applyNumberFormat="1" applyFont="1" applyBorder="1" applyProtection="1">
      <protection locked="0"/>
    </xf>
    <xf numFmtId="164" fontId="12" fillId="0" borderId="0" xfId="106" applyNumberFormat="1" applyFont="1" applyAlignment="1">
      <alignment horizontal="right"/>
    </xf>
    <xf numFmtId="164" fontId="12" fillId="0" borderId="1" xfId="106" applyNumberFormat="1" applyFont="1" applyBorder="1" applyProtection="1">
      <protection locked="0"/>
    </xf>
    <xf numFmtId="175" fontId="12" fillId="0" borderId="1" xfId="106" applyNumberFormat="1" applyFont="1" applyBorder="1" applyProtection="1">
      <protection locked="0"/>
    </xf>
    <xf numFmtId="164" fontId="15" fillId="0" borderId="1" xfId="106" applyNumberFormat="1" applyFont="1" applyBorder="1" applyProtection="1">
      <protection locked="0"/>
    </xf>
    <xf numFmtId="164" fontId="12" fillId="0" borderId="4" xfId="106" applyNumberFormat="1" applyFont="1" applyBorder="1" applyProtection="1">
      <protection locked="0"/>
    </xf>
    <xf numFmtId="175" fontId="12" fillId="0" borderId="4" xfId="106" applyNumberFormat="1" applyFont="1" applyBorder="1" applyProtection="1">
      <protection locked="0"/>
    </xf>
    <xf numFmtId="164" fontId="15" fillId="0" borderId="4" xfId="106" applyNumberFormat="1" applyFont="1" applyBorder="1" applyProtection="1">
      <protection locked="0"/>
    </xf>
    <xf numFmtId="176" fontId="2" fillId="0" borderId="4" xfId="104" applyNumberFormat="1" applyFont="1" applyBorder="1" applyProtection="1">
      <protection locked="0"/>
    </xf>
    <xf numFmtId="164" fontId="12" fillId="0" borderId="8" xfId="106" applyNumberFormat="1" applyFont="1" applyBorder="1" applyAlignment="1">
      <alignment horizontal="center"/>
    </xf>
    <xf numFmtId="176" fontId="2" fillId="0" borderId="0" xfId="104" applyNumberFormat="1" applyFont="1"/>
    <xf numFmtId="164" fontId="12" fillId="0" borderId="8" xfId="106" applyNumberFormat="1" applyFont="1" applyBorder="1"/>
    <xf numFmtId="164" fontId="4" fillId="0" borderId="0" xfId="106" applyNumberFormat="1" applyFont="1" applyAlignment="1">
      <alignment horizontal="center"/>
    </xf>
    <xf numFmtId="164" fontId="12" fillId="0" borderId="2" xfId="106" applyNumberFormat="1" applyFont="1" applyBorder="1"/>
    <xf numFmtId="164" fontId="12" fillId="0" borderId="16" xfId="106" applyNumberFormat="1" applyFont="1" applyBorder="1" applyAlignment="1">
      <alignment horizontal="center"/>
    </xf>
    <xf numFmtId="164" fontId="12" fillId="0" borderId="2" xfId="106" applyNumberFormat="1" applyFont="1" applyBorder="1" applyAlignment="1">
      <alignment horizontal="center"/>
    </xf>
    <xf numFmtId="164" fontId="12" fillId="0" borderId="0" xfId="106" applyNumberFormat="1" applyFont="1" applyAlignment="1">
      <alignment horizontal="center"/>
    </xf>
    <xf numFmtId="176" fontId="2" fillId="0" borderId="8" xfId="104" applyNumberFormat="1" applyFont="1" applyBorder="1"/>
    <xf numFmtId="168" fontId="265" fillId="0" borderId="0" xfId="0" applyNumberFormat="1" applyFont="1"/>
    <xf numFmtId="0" fontId="2" fillId="0" borderId="0" xfId="91" applyFont="1" applyAlignment="1">
      <alignment horizontal="right"/>
    </xf>
    <xf numFmtId="0" fontId="2" fillId="0" borderId="0" xfId="91" applyFont="1"/>
    <xf numFmtId="0" fontId="119" fillId="0" borderId="0" xfId="0" applyFont="1" applyAlignment="1">
      <alignment horizontal="left"/>
    </xf>
    <xf numFmtId="49" fontId="10" fillId="55" borderId="0" xfId="0" applyNumberFormat="1" applyFont="1" applyFill="1" applyAlignment="1" applyProtection="1">
      <alignment horizontal="center"/>
      <protection hidden="1"/>
    </xf>
    <xf numFmtId="0" fontId="10" fillId="55" borderId="0" xfId="0" applyFont="1" applyFill="1" applyProtection="1">
      <protection hidden="1"/>
    </xf>
    <xf numFmtId="0" fontId="0" fillId="55" borderId="0" xfId="0" applyFill="1"/>
    <xf numFmtId="0" fontId="78" fillId="55" borderId="0" xfId="0" applyFont="1" applyFill="1" applyProtection="1">
      <protection hidden="1"/>
    </xf>
    <xf numFmtId="49" fontId="10" fillId="56" borderId="0" xfId="77" applyNumberFormat="1" applyFont="1" applyFill="1" applyAlignment="1" applyProtection="1">
      <alignment horizontal="center"/>
      <protection hidden="1"/>
    </xf>
    <xf numFmtId="168" fontId="78" fillId="56" borderId="0" xfId="77" applyFont="1" applyFill="1" applyProtection="1">
      <protection hidden="1"/>
    </xf>
    <xf numFmtId="168" fontId="10" fillId="56" borderId="0" xfId="77" applyFont="1" applyFill="1" applyProtection="1">
      <protection hidden="1"/>
    </xf>
    <xf numFmtId="0" fontId="0" fillId="56" borderId="0" xfId="0" applyFill="1"/>
    <xf numFmtId="49" fontId="10" fillId="56" borderId="0" xfId="135" applyNumberFormat="1" applyFont="1" applyFill="1" applyAlignment="1" applyProtection="1">
      <alignment horizontal="center"/>
      <protection hidden="1"/>
    </xf>
    <xf numFmtId="168" fontId="10" fillId="56" borderId="0" xfId="135" applyFont="1" applyFill="1" applyProtection="1">
      <protection hidden="1"/>
    </xf>
    <xf numFmtId="0" fontId="4" fillId="56" borderId="0" xfId="0" applyFont="1" applyFill="1"/>
    <xf numFmtId="0" fontId="0" fillId="55" borderId="2" xfId="0" applyFill="1" applyBorder="1"/>
    <xf numFmtId="49" fontId="10" fillId="55" borderId="2" xfId="0" applyNumberFormat="1" applyFont="1" applyFill="1" applyBorder="1" applyAlignment="1" applyProtection="1">
      <alignment horizontal="center"/>
      <protection hidden="1"/>
    </xf>
    <xf numFmtId="0" fontId="10" fillId="55" borderId="2" xfId="0" applyFont="1" applyFill="1" applyBorder="1" applyProtection="1">
      <protection hidden="1"/>
    </xf>
    <xf numFmtId="0" fontId="4" fillId="55" borderId="0" xfId="0" applyFont="1" applyFill="1"/>
    <xf numFmtId="0" fontId="6" fillId="0" borderId="0" xfId="136" applyFont="1"/>
    <xf numFmtId="0" fontId="2" fillId="0" borderId="0" xfId="136" applyFont="1"/>
    <xf numFmtId="0" fontId="4" fillId="0" borderId="0" xfId="136" applyFont="1" applyAlignment="1">
      <alignment horizontal="centerContinuous"/>
    </xf>
    <xf numFmtId="0" fontId="2" fillId="0" borderId="0" xfId="136" applyFont="1" applyAlignment="1">
      <alignment horizontal="centerContinuous"/>
    </xf>
    <xf numFmtId="0" fontId="3" fillId="0" borderId="0" xfId="136" applyFont="1" applyAlignment="1">
      <alignment horizontal="centerContinuous"/>
    </xf>
    <xf numFmtId="0" fontId="2" fillId="0" borderId="0" xfId="136" applyFont="1" applyAlignment="1">
      <alignment horizontal="left"/>
    </xf>
    <xf numFmtId="0" fontId="2" fillId="0" borderId="1" xfId="137" applyFont="1" applyBorder="1" applyAlignment="1">
      <alignment horizontal="left" shrinkToFit="1"/>
    </xf>
    <xf numFmtId="0" fontId="2" fillId="0" borderId="0" xfId="136" applyFont="1" applyAlignment="1">
      <alignment horizontal="right"/>
    </xf>
    <xf numFmtId="0" fontId="2" fillId="0" borderId="2" xfId="136" applyFont="1" applyBorder="1"/>
    <xf numFmtId="0" fontId="4" fillId="0" borderId="0" xfId="136" applyFont="1" applyAlignment="1">
      <alignment horizontal="center"/>
    </xf>
    <xf numFmtId="0" fontId="4" fillId="0" borderId="2" xfId="136" applyFont="1" applyBorder="1" applyAlignment="1">
      <alignment horizontal="center"/>
    </xf>
    <xf numFmtId="0" fontId="2" fillId="0" borderId="1" xfId="136" applyFont="1" applyBorder="1" applyProtection="1">
      <protection locked="0"/>
    </xf>
    <xf numFmtId="0" fontId="2" fillId="0" borderId="0" xfId="136" applyFont="1" applyAlignment="1">
      <alignment horizontal="center"/>
    </xf>
    <xf numFmtId="176" fontId="2" fillId="0" borderId="1" xfId="136" applyNumberFormat="1" applyFont="1" applyBorder="1" applyProtection="1">
      <protection locked="0"/>
    </xf>
    <xf numFmtId="0" fontId="2" fillId="0" borderId="0" xfId="107" applyFont="1" applyProtection="1">
      <protection hidden="1"/>
    </xf>
    <xf numFmtId="0" fontId="2" fillId="0" borderId="0" xfId="108" applyFont="1" applyProtection="1">
      <protection hidden="1"/>
    </xf>
    <xf numFmtId="0" fontId="8" fillId="0" borderId="0" xfId="139" applyProtection="1">
      <protection hidden="1"/>
    </xf>
    <xf numFmtId="0" fontId="58" fillId="0" borderId="0" xfId="136" applyFont="1"/>
    <xf numFmtId="0" fontId="8" fillId="0" borderId="0" xfId="136"/>
    <xf numFmtId="0" fontId="8" fillId="0" borderId="0" xfId="136" applyAlignment="1">
      <alignment horizontal="center"/>
    </xf>
    <xf numFmtId="0" fontId="58" fillId="0" borderId="0" xfId="136" applyFont="1" applyProtection="1">
      <protection hidden="1"/>
    </xf>
    <xf numFmtId="0" fontId="8" fillId="0" borderId="0" xfId="139" applyAlignment="1" applyProtection="1">
      <alignment vertical="center"/>
      <protection hidden="1"/>
    </xf>
    <xf numFmtId="0" fontId="59" fillId="0" borderId="0" xfId="139" applyFont="1"/>
    <xf numFmtId="0" fontId="8" fillId="0" borderId="1" xfId="139" applyBorder="1" applyProtection="1">
      <protection locked="0"/>
    </xf>
    <xf numFmtId="0" fontId="8" fillId="0" borderId="1" xfId="139" applyBorder="1"/>
    <xf numFmtId="0" fontId="8" fillId="0" borderId="0" xfId="139"/>
    <xf numFmtId="0" fontId="8" fillId="0" borderId="4" xfId="139" applyBorder="1"/>
    <xf numFmtId="0" fontId="8" fillId="0" borderId="4" xfId="139" applyBorder="1" applyProtection="1">
      <protection locked="0"/>
    </xf>
    <xf numFmtId="0" fontId="60" fillId="0" borderId="0" xfId="136" applyFont="1"/>
    <xf numFmtId="0" fontId="2" fillId="0" borderId="0" xfId="137" applyFont="1" applyAlignment="1" applyProtection="1">
      <alignment shrinkToFit="1"/>
      <protection locked="0"/>
    </xf>
    <xf numFmtId="0" fontId="58" fillId="0" borderId="0" xfId="139" applyFont="1"/>
    <xf numFmtId="0" fontId="3" fillId="0" borderId="0" xfId="139" applyFont="1" applyAlignment="1">
      <alignment horizontal="centerContinuous"/>
    </xf>
    <xf numFmtId="0" fontId="6" fillId="0" borderId="0" xfId="139" applyFont="1" applyAlignment="1">
      <alignment horizontal="centerContinuous"/>
    </xf>
    <xf numFmtId="0" fontId="6" fillId="0" borderId="0" xfId="139" applyFont="1"/>
    <xf numFmtId="0" fontId="76" fillId="0" borderId="0" xfId="112" applyFont="1" applyAlignment="1">
      <alignment horizontal="right"/>
    </xf>
    <xf numFmtId="0" fontId="2" fillId="0" borderId="0" xfId="139" applyFont="1" applyAlignment="1">
      <alignment horizontal="left"/>
    </xf>
    <xf numFmtId="0" fontId="2" fillId="0" borderId="0" xfId="139" applyFont="1"/>
    <xf numFmtId="0" fontId="2" fillId="0" borderId="0" xfId="138" applyFont="1" applyAlignment="1" applyProtection="1">
      <alignment shrinkToFit="1"/>
      <protection locked="0"/>
    </xf>
    <xf numFmtId="0" fontId="2" fillId="0" borderId="0" xfId="139" applyFont="1" applyAlignment="1" applyProtection="1">
      <alignment shrinkToFit="1"/>
      <protection locked="0"/>
    </xf>
    <xf numFmtId="0" fontId="2" fillId="0" borderId="0" xfId="139" applyFont="1" applyAlignment="1">
      <alignment horizontal="left" shrinkToFit="1"/>
    </xf>
    <xf numFmtId="0" fontId="2" fillId="0" borderId="0" xfId="139" applyFont="1" applyAlignment="1" applyProtection="1">
      <alignment horizontal="center" shrinkToFit="1"/>
      <protection locked="0"/>
    </xf>
    <xf numFmtId="0" fontId="2" fillId="0" borderId="2" xfId="139" applyFont="1" applyBorder="1"/>
    <xf numFmtId="0" fontId="2" fillId="0" borderId="2" xfId="139" applyFont="1" applyBorder="1" applyAlignment="1">
      <alignment horizontal="right"/>
    </xf>
    <xf numFmtId="0" fontId="2" fillId="0" borderId="0" xfId="139" applyFont="1" applyAlignment="1">
      <alignment horizontal="right"/>
    </xf>
    <xf numFmtId="0" fontId="4" fillId="0" borderId="0" xfId="139" applyFont="1" applyAlignment="1">
      <alignment horizontal="center"/>
    </xf>
    <xf numFmtId="0" fontId="4" fillId="0" borderId="0" xfId="139" applyFont="1"/>
    <xf numFmtId="0" fontId="4" fillId="0" borderId="2" xfId="139" applyFont="1" applyBorder="1" applyAlignment="1">
      <alignment horizontal="center"/>
    </xf>
    <xf numFmtId="0" fontId="59" fillId="0" borderId="0" xfId="139" applyFont="1" applyAlignment="1">
      <alignment horizontal="center"/>
    </xf>
    <xf numFmtId="49" fontId="2" fillId="0" borderId="1" xfId="139" quotePrefix="1" applyNumberFormat="1" applyFont="1" applyBorder="1" applyAlignment="1" applyProtection="1">
      <alignment horizontal="center"/>
      <protection locked="0"/>
    </xf>
    <xf numFmtId="0" fontId="2" fillId="0" borderId="0" xfId="139" applyFont="1" applyAlignment="1">
      <alignment horizontal="center"/>
    </xf>
    <xf numFmtId="0" fontId="2" fillId="0" borderId="1" xfId="139" applyFont="1" applyBorder="1" applyAlignment="1" applyProtection="1">
      <alignment horizontal="center"/>
      <protection locked="0"/>
    </xf>
    <xf numFmtId="176" fontId="2" fillId="0" borderId="1" xfId="139" applyNumberFormat="1" applyFont="1" applyBorder="1" applyProtection="1">
      <protection locked="0"/>
    </xf>
    <xf numFmtId="49" fontId="2" fillId="0" borderId="1" xfId="139" applyNumberFormat="1" applyFont="1" applyBorder="1" applyAlignment="1" applyProtection="1">
      <alignment horizontal="center"/>
      <protection locked="0"/>
    </xf>
    <xf numFmtId="0" fontId="2" fillId="0" borderId="0" xfId="139" applyFont="1" applyAlignment="1" applyProtection="1">
      <alignment horizontal="center"/>
      <protection locked="0"/>
    </xf>
    <xf numFmtId="176" fontId="2" fillId="0" borderId="0" xfId="139" applyNumberFormat="1" applyFont="1" applyProtection="1">
      <protection locked="0"/>
    </xf>
    <xf numFmtId="176" fontId="2" fillId="0" borderId="0" xfId="139" applyNumberFormat="1" applyFont="1"/>
    <xf numFmtId="0" fontId="2" fillId="0" borderId="0" xfId="139" applyFont="1" applyProtection="1">
      <protection hidden="1"/>
    </xf>
    <xf numFmtId="0" fontId="2" fillId="0" borderId="0" xfId="139" applyFont="1" applyAlignment="1" applyProtection="1">
      <alignment vertical="center"/>
      <protection hidden="1"/>
    </xf>
    <xf numFmtId="0" fontId="8" fillId="0" borderId="0" xfId="139" applyAlignment="1">
      <alignment vertical="center"/>
    </xf>
    <xf numFmtId="0" fontId="59" fillId="0" borderId="0" xfId="139" applyFont="1" applyAlignment="1">
      <alignment horizontal="center" vertical="center"/>
    </xf>
    <xf numFmtId="176" fontId="8" fillId="0" borderId="0" xfId="139" applyNumberFormat="1" applyAlignment="1">
      <alignment vertical="center"/>
    </xf>
    <xf numFmtId="0" fontId="49" fillId="0" borderId="0" xfId="57" applyAlignment="1" applyProtection="1">
      <protection hidden="1"/>
    </xf>
    <xf numFmtId="0" fontId="60" fillId="0" borderId="0" xfId="139" applyFont="1"/>
    <xf numFmtId="0" fontId="60" fillId="0" borderId="0" xfId="139" applyFont="1" applyAlignment="1">
      <alignment horizontal="center"/>
    </xf>
    <xf numFmtId="0" fontId="2" fillId="0" borderId="1" xfId="139" applyFont="1" applyBorder="1" applyAlignment="1">
      <alignment horizontal="left" shrinkToFit="1"/>
    </xf>
    <xf numFmtId="0" fontId="2" fillId="0" borderId="1" xfId="139" applyFont="1" applyBorder="1"/>
    <xf numFmtId="0" fontId="4" fillId="0" borderId="1" xfId="139" applyFont="1" applyBorder="1" applyAlignment="1">
      <alignment horizontal="center"/>
    </xf>
    <xf numFmtId="176" fontId="2" fillId="0" borderId="2" xfId="139" applyNumberFormat="1" applyFont="1" applyBorder="1"/>
    <xf numFmtId="0" fontId="2" fillId="0" borderId="0" xfId="139" applyFont="1" applyAlignment="1">
      <alignment vertical="center"/>
    </xf>
    <xf numFmtId="0" fontId="4" fillId="0" borderId="0" xfId="139" applyFont="1" applyAlignment="1">
      <alignment horizontal="center" vertical="center"/>
    </xf>
    <xf numFmtId="176" fontId="2" fillId="0" borderId="0" xfId="139" applyNumberFormat="1" applyFont="1" applyAlignment="1">
      <alignment vertical="center"/>
    </xf>
    <xf numFmtId="0" fontId="2" fillId="0" borderId="1" xfId="139" applyFont="1" applyBorder="1" applyProtection="1">
      <protection locked="0"/>
    </xf>
    <xf numFmtId="0" fontId="2" fillId="0" borderId="4" xfId="139" applyFont="1" applyBorder="1" applyProtection="1">
      <protection locked="0"/>
    </xf>
    <xf numFmtId="0" fontId="4" fillId="0" borderId="0" xfId="139" applyFont="1" applyAlignment="1">
      <alignment horizontal="centerContinuous"/>
    </xf>
    <xf numFmtId="0" fontId="2" fillId="0" borderId="0" xfId="139" applyFont="1" applyAlignment="1">
      <alignment horizontal="centerContinuous"/>
    </xf>
    <xf numFmtId="0" fontId="4" fillId="0" borderId="0" xfId="139" applyFont="1" applyAlignment="1">
      <alignment vertical="center"/>
    </xf>
    <xf numFmtId="0" fontId="163" fillId="8" borderId="23" xfId="119" applyFont="1" applyFill="1" applyBorder="1" applyAlignment="1">
      <alignment horizontal="center"/>
    </xf>
    <xf numFmtId="0" fontId="3" fillId="0" borderId="0" xfId="101" applyFont="1"/>
    <xf numFmtId="189" fontId="4" fillId="0" borderId="0" xfId="0" applyNumberFormat="1" applyFont="1" applyAlignment="1">
      <alignment horizontal="center"/>
    </xf>
    <xf numFmtId="176" fontId="2" fillId="0" borderId="1" xfId="81" applyNumberFormat="1" applyFont="1" applyBorder="1"/>
    <xf numFmtId="176" fontId="4" fillId="0" borderId="14" xfId="81" applyNumberFormat="1" applyFont="1" applyBorder="1"/>
    <xf numFmtId="176" fontId="2" fillId="0" borderId="3" xfId="81" applyNumberFormat="1" applyFont="1" applyBorder="1"/>
    <xf numFmtId="0" fontId="4" fillId="0" borderId="0" xfId="0" applyFont="1" applyProtection="1">
      <protection locked="0"/>
    </xf>
    <xf numFmtId="39" fontId="275" fillId="0" borderId="0" xfId="74" applyNumberFormat="1" applyFont="1" applyProtection="1">
      <protection hidden="1"/>
    </xf>
    <xf numFmtId="185" fontId="2" fillId="0" borderId="0" xfId="75" applyNumberFormat="1"/>
    <xf numFmtId="180" fontId="0" fillId="8" borderId="0" xfId="0" applyNumberFormat="1" applyFill="1"/>
    <xf numFmtId="180" fontId="2" fillId="0" borderId="1" xfId="75" applyNumberFormat="1" applyBorder="1"/>
    <xf numFmtId="185" fontId="2" fillId="0" borderId="0" xfId="0" applyNumberFormat="1" applyFont="1"/>
    <xf numFmtId="185" fontId="2" fillId="0" borderId="0" xfId="73" applyNumberFormat="1"/>
    <xf numFmtId="43" fontId="179" fillId="0" borderId="0" xfId="32"/>
    <xf numFmtId="180" fontId="2" fillId="0" borderId="1" xfId="73" applyNumberFormat="1" applyBorder="1"/>
    <xf numFmtId="43" fontId="0" fillId="0" borderId="0" xfId="29" applyFont="1"/>
    <xf numFmtId="180" fontId="186" fillId="0" borderId="0" xfId="0" applyNumberFormat="1" applyFont="1"/>
    <xf numFmtId="180" fontId="186" fillId="0" borderId="0" xfId="73" applyNumberFormat="1" applyFont="1"/>
    <xf numFmtId="180" fontId="181" fillId="0" borderId="1" xfId="0" applyNumberFormat="1" applyFont="1" applyBorder="1"/>
    <xf numFmtId="0" fontId="2" fillId="0" borderId="0" xfId="0" applyFont="1" applyAlignment="1" applyProtection="1">
      <alignment horizontal="center"/>
      <protection locked="0"/>
    </xf>
    <xf numFmtId="14" fontId="2" fillId="0" borderId="0" xfId="0" applyNumberFormat="1" applyFont="1" applyAlignment="1" applyProtection="1">
      <alignment horizontal="center"/>
      <protection locked="0"/>
    </xf>
    <xf numFmtId="0" fontId="49" fillId="0" borderId="23" xfId="57" applyBorder="1" applyAlignment="1" applyProtection="1"/>
    <xf numFmtId="0" fontId="49" fillId="0" borderId="4" xfId="57" applyBorder="1" applyAlignment="1" applyProtection="1"/>
    <xf numFmtId="0" fontId="49" fillId="0" borderId="33" xfId="57" applyBorder="1" applyAlignment="1" applyProtection="1"/>
    <xf numFmtId="0" fontId="81" fillId="0" borderId="0" xfId="57" applyFont="1" applyAlignment="1" applyProtection="1">
      <alignment horizontal="left"/>
      <protection hidden="1"/>
    </xf>
    <xf numFmtId="0" fontId="9" fillId="0" borderId="0" xfId="0" applyFont="1" applyAlignment="1" applyProtection="1">
      <alignment horizontal="left"/>
      <protection hidden="1"/>
    </xf>
    <xf numFmtId="0" fontId="49" fillId="0" borderId="0" xfId="57" applyAlignment="1" applyProtection="1">
      <alignment horizontal="left"/>
      <protection hidden="1"/>
    </xf>
    <xf numFmtId="0" fontId="9" fillId="0" borderId="1" xfId="0" applyFont="1" applyBorder="1" applyAlignment="1" applyProtection="1">
      <alignment horizontal="left"/>
      <protection hidden="1"/>
    </xf>
    <xf numFmtId="197" fontId="2" fillId="0" borderId="0" xfId="106" applyNumberFormat="1" applyFont="1" applyAlignment="1">
      <alignment horizontal="right"/>
    </xf>
    <xf numFmtId="197" fontId="2" fillId="0" borderId="2" xfId="106" applyNumberFormat="1" applyFont="1" applyBorder="1"/>
    <xf numFmtId="0" fontId="276" fillId="0" borderId="0" xfId="0" applyFont="1"/>
    <xf numFmtId="0" fontId="14" fillId="0" borderId="0" xfId="0" applyFont="1" applyAlignment="1">
      <alignment vertical="top" wrapText="1"/>
    </xf>
    <xf numFmtId="0" fontId="2" fillId="53" borderId="0" xfId="0" applyFont="1" applyFill="1" applyAlignment="1">
      <alignment wrapText="1"/>
    </xf>
    <xf numFmtId="0" fontId="4" fillId="0" borderId="23" xfId="0" applyFont="1" applyBorder="1" applyAlignment="1">
      <alignment horizontal="left" vertical="top"/>
    </xf>
    <xf numFmtId="0" fontId="2" fillId="0" borderId="0" xfId="88" applyFont="1" applyProtection="1">
      <protection hidden="1"/>
    </xf>
    <xf numFmtId="0" fontId="7" fillId="0" borderId="0" xfId="110" applyFont="1" applyProtection="1">
      <protection locked="0"/>
    </xf>
    <xf numFmtId="0" fontId="7" fillId="0" borderId="0" xfId="108" applyFont="1" applyProtection="1">
      <protection locked="0"/>
    </xf>
    <xf numFmtId="0" fontId="2" fillId="0" borderId="1" xfId="108" applyFont="1" applyBorder="1" applyProtection="1">
      <protection locked="0"/>
    </xf>
    <xf numFmtId="0" fontId="4" fillId="0" borderId="0" xfId="114" applyFont="1"/>
    <xf numFmtId="0" fontId="15" fillId="58" borderId="0" xfId="0" quotePrefix="1" applyFont="1" applyFill="1"/>
    <xf numFmtId="0" fontId="2" fillId="0" borderId="0" xfId="136" applyFont="1" applyProtection="1">
      <protection locked="0"/>
    </xf>
    <xf numFmtId="0" fontId="4" fillId="0" borderId="29" xfId="136" applyFont="1" applyBorder="1" applyAlignment="1">
      <alignment horizontal="center"/>
    </xf>
    <xf numFmtId="0" fontId="4" fillId="0" borderId="30" xfId="136" applyFont="1" applyBorder="1" applyAlignment="1">
      <alignment horizontal="center"/>
    </xf>
    <xf numFmtId="0" fontId="4" fillId="0" borderId="31" xfId="136" applyFont="1" applyBorder="1" applyAlignment="1">
      <alignment horizontal="center"/>
    </xf>
    <xf numFmtId="0" fontId="4" fillId="0" borderId="32" xfId="136" applyFont="1" applyBorder="1" applyAlignment="1">
      <alignment horizontal="center"/>
    </xf>
    <xf numFmtId="0" fontId="2" fillId="0" borderId="48" xfId="136" applyFont="1" applyBorder="1" applyAlignment="1" applyProtection="1">
      <alignment horizontal="center"/>
      <protection locked="0"/>
    </xf>
    <xf numFmtId="0" fontId="2" fillId="0" borderId="30" xfId="136" applyFont="1" applyBorder="1"/>
    <xf numFmtId="0" fontId="2" fillId="0" borderId="49" xfId="136" applyFont="1" applyBorder="1" applyProtection="1">
      <protection locked="0"/>
    </xf>
    <xf numFmtId="49" fontId="2" fillId="0" borderId="49" xfId="139" quotePrefix="1" applyNumberFormat="1" applyFont="1" applyBorder="1" applyAlignment="1" applyProtection="1">
      <alignment horizontal="center"/>
      <protection locked="0"/>
    </xf>
    <xf numFmtId="0" fontId="2" fillId="0" borderId="0" xfId="0" quotePrefix="1" applyFont="1" applyAlignment="1">
      <alignment horizontal="left" indent="1"/>
    </xf>
    <xf numFmtId="0" fontId="9" fillId="0" borderId="0" xfId="119" applyFont="1" applyProtection="1">
      <protection locked="0"/>
    </xf>
    <xf numFmtId="0" fontId="120" fillId="54" borderId="0" xfId="0" applyFont="1" applyFill="1"/>
    <xf numFmtId="0" fontId="0" fillId="54" borderId="0" xfId="0" applyFill="1"/>
    <xf numFmtId="0" fontId="205" fillId="0" borderId="15" xfId="0" applyFont="1" applyBorder="1" applyAlignment="1">
      <alignment horizontal="center"/>
    </xf>
    <xf numFmtId="0" fontId="10" fillId="0" borderId="0" xfId="0" applyFont="1" applyAlignment="1" applyProtection="1">
      <alignment horizontal="left" indent="2"/>
      <protection hidden="1"/>
    </xf>
    <xf numFmtId="0" fontId="2" fillId="58" borderId="0" xfId="0" applyFont="1" applyFill="1"/>
    <xf numFmtId="0" fontId="0" fillId="58" borderId="0" xfId="0" applyFill="1" applyAlignment="1">
      <alignment horizontal="center"/>
    </xf>
    <xf numFmtId="0" fontId="15" fillId="58" borderId="0" xfId="0" applyFont="1" applyFill="1"/>
    <xf numFmtId="49" fontId="29" fillId="52" borderId="1" xfId="139" quotePrefix="1" applyNumberFormat="1" applyFont="1" applyFill="1" applyBorder="1" applyAlignment="1">
      <alignment horizontal="center"/>
    </xf>
    <xf numFmtId="0" fontId="29" fillId="0" borderId="0" xfId="139" applyFont="1" applyAlignment="1">
      <alignment horizontal="center"/>
    </xf>
    <xf numFmtId="0" fontId="29" fillId="52" borderId="1" xfId="139" applyFont="1" applyFill="1" applyBorder="1" applyAlignment="1">
      <alignment horizontal="center"/>
    </xf>
    <xf numFmtId="176" fontId="29" fillId="52" borderId="1" xfId="139" applyNumberFormat="1" applyFont="1" applyFill="1" applyBorder="1"/>
    <xf numFmtId="0" fontId="29" fillId="0" borderId="0" xfId="139" applyFont="1"/>
    <xf numFmtId="49" fontId="29" fillId="52" borderId="1" xfId="139" applyNumberFormat="1" applyFont="1" applyFill="1" applyBorder="1" applyAlignment="1">
      <alignment horizontal="center"/>
    </xf>
    <xf numFmtId="0" fontId="100" fillId="0" borderId="0" xfId="107" applyFont="1" applyAlignment="1">
      <alignment vertical="top"/>
    </xf>
    <xf numFmtId="0" fontId="2" fillId="0" borderId="0" xfId="108" applyFont="1"/>
    <xf numFmtId="0" fontId="277" fillId="0" borderId="0" xfId="139" applyFont="1"/>
    <xf numFmtId="49" fontId="29" fillId="52" borderId="1" xfId="139" quotePrefix="1" applyNumberFormat="1" applyFont="1" applyFill="1" applyBorder="1" applyAlignment="1" applyProtection="1">
      <alignment horizontal="center"/>
      <protection hidden="1"/>
    </xf>
    <xf numFmtId="0" fontId="29" fillId="0" borderId="0" xfId="139" applyFont="1" applyAlignment="1" applyProtection="1">
      <alignment horizontal="center"/>
      <protection hidden="1"/>
    </xf>
    <xf numFmtId="0" fontId="29" fillId="52" borderId="1" xfId="139" applyFont="1" applyFill="1" applyBorder="1" applyAlignment="1" applyProtection="1">
      <alignment horizontal="center"/>
      <protection hidden="1"/>
    </xf>
    <xf numFmtId="0" fontId="39" fillId="0" borderId="0" xfId="139" applyFont="1" applyAlignment="1" applyProtection="1">
      <alignment horizontal="center"/>
      <protection hidden="1"/>
    </xf>
    <xf numFmtId="176" fontId="29" fillId="52" borderId="1" xfId="139" applyNumberFormat="1" applyFont="1" applyFill="1" applyBorder="1" applyProtection="1">
      <protection hidden="1"/>
    </xf>
    <xf numFmtId="0" fontId="29" fillId="0" borderId="0" xfId="139" applyFont="1" applyProtection="1">
      <protection hidden="1"/>
    </xf>
    <xf numFmtId="49" fontId="29" fillId="52" borderId="1" xfId="139" applyNumberFormat="1" applyFont="1" applyFill="1" applyBorder="1" applyAlignment="1" applyProtection="1">
      <alignment horizontal="center"/>
      <protection hidden="1"/>
    </xf>
    <xf numFmtId="0" fontId="277" fillId="0" borderId="0" xfId="139" applyFont="1" applyProtection="1">
      <protection hidden="1"/>
    </xf>
    <xf numFmtId="49" fontId="2" fillId="0" borderId="1" xfId="139" applyNumberFormat="1" applyFont="1" applyBorder="1" applyProtection="1">
      <protection locked="0"/>
    </xf>
    <xf numFmtId="0" fontId="2" fillId="0" borderId="0" xfId="73"/>
    <xf numFmtId="14" fontId="246" fillId="0" borderId="27" xfId="0" applyNumberFormat="1" applyFont="1" applyBorder="1" applyAlignment="1">
      <alignment horizontal="center"/>
    </xf>
    <xf numFmtId="0" fontId="246" fillId="0" borderId="0" xfId="0" applyFont="1"/>
    <xf numFmtId="0" fontId="246" fillId="0" borderId="0" xfId="0" applyFont="1" applyAlignment="1">
      <alignment horizontal="center" wrapText="1"/>
    </xf>
    <xf numFmtId="49" fontId="246" fillId="0" borderId="0" xfId="0" applyNumberFormat="1" applyFont="1" applyAlignment="1">
      <alignment horizontal="left" wrapText="1"/>
    </xf>
    <xf numFmtId="14" fontId="246" fillId="0" borderId="0" xfId="0" applyNumberFormat="1" applyFont="1" applyAlignment="1">
      <alignment horizontal="center"/>
    </xf>
    <xf numFmtId="49" fontId="246" fillId="0" borderId="0" xfId="0" applyNumberFormat="1" applyFont="1" applyAlignment="1">
      <alignment horizontal="center"/>
    </xf>
    <xf numFmtId="0" fontId="246" fillId="0" borderId="0" xfId="0" applyFont="1" applyAlignment="1">
      <alignment wrapText="1"/>
    </xf>
    <xf numFmtId="1" fontId="4" fillId="59" borderId="0" xfId="0" applyNumberFormat="1" applyFont="1" applyFill="1" applyAlignment="1">
      <alignment horizontal="center"/>
    </xf>
    <xf numFmtId="180" fontId="4" fillId="59" borderId="0" xfId="0" applyNumberFormat="1" applyFont="1" applyFill="1" applyAlignment="1">
      <alignment horizontal="center"/>
    </xf>
    <xf numFmtId="1" fontId="5" fillId="59" borderId="0" xfId="0" applyNumberFormat="1" applyFont="1" applyFill="1" applyAlignment="1">
      <alignment horizontal="center"/>
    </xf>
    <xf numFmtId="180" fontId="115" fillId="0" borderId="0" xfId="0" applyNumberFormat="1" applyFont="1"/>
    <xf numFmtId="164" fontId="2" fillId="0" borderId="0" xfId="99" applyNumberFormat="1" applyAlignment="1">
      <alignment horizontal="center"/>
    </xf>
    <xf numFmtId="164" fontId="2" fillId="0" borderId="0" xfId="99" applyNumberFormat="1" applyAlignment="1">
      <alignment horizontal="centerContinuous"/>
    </xf>
    <xf numFmtId="168" fontId="2" fillId="0" borderId="0" xfId="82" applyFont="1" applyAlignment="1">
      <alignment shrinkToFit="1"/>
      <protection locked="0"/>
    </xf>
    <xf numFmtId="0" fontId="2" fillId="0" borderId="27" xfId="115" applyFont="1" applyBorder="1" applyAlignment="1">
      <alignment horizontal="centerContinuous"/>
    </xf>
    <xf numFmtId="0" fontId="44" fillId="0" borderId="0" xfId="115" applyFont="1"/>
    <xf numFmtId="0" fontId="2" fillId="0" borderId="0" xfId="115" applyFont="1" applyAlignment="1">
      <alignment horizontal="right"/>
    </xf>
    <xf numFmtId="0" fontId="2" fillId="0" borderId="1" xfId="115" applyFont="1" applyBorder="1" applyProtection="1">
      <protection locked="0"/>
    </xf>
    <xf numFmtId="0" fontId="2" fillId="0" borderId="8" xfId="115" applyFont="1" applyBorder="1"/>
    <xf numFmtId="0" fontId="2" fillId="0" borderId="0" xfId="115" applyFont="1" applyAlignment="1">
      <alignment horizontal="left"/>
    </xf>
    <xf numFmtId="0" fontId="4" fillId="0" borderId="0" xfId="99" applyFont="1" applyAlignment="1">
      <alignment horizontal="center"/>
    </xf>
    <xf numFmtId="0" fontId="2" fillId="0" borderId="0" xfId="99" applyAlignment="1">
      <alignment horizontal="right"/>
    </xf>
    <xf numFmtId="0" fontId="5" fillId="0" borderId="0" xfId="115" applyFont="1" applyAlignment="1">
      <alignment horizontal="center"/>
    </xf>
    <xf numFmtId="0" fontId="2" fillId="0" borderId="0" xfId="99" applyAlignment="1">
      <alignment horizontal="center"/>
    </xf>
    <xf numFmtId="0" fontId="2" fillId="0" borderId="1" xfId="115" applyFont="1" applyBorder="1" applyAlignment="1" applyProtection="1">
      <alignment horizontal="left"/>
      <protection locked="0"/>
    </xf>
    <xf numFmtId="0" fontId="2" fillId="0" borderId="1" xfId="99" applyBorder="1" applyAlignment="1" applyProtection="1">
      <alignment horizontal="right"/>
      <protection locked="0"/>
    </xf>
    <xf numFmtId="0" fontId="2" fillId="0" borderId="1" xfId="99" applyBorder="1" applyAlignment="1" applyProtection="1">
      <alignment horizontal="center"/>
      <protection locked="0"/>
    </xf>
    <xf numFmtId="0" fontId="2" fillId="0" borderId="1" xfId="99" applyBorder="1" applyProtection="1">
      <protection locked="0"/>
    </xf>
    <xf numFmtId="189" fontId="4" fillId="0" borderId="0" xfId="115" applyNumberFormat="1" applyFont="1" applyAlignment="1">
      <alignment horizontal="center"/>
    </xf>
    <xf numFmtId="189" fontId="5" fillId="0" borderId="0" xfId="115" applyNumberFormat="1" applyFont="1" applyAlignment="1">
      <alignment horizontal="center"/>
    </xf>
    <xf numFmtId="0" fontId="5" fillId="0" borderId="0" xfId="99" applyFont="1" applyAlignment="1">
      <alignment horizontal="center"/>
    </xf>
    <xf numFmtId="39" fontId="2" fillId="0" borderId="0" xfId="115" applyNumberFormat="1" applyFont="1"/>
    <xf numFmtId="39" fontId="2" fillId="0" borderId="1" xfId="115" applyNumberFormat="1" applyFont="1" applyBorder="1" applyProtection="1">
      <protection locked="0"/>
    </xf>
    <xf numFmtId="39" fontId="2" fillId="0" borderId="1" xfId="99" applyNumberFormat="1" applyBorder="1" applyAlignment="1" applyProtection="1">
      <alignment horizontal="center"/>
      <protection locked="0"/>
    </xf>
    <xf numFmtId="39" fontId="2" fillId="0" borderId="0" xfId="99" applyNumberFormat="1"/>
    <xf numFmtId="39" fontId="2" fillId="0" borderId="0" xfId="115" applyNumberFormat="1" applyFont="1" applyProtection="1">
      <protection locked="0"/>
    </xf>
    <xf numFmtId="39" fontId="2" fillId="0" borderId="0" xfId="99" applyNumberFormat="1" applyAlignment="1" applyProtection="1">
      <alignment horizontal="center"/>
      <protection locked="0"/>
    </xf>
    <xf numFmtId="0" fontId="2" fillId="0" borderId="0" xfId="115" applyFont="1" applyProtection="1">
      <protection locked="0"/>
    </xf>
    <xf numFmtId="39" fontId="5" fillId="0" borderId="0" xfId="115" applyNumberFormat="1" applyFont="1" applyAlignment="1" applyProtection="1">
      <alignment horizontal="center"/>
      <protection locked="0"/>
    </xf>
    <xf numFmtId="39" fontId="2" fillId="0" borderId="1" xfId="115" applyNumberFormat="1" applyFont="1" applyBorder="1"/>
    <xf numFmtId="39" fontId="2" fillId="0" borderId="1" xfId="99" applyNumberFormat="1" applyBorder="1"/>
    <xf numFmtId="0" fontId="4" fillId="5" borderId="0" xfId="115" applyFont="1" applyFill="1" applyAlignment="1">
      <alignment horizontal="center"/>
    </xf>
    <xf numFmtId="0" fontId="4" fillId="0" borderId="1" xfId="115" applyFont="1" applyBorder="1" applyAlignment="1" applyProtection="1">
      <alignment horizontal="center"/>
      <protection locked="0"/>
    </xf>
    <xf numFmtId="0" fontId="2" fillId="0" borderId="0" xfId="115" applyFont="1" applyAlignment="1">
      <alignment horizontal="center"/>
    </xf>
    <xf numFmtId="0" fontId="2" fillId="0" borderId="0" xfId="99" applyAlignment="1" applyProtection="1">
      <alignment horizontal="center"/>
      <protection locked="0"/>
    </xf>
    <xf numFmtId="39" fontId="2" fillId="0" borderId="0" xfId="99" applyNumberFormat="1" applyAlignment="1">
      <alignment horizontal="center"/>
    </xf>
    <xf numFmtId="0" fontId="278" fillId="0" borderId="15" xfId="57" applyFont="1" applyBorder="1" applyAlignment="1" applyProtection="1">
      <alignment horizontal="center"/>
    </xf>
    <xf numFmtId="164" fontId="116" fillId="0" borderId="0" xfId="57" applyNumberFormat="1" applyFont="1" applyAlignment="1" applyProtection="1">
      <alignment horizontal="centerContinuous"/>
    </xf>
    <xf numFmtId="0" fontId="8" fillId="0" borderId="0" xfId="115" applyAlignment="1">
      <alignment horizontal="centerContinuous"/>
    </xf>
    <xf numFmtId="164" fontId="4" fillId="0" borderId="0" xfId="96" applyNumberFormat="1" applyFont="1" applyAlignment="1">
      <alignment horizontal="centerContinuous"/>
    </xf>
    <xf numFmtId="0" fontId="2" fillId="0" borderId="0" xfId="99" applyAlignment="1">
      <alignment horizontal="centerContinuous"/>
    </xf>
    <xf numFmtId="164" fontId="4" fillId="0" borderId="2" xfId="99" applyNumberFormat="1" applyFont="1" applyBorder="1" applyAlignment="1">
      <alignment horizontal="centerContinuous"/>
    </xf>
    <xf numFmtId="0" fontId="8" fillId="0" borderId="1" xfId="115" applyBorder="1"/>
    <xf numFmtId="0" fontId="280" fillId="0" borderId="0" xfId="0" applyFont="1" applyAlignment="1">
      <alignment horizontal="center"/>
    </xf>
    <xf numFmtId="0" fontId="279" fillId="0" borderId="0" xfId="0" applyFont="1" applyAlignment="1">
      <alignment horizontal="center"/>
    </xf>
    <xf numFmtId="0" fontId="279" fillId="0" borderId="0" xfId="0" applyFont="1"/>
    <xf numFmtId="0" fontId="2" fillId="0" borderId="0" xfId="115" applyFont="1" applyAlignment="1" applyProtection="1">
      <alignment horizontal="left"/>
      <protection locked="0"/>
    </xf>
    <xf numFmtId="4" fontId="2" fillId="0" borderId="0" xfId="115" applyNumberFormat="1" applyFont="1" applyAlignment="1" applyProtection="1">
      <alignment horizontal="center"/>
      <protection locked="0"/>
    </xf>
    <xf numFmtId="0" fontId="268" fillId="0" borderId="0" xfId="0" applyFont="1"/>
    <xf numFmtId="0" fontId="281" fillId="0" borderId="0" xfId="0" applyFont="1"/>
    <xf numFmtId="0" fontId="69" fillId="0" borderId="0" xfId="115" applyFont="1" applyAlignment="1">
      <alignment horizontal="centerContinuous"/>
    </xf>
    <xf numFmtId="0" fontId="2" fillId="0" borderId="0" xfId="115" applyFont="1" applyAlignment="1">
      <alignment horizontal="centerContinuous"/>
    </xf>
    <xf numFmtId="0" fontId="5" fillId="0" borderId="0" xfId="115" applyFont="1"/>
    <xf numFmtId="0" fontId="62" fillId="0" borderId="0" xfId="115" applyFont="1"/>
    <xf numFmtId="0" fontId="282" fillId="0" borderId="0" xfId="115" applyFont="1"/>
    <xf numFmtId="0" fontId="76" fillId="0" borderId="0" xfId="115" applyFont="1"/>
    <xf numFmtId="0" fontId="5" fillId="0" borderId="0" xfId="115" applyFont="1" applyProtection="1">
      <protection locked="0"/>
    </xf>
    <xf numFmtId="0" fontId="69" fillId="0" borderId="0" xfId="115" applyFont="1" applyProtection="1">
      <protection locked="0"/>
    </xf>
    <xf numFmtId="0" fontId="110" fillId="0" borderId="0" xfId="69" applyFont="1" applyAlignment="1">
      <alignment horizontal="right"/>
    </xf>
    <xf numFmtId="176" fontId="7" fillId="5" borderId="5" xfId="91" applyNumberFormat="1" applyFont="1" applyFill="1" applyBorder="1"/>
    <xf numFmtId="0" fontId="247" fillId="0" borderId="11" xfId="69" applyBorder="1"/>
    <xf numFmtId="0" fontId="67" fillId="0" borderId="0" xfId="91" applyFont="1" applyAlignment="1">
      <alignment horizontal="left"/>
    </xf>
    <xf numFmtId="0" fontId="4" fillId="0" borderId="0" xfId="91" applyFont="1" applyAlignment="1">
      <alignment horizontal="left"/>
    </xf>
    <xf numFmtId="0" fontId="4" fillId="0" borderId="0" xfId="90" applyFont="1" applyAlignment="1">
      <alignment horizontal="left"/>
    </xf>
    <xf numFmtId="0" fontId="3" fillId="0" borderId="0" xfId="90" applyFont="1"/>
    <xf numFmtId="0" fontId="2" fillId="0" borderId="0" xfId="90" applyFont="1" applyAlignment="1">
      <alignment horizontal="left"/>
    </xf>
    <xf numFmtId="49" fontId="10" fillId="0" borderId="0" xfId="0" applyNumberFormat="1" applyFont="1" applyAlignment="1" applyProtection="1">
      <alignment horizontal="center"/>
      <protection hidden="1"/>
    </xf>
    <xf numFmtId="0" fontId="2" fillId="10" borderId="0" xfId="0" applyFont="1" applyFill="1" applyAlignment="1">
      <alignment horizontal="center"/>
    </xf>
    <xf numFmtId="0" fontId="2" fillId="0" borderId="16" xfId="104" applyFont="1" applyBorder="1" applyAlignment="1">
      <alignment horizontal="centerContinuous"/>
    </xf>
    <xf numFmtId="0" fontId="2" fillId="0" borderId="0" xfId="104" applyFont="1" applyAlignment="1">
      <alignment horizontal="centerContinuous"/>
    </xf>
    <xf numFmtId="0" fontId="2" fillId="0" borderId="0" xfId="104" applyFont="1"/>
    <xf numFmtId="0" fontId="2" fillId="52" borderId="49" xfId="136" quotePrefix="1" applyFont="1" applyFill="1" applyBorder="1" applyAlignment="1">
      <alignment horizontal="center"/>
    </xf>
    <xf numFmtId="0" fontId="2" fillId="52" borderId="48" xfId="136" applyFont="1" applyFill="1" applyBorder="1" applyAlignment="1">
      <alignment horizontal="center"/>
    </xf>
    <xf numFmtId="0" fontId="2" fillId="52" borderId="49" xfId="136" applyFont="1" applyFill="1" applyBorder="1"/>
    <xf numFmtId="176" fontId="2" fillId="52" borderId="1" xfId="136" applyNumberFormat="1" applyFont="1" applyFill="1" applyBorder="1"/>
    <xf numFmtId="0" fontId="2" fillId="52" borderId="1" xfId="136" applyFont="1" applyFill="1" applyBorder="1"/>
    <xf numFmtId="0" fontId="2" fillId="52" borderId="0" xfId="136" applyFont="1" applyFill="1"/>
    <xf numFmtId="0" fontId="2" fillId="52" borderId="22" xfId="136" applyFont="1" applyFill="1" applyBorder="1" applyAlignment="1">
      <alignment horizontal="center"/>
    </xf>
    <xf numFmtId="0" fontId="2" fillId="52" borderId="0" xfId="136" applyFont="1" applyFill="1" applyAlignment="1">
      <alignment horizontal="center"/>
    </xf>
    <xf numFmtId="0" fontId="58" fillId="0" borderId="31" xfId="136" applyFont="1" applyBorder="1"/>
    <xf numFmtId="0" fontId="58" fillId="0" borderId="2" xfId="136" applyFont="1" applyBorder="1"/>
    <xf numFmtId="0" fontId="8" fillId="0" borderId="32" xfId="136" applyBorder="1"/>
    <xf numFmtId="0" fontId="8" fillId="0" borderId="31" xfId="136" applyBorder="1"/>
    <xf numFmtId="0" fontId="8" fillId="0" borderId="2" xfId="136" applyBorder="1"/>
    <xf numFmtId="0" fontId="283" fillId="0" borderId="0" xfId="136" applyFont="1"/>
    <xf numFmtId="3" fontId="7" fillId="0" borderId="1" xfId="0" applyNumberFormat="1" applyFont="1" applyBorder="1" applyProtection="1">
      <protection locked="0"/>
    </xf>
    <xf numFmtId="43" fontId="2" fillId="0" borderId="0" xfId="29"/>
    <xf numFmtId="0" fontId="15" fillId="8" borderId="0" xfId="0" applyFont="1" applyFill="1" applyAlignment="1">
      <alignment horizontal="right"/>
    </xf>
    <xf numFmtId="0" fontId="11" fillId="0" borderId="0" xfId="99" applyFont="1" applyAlignment="1">
      <alignment horizontal="center"/>
    </xf>
    <xf numFmtId="0" fontId="0" fillId="0" borderId="0" xfId="0"/>
    <xf numFmtId="0" fontId="2" fillId="0" borderId="0" xfId="0" applyFont="1"/>
    <xf numFmtId="0" fontId="58" fillId="0" borderId="1" xfId="115" applyFont="1" applyBorder="1" applyAlignment="1" applyProtection="1">
      <alignment horizontal="center"/>
      <protection locked="0"/>
    </xf>
    <xf numFmtId="0" fontId="58" fillId="0" borderId="4" xfId="115" applyFont="1" applyBorder="1" applyAlignment="1" applyProtection="1">
      <alignment horizontal="center"/>
      <protection locked="0"/>
    </xf>
    <xf numFmtId="0" fontId="12" fillId="0" borderId="0" xfId="69" applyFont="1" applyProtection="1">
      <protection locked="0"/>
    </xf>
    <xf numFmtId="170" fontId="2" fillId="0" borderId="1" xfId="69" applyNumberFormat="1" applyFont="1" applyBorder="1" applyProtection="1">
      <protection locked="0"/>
    </xf>
    <xf numFmtId="0" fontId="2" fillId="0" borderId="1" xfId="136" applyFont="1" applyBorder="1" applyAlignment="1" applyProtection="1">
      <alignment horizontal="center"/>
      <protection locked="0"/>
    </xf>
    <xf numFmtId="0" fontId="2" fillId="0" borderId="0" xfId="136" applyFont="1" applyAlignment="1" applyProtection="1">
      <alignment horizontal="center"/>
      <protection locked="0"/>
    </xf>
    <xf numFmtId="0" fontId="2" fillId="0" borderId="4" xfId="136" applyFont="1" applyBorder="1" applyAlignment="1" applyProtection="1">
      <alignment horizontal="center"/>
      <protection locked="0"/>
    </xf>
    <xf numFmtId="0" fontId="0" fillId="0" borderId="0" xfId="0"/>
    <xf numFmtId="0" fontId="279" fillId="0" borderId="1" xfId="0" applyFont="1" applyBorder="1" applyProtection="1">
      <protection locked="0"/>
    </xf>
    <xf numFmtId="0" fontId="2" fillId="0" borderId="0" xfId="0" applyFont="1"/>
    <xf numFmtId="0" fontId="2" fillId="0" borderId="0" xfId="0" applyFont="1" applyAlignment="1">
      <alignment horizontal="left" indent="2"/>
    </xf>
    <xf numFmtId="0" fontId="279" fillId="0" borderId="0" xfId="0" applyFont="1" applyProtection="1">
      <protection locked="0"/>
    </xf>
    <xf numFmtId="0" fontId="0" fillId="0" borderId="0" xfId="0"/>
    <xf numFmtId="0" fontId="2" fillId="0" borderId="0" xfId="0" applyFont="1"/>
    <xf numFmtId="0" fontId="4" fillId="0" borderId="0" xfId="92" applyFont="1" applyAlignment="1">
      <alignment horizontal="center"/>
    </xf>
    <xf numFmtId="0" fontId="7" fillId="0" borderId="0" xfId="92" applyFont="1"/>
    <xf numFmtId="0" fontId="0" fillId="0" borderId="0" xfId="0" applyAlignment="1">
      <alignment horizontal="center"/>
    </xf>
    <xf numFmtId="0" fontId="15" fillId="58" borderId="0" xfId="95" applyFont="1" applyFill="1"/>
    <xf numFmtId="0" fontId="15" fillId="58" borderId="2" xfId="95" applyFont="1" applyFill="1" applyBorder="1"/>
    <xf numFmtId="0" fontId="2" fillId="58" borderId="2" xfId="95" applyFont="1" applyFill="1" applyBorder="1" applyAlignment="1">
      <alignment horizontal="right"/>
    </xf>
    <xf numFmtId="0" fontId="15" fillId="58" borderId="2" xfId="95" applyFont="1" applyFill="1" applyBorder="1" applyAlignment="1">
      <alignment horizontal="center" shrinkToFit="1"/>
    </xf>
    <xf numFmtId="0" fontId="279" fillId="58" borderId="0" xfId="0" applyFont="1" applyFill="1"/>
    <xf numFmtId="0" fontId="281" fillId="58" borderId="0" xfId="0" applyFont="1" applyFill="1"/>
    <xf numFmtId="0" fontId="0" fillId="58" borderId="0" xfId="0" applyFill="1"/>
    <xf numFmtId="0" fontId="7" fillId="0" borderId="0" xfId="92" applyFont="1" applyBorder="1"/>
    <xf numFmtId="5" fontId="7" fillId="0" borderId="0" xfId="92" applyNumberFormat="1" applyFont="1" applyBorder="1"/>
    <xf numFmtId="0" fontId="4" fillId="0" borderId="0" xfId="92" applyFont="1" applyBorder="1" applyAlignment="1">
      <alignment horizontal="center"/>
    </xf>
    <xf numFmtId="172" fontId="4" fillId="0" borderId="0" xfId="92" applyNumberFormat="1" applyFont="1" applyBorder="1" applyAlignment="1">
      <alignment horizontal="center"/>
    </xf>
    <xf numFmtId="0" fontId="4" fillId="0" borderId="0" xfId="92" applyFont="1" applyBorder="1"/>
    <xf numFmtId="176" fontId="7" fillId="0" borderId="0" xfId="92" applyNumberFormat="1" applyFont="1" applyBorder="1"/>
    <xf numFmtId="0" fontId="2" fillId="0" borderId="0" xfId="92" applyFont="1" applyBorder="1"/>
    <xf numFmtId="0" fontId="7" fillId="0" borderId="0" xfId="92" applyFont="1" applyBorder="1" applyAlignment="1">
      <alignment vertical="top" wrapText="1"/>
    </xf>
    <xf numFmtId="0" fontId="2" fillId="0" borderId="0" xfId="92" applyFont="1" applyBorder="1" applyProtection="1">
      <protection locked="0"/>
    </xf>
    <xf numFmtId="0" fontId="59" fillId="0" borderId="0" xfId="115" applyFont="1" applyBorder="1" applyAlignment="1">
      <alignment horizontal="center"/>
    </xf>
    <xf numFmtId="0" fontId="2" fillId="0" borderId="0" xfId="92" applyFont="1" applyBorder="1" applyAlignment="1">
      <alignment vertical="top" wrapText="1"/>
    </xf>
    <xf numFmtId="39" fontId="7" fillId="0" borderId="0" xfId="92" applyNumberFormat="1" applyFont="1" applyBorder="1" applyAlignment="1" applyProtection="1">
      <alignment vertical="top" wrapText="1"/>
      <protection locked="0"/>
    </xf>
    <xf numFmtId="39" fontId="2" fillId="0" borderId="0" xfId="92" applyNumberFormat="1" applyFont="1" applyBorder="1" applyAlignment="1" applyProtection="1">
      <alignment vertical="top" wrapText="1"/>
      <protection locked="0"/>
    </xf>
    <xf numFmtId="176" fontId="7" fillId="0" borderId="0" xfId="92" applyNumberFormat="1" applyFont="1" applyBorder="1" applyProtection="1">
      <protection locked="0"/>
    </xf>
    <xf numFmtId="0" fontId="7" fillId="0" borderId="0" xfId="92" applyFont="1" applyBorder="1" applyAlignment="1">
      <alignment horizontal="center" vertical="top" shrinkToFit="1"/>
    </xf>
    <xf numFmtId="0" fontId="4" fillId="0" borderId="1" xfId="0" applyFont="1" applyBorder="1" applyAlignment="1">
      <alignment horizontal="center"/>
    </xf>
    <xf numFmtId="0" fontId="183" fillId="0" borderId="0" xfId="0" applyFont="1" applyBorder="1" applyAlignment="1">
      <alignment horizontal="left"/>
    </xf>
    <xf numFmtId="0" fontId="119" fillId="0" borderId="0" xfId="0" applyFont="1" applyBorder="1" applyAlignment="1">
      <alignment horizontal="left"/>
    </xf>
    <xf numFmtId="0" fontId="2" fillId="0" borderId="0" xfId="0" applyFont="1"/>
    <xf numFmtId="0" fontId="4" fillId="0" borderId="0" xfId="0" applyFont="1"/>
    <xf numFmtId="0" fontId="2" fillId="0" borderId="0" xfId="0" applyFont="1"/>
    <xf numFmtId="0" fontId="12" fillId="0" borderId="1" xfId="0" applyFont="1" applyBorder="1" applyAlignment="1">
      <alignment horizontal="center"/>
    </xf>
    <xf numFmtId="0" fontId="0" fillId="0" borderId="0" xfId="0" applyFill="1"/>
    <xf numFmtId="43" fontId="2" fillId="0" borderId="0" xfId="29" applyFont="1"/>
    <xf numFmtId="43" fontId="2" fillId="0" borderId="0" xfId="0" applyNumberFormat="1" applyFont="1"/>
    <xf numFmtId="180" fontId="2" fillId="0" borderId="0" xfId="75" applyNumberFormat="1" applyFont="1"/>
    <xf numFmtId="180" fontId="2" fillId="0" borderId="1" xfId="75" applyNumberFormat="1" applyFont="1" applyBorder="1"/>
    <xf numFmtId="180" fontId="2" fillId="8" borderId="0" xfId="75" applyNumberFormat="1" applyFont="1" applyFill="1"/>
    <xf numFmtId="0" fontId="2" fillId="14" borderId="0" xfId="0" applyFont="1" applyFill="1"/>
    <xf numFmtId="43" fontId="2" fillId="61" borderId="0" xfId="0" applyNumberFormat="1" applyFont="1" applyFill="1"/>
    <xf numFmtId="180" fontId="2" fillId="61" borderId="0" xfId="0" applyNumberFormat="1" applyFont="1" applyFill="1"/>
    <xf numFmtId="180" fontId="2" fillId="61" borderId="0" xfId="75" applyNumberFormat="1" applyFont="1" applyFill="1"/>
    <xf numFmtId="180" fontId="2" fillId="61" borderId="0" xfId="75" applyNumberFormat="1" applyFill="1"/>
    <xf numFmtId="180" fontId="284" fillId="0" borderId="0" xfId="0" applyNumberFormat="1" applyFont="1" applyAlignment="1">
      <alignment horizontal="center"/>
    </xf>
    <xf numFmtId="180" fontId="0" fillId="0" borderId="0" xfId="0" applyNumberFormat="1" applyFill="1"/>
    <xf numFmtId="180" fontId="2" fillId="52" borderId="0" xfId="75" applyNumberFormat="1" applyFill="1"/>
    <xf numFmtId="180" fontId="2" fillId="0" borderId="0" xfId="75" applyNumberFormat="1" applyFill="1"/>
    <xf numFmtId="180" fontId="0" fillId="61" borderId="0" xfId="0" applyNumberFormat="1" applyFill="1"/>
    <xf numFmtId="43" fontId="0" fillId="61" borderId="0" xfId="29" applyFont="1" applyFill="1"/>
    <xf numFmtId="0" fontId="2" fillId="0" borderId="0" xfId="0" applyFont="1"/>
    <xf numFmtId="180" fontId="2" fillId="0" borderId="0" xfId="75" applyNumberFormat="1" applyFont="1" applyFill="1"/>
    <xf numFmtId="43" fontId="2" fillId="52" borderId="0" xfId="0" applyNumberFormat="1" applyFont="1" applyFill="1"/>
    <xf numFmtId="43" fontId="2" fillId="0" borderId="0" xfId="0" applyNumberFormat="1" applyFont="1" applyFill="1"/>
    <xf numFmtId="180" fontId="2" fillId="52" borderId="0" xfId="75" applyNumberFormat="1" applyFont="1" applyFill="1"/>
    <xf numFmtId="0" fontId="2" fillId="0" borderId="4" xfId="0" applyFont="1" applyBorder="1" applyProtection="1">
      <protection locked="0"/>
    </xf>
    <xf numFmtId="0" fontId="2" fillId="0" borderId="1" xfId="0" applyFont="1" applyBorder="1" applyProtection="1">
      <protection locked="0"/>
    </xf>
    <xf numFmtId="0" fontId="15" fillId="0" borderId="0" xfId="0" applyFont="1"/>
    <xf numFmtId="0" fontId="0" fillId="0" borderId="0" xfId="0" applyBorder="1"/>
    <xf numFmtId="0" fontId="21" fillId="0" borderId="0" xfId="0" applyFont="1" applyBorder="1"/>
    <xf numFmtId="0" fontId="2" fillId="0" borderId="0" xfId="0" applyFont="1" applyBorder="1"/>
    <xf numFmtId="0" fontId="2" fillId="0" borderId="8" xfId="0" applyFont="1" applyBorder="1" applyProtection="1">
      <protection locked="0"/>
    </xf>
    <xf numFmtId="0" fontId="2" fillId="0" borderId="0" xfId="0" applyFont="1" applyBorder="1" applyProtection="1">
      <protection locked="0"/>
    </xf>
    <xf numFmtId="176" fontId="2" fillId="0" borderId="1" xfId="81" applyNumberFormat="1" applyFont="1" applyBorder="1" applyProtection="1"/>
    <xf numFmtId="176" fontId="2" fillId="0" borderId="18" xfId="81" applyNumberFormat="1" applyFont="1" applyBorder="1" applyProtection="1"/>
    <xf numFmtId="176" fontId="2" fillId="0" borderId="0" xfId="81" applyNumberFormat="1" applyFont="1" applyProtection="1"/>
    <xf numFmtId="176" fontId="2" fillId="0" borderId="3" xfId="81" applyNumberFormat="1" applyFont="1" applyBorder="1" applyProtection="1"/>
    <xf numFmtId="176" fontId="4" fillId="0" borderId="14" xfId="81" applyNumberFormat="1" applyFont="1" applyBorder="1" applyProtection="1"/>
    <xf numFmtId="0" fontId="2" fillId="0" borderId="0" xfId="0" applyFont="1"/>
    <xf numFmtId="0" fontId="0" fillId="0" borderId="0" xfId="0"/>
    <xf numFmtId="0" fontId="63" fillId="0" borderId="0" xfId="115" applyFont="1" applyAlignment="1">
      <alignment horizontal="center" vertical="center"/>
    </xf>
    <xf numFmtId="0" fontId="0" fillId="0" borderId="0" xfId="0"/>
    <xf numFmtId="0" fontId="2" fillId="0" borderId="0" xfId="0" applyFont="1" applyFill="1"/>
    <xf numFmtId="0" fontId="0" fillId="62" borderId="0" xfId="0" applyFill="1"/>
    <xf numFmtId="0" fontId="15" fillId="61" borderId="0" xfId="0" applyFont="1" applyFill="1"/>
    <xf numFmtId="0" fontId="15" fillId="0" borderId="0" xfId="0" applyFont="1" applyFill="1"/>
    <xf numFmtId="0" fontId="285" fillId="0" borderId="0" xfId="0" applyFont="1"/>
    <xf numFmtId="0" fontId="286" fillId="0" borderId="0" xfId="0" applyFont="1"/>
    <xf numFmtId="0" fontId="0" fillId="0" borderId="0" xfId="0"/>
    <xf numFmtId="0" fontId="2" fillId="0" borderId="0" xfId="0" applyFont="1"/>
    <xf numFmtId="0" fontId="7" fillId="0" borderId="0" xfId="89" applyFont="1"/>
    <xf numFmtId="0" fontId="0" fillId="0" borderId="0" xfId="0"/>
    <xf numFmtId="0" fontId="265" fillId="0" borderId="0" xfId="114" applyFont="1"/>
    <xf numFmtId="180" fontId="0" fillId="0" borderId="1" xfId="0" applyNumberFormat="1" applyFill="1" applyBorder="1"/>
    <xf numFmtId="0" fontId="0" fillId="0" borderId="0" xfId="0"/>
    <xf numFmtId="0" fontId="2" fillId="0" borderId="0" xfId="0" applyFont="1"/>
    <xf numFmtId="0" fontId="0" fillId="0" borderId="0" xfId="0" applyAlignment="1">
      <alignment horizontal="center"/>
    </xf>
    <xf numFmtId="0" fontId="12" fillId="0" borderId="0" xfId="69" applyFont="1" applyAlignment="1">
      <alignment horizontal="left" indent="1"/>
    </xf>
    <xf numFmtId="0" fontId="0" fillId="0" borderId="0" xfId="0"/>
    <xf numFmtId="0" fontId="2" fillId="0" borderId="0" xfId="0" applyFont="1"/>
    <xf numFmtId="0" fontId="63" fillId="0" borderId="0" xfId="115" applyFont="1" applyAlignment="1">
      <alignment horizontal="center" vertical="center"/>
    </xf>
    <xf numFmtId="0" fontId="2" fillId="0" borderId="1" xfId="81" applyFont="1" applyBorder="1" applyAlignment="1">
      <alignment horizontal="center"/>
    </xf>
    <xf numFmtId="0" fontId="2" fillId="0" borderId="0" xfId="81" applyFont="1" applyAlignment="1">
      <alignment horizontal="center"/>
    </xf>
    <xf numFmtId="0" fontId="2" fillId="0" borderId="0" xfId="81" applyFont="1" applyAlignment="1">
      <alignment horizontal="left"/>
    </xf>
    <xf numFmtId="0" fontId="2" fillId="0" borderId="0" xfId="81" applyFont="1" applyAlignment="1" applyProtection="1">
      <alignment horizontal="center"/>
      <protection locked="0"/>
    </xf>
    <xf numFmtId="0" fontId="2" fillId="0" borderId="1" xfId="81" applyFont="1" applyBorder="1" applyAlignment="1" applyProtection="1">
      <alignment horizontal="center"/>
      <protection locked="0"/>
    </xf>
    <xf numFmtId="0" fontId="2" fillId="0" borderId="0" xfId="81" applyFont="1" applyProtection="1">
      <protection locked="0"/>
    </xf>
    <xf numFmtId="176" fontId="2" fillId="0" borderId="0" xfId="81" applyNumberFormat="1" applyFont="1" applyProtection="1">
      <protection locked="0"/>
    </xf>
    <xf numFmtId="0" fontId="2" fillId="0" borderId="11" xfId="0" applyFont="1" applyBorder="1" applyAlignment="1">
      <alignment vertical="top" wrapText="1"/>
    </xf>
    <xf numFmtId="0" fontId="0" fillId="0" borderId="0" xfId="0"/>
    <xf numFmtId="0" fontId="2" fillId="0" borderId="0" xfId="0" applyFont="1"/>
    <xf numFmtId="0" fontId="2" fillId="0" borderId="0" xfId="81" applyFont="1" applyAlignment="1" applyProtection="1">
      <alignment horizontal="center"/>
      <protection locked="0"/>
    </xf>
    <xf numFmtId="189" fontId="2" fillId="0" borderId="0" xfId="81" applyNumberFormat="1" applyFont="1" applyAlignment="1">
      <alignment horizontal="center"/>
    </xf>
    <xf numFmtId="16" fontId="2" fillId="0" borderId="0" xfId="81" applyNumberFormat="1" applyFont="1" applyAlignment="1">
      <alignment horizontal="center"/>
    </xf>
    <xf numFmtId="0" fontId="2" fillId="0" borderId="1" xfId="81" applyFont="1" applyBorder="1" applyAlignment="1">
      <alignment horizontal="center"/>
    </xf>
    <xf numFmtId="0" fontId="2" fillId="0" borderId="0" xfId="81" applyFont="1" applyAlignment="1">
      <alignment horizontal="center"/>
    </xf>
    <xf numFmtId="176" fontId="2" fillId="0" borderId="0" xfId="81" applyNumberFormat="1" applyFont="1" applyProtection="1">
      <protection locked="0"/>
    </xf>
    <xf numFmtId="0" fontId="2" fillId="0" borderId="1" xfId="81" applyFont="1" applyBorder="1" applyAlignment="1" applyProtection="1">
      <alignment horizontal="center"/>
      <protection locked="0"/>
    </xf>
    <xf numFmtId="0" fontId="2" fillId="0" borderId="2" xfId="81" applyFont="1" applyBorder="1" applyAlignment="1">
      <alignment horizontal="center"/>
    </xf>
    <xf numFmtId="0" fontId="2" fillId="0" borderId="0" xfId="81" applyFont="1" applyAlignment="1"/>
    <xf numFmtId="0" fontId="2" fillId="0" borderId="1" xfId="81" applyFont="1" applyBorder="1" applyAlignment="1"/>
    <xf numFmtId="176" fontId="2" fillId="0" borderId="0" xfId="81" applyNumberFormat="1" applyFont="1" applyAlignment="1" applyProtection="1">
      <protection locked="0"/>
    </xf>
    <xf numFmtId="0" fontId="2" fillId="0" borderId="4" xfId="81" applyFont="1" applyBorder="1" applyAlignment="1"/>
    <xf numFmtId="0" fontId="2" fillId="0" borderId="0" xfId="81" applyFont="1" applyBorder="1" applyAlignment="1">
      <alignment horizontal="center"/>
    </xf>
    <xf numFmtId="16" fontId="2" fillId="0" borderId="0" xfId="81" applyNumberFormat="1" applyFont="1" applyBorder="1" applyAlignment="1"/>
    <xf numFmtId="189" fontId="2" fillId="0" borderId="0" xfId="81" applyNumberFormat="1" applyFont="1" applyBorder="1" applyAlignment="1"/>
    <xf numFmtId="176" fontId="2" fillId="0" borderId="0" xfId="81" applyNumberFormat="1" applyFont="1" applyBorder="1" applyAlignment="1" applyProtection="1">
      <protection locked="0"/>
    </xf>
    <xf numFmtId="176" fontId="2" fillId="0" borderId="0" xfId="81" applyNumberFormat="1" applyFont="1" applyBorder="1" applyProtection="1">
      <protection locked="0"/>
    </xf>
    <xf numFmtId="176" fontId="2" fillId="0" borderId="0" xfId="81" applyNumberFormat="1" applyFont="1" applyBorder="1" applyAlignment="1" applyProtection="1"/>
    <xf numFmtId="0" fontId="225" fillId="0" borderId="0" xfId="0" applyFont="1" applyBorder="1"/>
    <xf numFmtId="176" fontId="2" fillId="0" borderId="0" xfId="81" applyNumberFormat="1" applyFont="1" applyBorder="1" applyAlignment="1" applyProtection="1">
      <alignment horizontal="center"/>
      <protection locked="0"/>
    </xf>
    <xf numFmtId="0" fontId="2" fillId="0" borderId="4" xfId="81" applyFont="1" applyBorder="1" applyAlignment="1" applyProtection="1">
      <alignment horizontal="center"/>
      <protection locked="0"/>
    </xf>
    <xf numFmtId="0" fontId="2" fillId="0" borderId="1" xfId="81" applyFont="1" applyBorder="1"/>
    <xf numFmtId="0" fontId="2" fillId="0" borderId="0" xfId="81" applyFont="1" applyAlignment="1" applyProtection="1">
      <protection locked="0"/>
    </xf>
    <xf numFmtId="0" fontId="63" fillId="0" borderId="0" xfId="115" applyFont="1" applyAlignment="1">
      <alignment vertical="center"/>
    </xf>
    <xf numFmtId="39" fontId="2" fillId="0" borderId="0" xfId="81" applyNumberFormat="1" applyFont="1" applyBorder="1" applyAlignment="1" applyProtection="1"/>
    <xf numFmtId="0" fontId="4" fillId="0" borderId="0" xfId="91" applyFont="1" applyAlignment="1">
      <alignment horizontal="right"/>
    </xf>
    <xf numFmtId="0" fontId="0" fillId="0" borderId="0" xfId="0"/>
    <xf numFmtId="0" fontId="247" fillId="0" borderId="0" xfId="69"/>
    <xf numFmtId="0" fontId="2" fillId="0" borderId="0" xfId="0" applyFont="1" applyBorder="1" applyAlignment="1">
      <alignment wrapText="1"/>
    </xf>
    <xf numFmtId="0" fontId="49" fillId="0" borderId="0" xfId="57" applyFill="1" applyAlignment="1" applyProtection="1">
      <alignment horizontal="left"/>
      <protection hidden="1"/>
    </xf>
    <xf numFmtId="0" fontId="2" fillId="0" borderId="0" xfId="0" applyFont="1"/>
    <xf numFmtId="0" fontId="4" fillId="0" borderId="0" xfId="0" applyFont="1"/>
    <xf numFmtId="0" fontId="2" fillId="0" borderId="0" xfId="81" applyFont="1" applyAlignment="1">
      <alignment horizontal="center"/>
    </xf>
    <xf numFmtId="0" fontId="2" fillId="0" borderId="0" xfId="81" applyFont="1" applyAlignment="1">
      <alignment horizontal="center"/>
    </xf>
    <xf numFmtId="0" fontId="10" fillId="0" borderId="0" xfId="0" applyFont="1" applyFill="1" applyAlignment="1" applyProtection="1">
      <alignment horizontal="left"/>
      <protection hidden="1"/>
    </xf>
    <xf numFmtId="0" fontId="10" fillId="58" borderId="0" xfId="0" applyFont="1" applyFill="1" applyAlignment="1" applyProtection="1">
      <alignment horizontal="left"/>
      <protection hidden="1"/>
    </xf>
    <xf numFmtId="0" fontId="10" fillId="0" borderId="0" xfId="0" applyFont="1" applyFill="1" applyProtection="1">
      <protection hidden="1"/>
    </xf>
    <xf numFmtId="0" fontId="61" fillId="0" borderId="0" xfId="81" applyFont="1" applyProtection="1"/>
    <xf numFmtId="0" fontId="224" fillId="0" borderId="0" xfId="81" applyFont="1" applyProtection="1"/>
    <xf numFmtId="0" fontId="224" fillId="0" borderId="0" xfId="81" applyFont="1" applyAlignment="1" applyProtection="1">
      <alignment horizontal="center"/>
    </xf>
    <xf numFmtId="0" fontId="2" fillId="0" borderId="0" xfId="81" applyFont="1" applyProtection="1"/>
    <xf numFmtId="0" fontId="2" fillId="0" borderId="0" xfId="81" applyFont="1" applyAlignment="1" applyProtection="1">
      <alignment horizontal="center"/>
    </xf>
    <xf numFmtId="176" fontId="2" fillId="0" borderId="1" xfId="94" applyNumberFormat="1" applyFont="1" applyBorder="1" applyProtection="1">
      <protection locked="0"/>
    </xf>
    <xf numFmtId="49" fontId="12" fillId="0" borderId="4" xfId="106" applyNumberFormat="1" applyFont="1" applyBorder="1" applyAlignment="1" applyProtection="1">
      <alignment horizontal="center"/>
      <protection locked="0"/>
    </xf>
    <xf numFmtId="49" fontId="12" fillId="0" borderId="1" xfId="106" applyNumberFormat="1" applyFont="1" applyBorder="1" applyAlignment="1" applyProtection="1">
      <alignment horizontal="center"/>
      <protection locked="0"/>
    </xf>
    <xf numFmtId="0" fontId="0" fillId="0" borderId="0" xfId="0"/>
    <xf numFmtId="0" fontId="2" fillId="0" borderId="0" xfId="0" applyFont="1"/>
    <xf numFmtId="0" fontId="4" fillId="0" borderId="1" xfId="0" applyFont="1" applyBorder="1" applyAlignment="1">
      <alignment horizontal="center"/>
    </xf>
    <xf numFmtId="166" fontId="15" fillId="0" borderId="0" xfId="0" applyNumberFormat="1" applyFont="1"/>
    <xf numFmtId="0" fontId="0" fillId="0" borderId="0" xfId="0" applyAlignment="1">
      <alignment horizontal="center"/>
    </xf>
    <xf numFmtId="0" fontId="15" fillId="54" borderId="0" xfId="0" applyFont="1" applyFill="1"/>
    <xf numFmtId="0" fontId="4" fillId="0" borderId="0" xfId="104" applyFont="1" applyBorder="1" applyAlignment="1">
      <alignment horizontal="centerContinuous"/>
    </xf>
    <xf numFmtId="0" fontId="2" fillId="0" borderId="0" xfId="104" applyFont="1" applyBorder="1" applyAlignment="1">
      <alignment horizontal="centerContinuous"/>
    </xf>
    <xf numFmtId="0" fontId="0" fillId="0" borderId="0" xfId="0"/>
    <xf numFmtId="0" fontId="4" fillId="0" borderId="1" xfId="0" applyFont="1" applyBorder="1" applyAlignment="1">
      <alignment horizontal="center"/>
    </xf>
    <xf numFmtId="166" fontId="15" fillId="0" borderId="0" xfId="0" applyNumberFormat="1" applyFont="1"/>
    <xf numFmtId="0" fontId="247" fillId="0" borderId="0" xfId="69"/>
    <xf numFmtId="0" fontId="38" fillId="0" borderId="0" xfId="81" applyFont="1" applyAlignment="1">
      <alignment horizontal="left"/>
    </xf>
    <xf numFmtId="0" fontId="246" fillId="0" borderId="0" xfId="0" applyFont="1" applyAlignment="1">
      <alignment horizontal="left" vertical="center"/>
    </xf>
    <xf numFmtId="49" fontId="246" fillId="0" borderId="0" xfId="0" applyNumberFormat="1" applyFont="1" applyAlignment="1">
      <alignment horizontal="left" vertical="center" wrapText="1"/>
    </xf>
    <xf numFmtId="0" fontId="0" fillId="0" borderId="0" xfId="0" applyAlignment="1" applyProtection="1">
      <alignment horizontal="left" vertical="center"/>
      <protection locked="0"/>
    </xf>
    <xf numFmtId="164" fontId="2" fillId="0" borderId="0" xfId="69" applyNumberFormat="1" applyFont="1" applyAlignment="1">
      <alignment horizontal="center" shrinkToFit="1"/>
    </xf>
    <xf numFmtId="0" fontId="5" fillId="0" borderId="0" xfId="69" applyFont="1" applyAlignment="1">
      <alignment horizontal="center"/>
    </xf>
    <xf numFmtId="14" fontId="4" fillId="0" borderId="1" xfId="69" applyNumberFormat="1" applyFont="1" applyBorder="1" applyAlignment="1">
      <alignment horizontal="center"/>
    </xf>
    <xf numFmtId="191" fontId="2" fillId="0" borderId="1" xfId="81" applyNumberFormat="1" applyFont="1" applyBorder="1" applyAlignment="1" applyProtection="1">
      <alignment horizontal="center"/>
      <protection locked="0"/>
    </xf>
    <xf numFmtId="176" fontId="2" fillId="0" borderId="0" xfId="81" applyNumberFormat="1" applyFont="1" applyAlignment="1" applyProtection="1">
      <alignment horizontal="center"/>
      <protection locked="0"/>
    </xf>
    <xf numFmtId="176" fontId="4" fillId="0" borderId="0" xfId="81" applyNumberFormat="1" applyFont="1" applyAlignment="1" applyProtection="1">
      <alignment horizontal="center"/>
      <protection locked="0"/>
    </xf>
    <xf numFmtId="1" fontId="2" fillId="0" borderId="1" xfId="81" applyNumberFormat="1" applyFont="1" applyBorder="1" applyAlignment="1" applyProtection="1">
      <alignment horizontal="center"/>
      <protection locked="0"/>
    </xf>
    <xf numFmtId="0" fontId="38" fillId="0" borderId="0" xfId="81" applyFont="1" applyAlignment="1" applyProtection="1">
      <alignment horizontal="left"/>
      <protection locked="0"/>
    </xf>
    <xf numFmtId="176" fontId="2" fillId="0" borderId="1" xfId="84" applyNumberFormat="1" applyFont="1" applyBorder="1" applyProtection="1">
      <protection locked="0"/>
    </xf>
    <xf numFmtId="176" fontId="2" fillId="0" borderId="0" xfId="84" applyNumberFormat="1" applyFont="1" applyProtection="1">
      <protection locked="0"/>
    </xf>
    <xf numFmtId="14" fontId="4" fillId="0" borderId="0" xfId="69" applyNumberFormat="1" applyFont="1" applyAlignment="1">
      <alignment horizontal="center"/>
    </xf>
    <xf numFmtId="191" fontId="38" fillId="0" borderId="0" xfId="81" applyNumberFormat="1" applyFont="1" applyAlignment="1" applyProtection="1">
      <alignment horizontal="left"/>
      <protection locked="0"/>
    </xf>
    <xf numFmtId="39" fontId="38" fillId="0" borderId="0" xfId="81" applyNumberFormat="1" applyFont="1" applyProtection="1">
      <protection locked="0"/>
    </xf>
    <xf numFmtId="0" fontId="38" fillId="0" borderId="0" xfId="81" applyFont="1" applyProtection="1">
      <protection locked="0"/>
    </xf>
    <xf numFmtId="176" fontId="48" fillId="0" borderId="0" xfId="81" applyNumberFormat="1" applyFont="1" applyProtection="1">
      <protection locked="0"/>
    </xf>
    <xf numFmtId="0" fontId="38" fillId="0" borderId="0" xfId="81" applyFont="1" applyAlignment="1" applyProtection="1">
      <protection locked="0"/>
    </xf>
    <xf numFmtId="0" fontId="0" fillId="0" borderId="0" xfId="0"/>
    <xf numFmtId="0" fontId="4" fillId="59" borderId="0" xfId="0" applyFont="1" applyFill="1" applyAlignment="1">
      <alignment horizontal="left"/>
    </xf>
    <xf numFmtId="0" fontId="2" fillId="0" borderId="0" xfId="115" applyFont="1" applyBorder="1" applyAlignment="1" applyProtection="1">
      <alignment horizontal="center"/>
      <protection locked="0"/>
    </xf>
    <xf numFmtId="0" fontId="2" fillId="0" borderId="0" xfId="0" applyFont="1"/>
    <xf numFmtId="0" fontId="38" fillId="0" borderId="0" xfId="81" applyFont="1" applyAlignment="1" applyProtection="1">
      <alignment horizontal="left"/>
      <protection locked="0"/>
    </xf>
    <xf numFmtId="164" fontId="2" fillId="0" borderId="1" xfId="69" applyNumberFormat="1" applyFont="1" applyBorder="1" applyAlignment="1">
      <alignment horizontal="center" shrinkToFit="1"/>
    </xf>
    <xf numFmtId="164" fontId="2" fillId="0" borderId="4" xfId="69" applyNumberFormat="1" applyFont="1" applyBorder="1" applyAlignment="1" applyProtection="1">
      <alignment horizontal="center" shrinkToFit="1"/>
      <protection locked="0"/>
    </xf>
    <xf numFmtId="0" fontId="4" fillId="0" borderId="1" xfId="69" applyFont="1" applyBorder="1" applyAlignment="1">
      <alignment horizontal="center"/>
    </xf>
    <xf numFmtId="0" fontId="2" fillId="0" borderId="0" xfId="69" applyFont="1"/>
    <xf numFmtId="0" fontId="2" fillId="0" borderId="1" xfId="81" applyFont="1" applyBorder="1" applyAlignment="1" applyProtection="1">
      <alignment horizontal="center"/>
      <protection locked="0"/>
    </xf>
    <xf numFmtId="0" fontId="38" fillId="0" borderId="1" xfId="81" applyFont="1" applyBorder="1" applyAlignment="1">
      <alignment horizontal="center"/>
    </xf>
    <xf numFmtId="0" fontId="4" fillId="6" borderId="10" xfId="0" applyFont="1" applyFill="1" applyBorder="1" applyAlignment="1">
      <alignment horizontal="left"/>
    </xf>
    <xf numFmtId="0" fontId="4" fillId="6" borderId="0" xfId="0" applyFont="1" applyFill="1" applyAlignment="1">
      <alignment horizontal="left"/>
    </xf>
    <xf numFmtId="0" fontId="2" fillId="0" borderId="0" xfId="81" applyFont="1" applyAlignment="1" applyProtection="1">
      <alignment horizontal="left"/>
      <protection locked="0"/>
    </xf>
    <xf numFmtId="0" fontId="279" fillId="0" borderId="0" xfId="69" applyFont="1"/>
    <xf numFmtId="0" fontId="76" fillId="0" borderId="0" xfId="81" applyFont="1" applyAlignment="1">
      <alignment horizontal="left"/>
    </xf>
    <xf numFmtId="49" fontId="246" fillId="0" borderId="0" xfId="0" applyNumberFormat="1" applyFont="1" applyAlignment="1">
      <alignment horizontal="left" vertical="top" wrapText="1"/>
    </xf>
    <xf numFmtId="0" fontId="246" fillId="0" borderId="0" xfId="0" applyFont="1" applyAlignment="1">
      <alignment horizontal="center" vertical="center" wrapText="1"/>
    </xf>
    <xf numFmtId="14" fontId="246" fillId="0" borderId="0" xfId="0" applyNumberFormat="1" applyFont="1" applyAlignment="1">
      <alignment horizontal="center" vertical="center"/>
    </xf>
    <xf numFmtId="0" fontId="94" fillId="0" borderId="4" xfId="57" applyFont="1" applyBorder="1" applyAlignment="1" applyProtection="1"/>
    <xf numFmtId="0" fontId="94" fillId="0" borderId="33" xfId="57" applyFont="1" applyBorder="1" applyAlignment="1" applyProtection="1"/>
    <xf numFmtId="0" fontId="2" fillId="0" borderId="0" xfId="0" applyFont="1"/>
    <xf numFmtId="39" fontId="279" fillId="58" borderId="0" xfId="0" applyNumberFormat="1" applyFont="1" applyFill="1" applyBorder="1" applyProtection="1">
      <protection locked="0"/>
    </xf>
    <xf numFmtId="0" fontId="94" fillId="0" borderId="23" xfId="57" applyFont="1" applyBorder="1" applyAlignment="1" applyProtection="1"/>
    <xf numFmtId="180" fontId="0" fillId="0" borderId="0" xfId="0" applyNumberFormat="1" applyFill="1" applyProtection="1">
      <protection locked="0"/>
    </xf>
    <xf numFmtId="0" fontId="189" fillId="0" borderId="0" xfId="0" applyFont="1" applyFill="1"/>
    <xf numFmtId="0" fontId="0" fillId="0" borderId="0" xfId="0"/>
    <xf numFmtId="0" fontId="4" fillId="0" borderId="1" xfId="0" applyFont="1" applyBorder="1" applyAlignment="1">
      <alignment horizontal="center"/>
    </xf>
    <xf numFmtId="183" fontId="15" fillId="0" borderId="0" xfId="0" applyNumberFormat="1" applyFont="1"/>
    <xf numFmtId="43" fontId="0" fillId="52" borderId="0" xfId="29" applyFont="1" applyFill="1"/>
    <xf numFmtId="0" fontId="2" fillId="0" borderId="0" xfId="136" applyFont="1" applyBorder="1"/>
    <xf numFmtId="0" fontId="2" fillId="0" borderId="29" xfId="136" applyFont="1" applyBorder="1"/>
    <xf numFmtId="0" fontId="0" fillId="0" borderId="0" xfId="57" applyFont="1" applyAlignment="1" applyProtection="1"/>
    <xf numFmtId="0" fontId="0" fillId="0" borderId="0" xfId="0"/>
    <xf numFmtId="180" fontId="2" fillId="0" borderId="0" xfId="0" applyNumberFormat="1" applyFont="1"/>
    <xf numFmtId="166" fontId="15" fillId="0" borderId="0" xfId="0" applyNumberFormat="1" applyFont="1"/>
    <xf numFmtId="15" fontId="0" fillId="0" borderId="0" xfId="0" quotePrefix="1" applyNumberFormat="1" applyBorder="1"/>
    <xf numFmtId="0" fontId="0" fillId="0" borderId="0" xfId="0"/>
    <xf numFmtId="0" fontId="4" fillId="0" borderId="0" xfId="0" applyFont="1"/>
    <xf numFmtId="0" fontId="2" fillId="0" borderId="0" xfId="0" applyFont="1"/>
    <xf numFmtId="0" fontId="2" fillId="0" borderId="0" xfId="0" applyFont="1" applyAlignment="1">
      <alignment horizontal="left"/>
    </xf>
    <xf numFmtId="0" fontId="0" fillId="0" borderId="0" xfId="0" applyAlignment="1">
      <alignment horizontal="center"/>
    </xf>
    <xf numFmtId="43" fontId="2" fillId="0" borderId="0" xfId="29" applyAlignment="1">
      <alignment horizontal="center"/>
    </xf>
    <xf numFmtId="43" fontId="0" fillId="0" borderId="0" xfId="0" applyNumberFormat="1"/>
    <xf numFmtId="43" fontId="2" fillId="0" borderId="1" xfId="29" applyBorder="1" applyAlignment="1">
      <alignment horizontal="center"/>
    </xf>
    <xf numFmtId="0" fontId="4" fillId="0" borderId="1" xfId="0" applyFont="1" applyBorder="1" applyAlignment="1">
      <alignment horizontal="center" wrapText="1"/>
    </xf>
    <xf numFmtId="43" fontId="2" fillId="0" borderId="0" xfId="29" applyAlignment="1" applyProtection="1">
      <alignment horizontal="center"/>
      <protection locked="0"/>
    </xf>
    <xf numFmtId="43" fontId="2" fillId="0" borderId="1" xfId="29" applyBorder="1" applyAlignment="1" applyProtection="1">
      <alignment horizontal="center"/>
      <protection locked="0"/>
    </xf>
    <xf numFmtId="0" fontId="2" fillId="0" borderId="0" xfId="0" applyFont="1" applyAlignment="1">
      <alignment horizontal="left" indent="2"/>
    </xf>
    <xf numFmtId="43" fontId="0" fillId="0" borderId="4" xfId="0" applyNumberFormat="1" applyBorder="1"/>
    <xf numFmtId="0" fontId="0" fillId="0" borderId="0" xfId="0" applyBorder="1"/>
    <xf numFmtId="43" fontId="0" fillId="0" borderId="0" xfId="0" applyNumberFormat="1" applyBorder="1"/>
    <xf numFmtId="0" fontId="2" fillId="0" borderId="0" xfId="0" applyFont="1" applyAlignment="1">
      <alignment horizontal="left" indent="1"/>
    </xf>
    <xf numFmtId="44" fontId="0" fillId="0" borderId="3" xfId="40" applyFont="1" applyBorder="1"/>
    <xf numFmtId="0" fontId="2" fillId="0" borderId="0" xfId="0" applyFont="1"/>
    <xf numFmtId="164" fontId="2" fillId="0" borderId="0" xfId="99" applyNumberFormat="1"/>
    <xf numFmtId="0" fontId="2" fillId="0" borderId="0" xfId="0" applyFont="1" applyAlignment="1">
      <alignment horizontal="left" vertical="center"/>
    </xf>
    <xf numFmtId="164" fontId="76" fillId="0" borderId="0" xfId="99" applyNumberFormat="1" applyFont="1" applyAlignment="1">
      <alignment horizontal="center"/>
    </xf>
    <xf numFmtId="0" fontId="2" fillId="0" borderId="0" xfId="89" applyFont="1"/>
    <xf numFmtId="0" fontId="5" fillId="0" borderId="0" xfId="57" applyFont="1" applyAlignment="1" applyProtection="1">
      <alignment vertical="center"/>
    </xf>
    <xf numFmtId="0" fontId="167" fillId="0" borderId="0" xfId="0" applyFont="1" applyAlignment="1">
      <alignment horizontal="left" vertical="center" indent="4"/>
    </xf>
    <xf numFmtId="0" fontId="4" fillId="0" borderId="8" xfId="115" applyFont="1" applyBorder="1"/>
    <xf numFmtId="0" fontId="4" fillId="0" borderId="8" xfId="115" applyFont="1" applyBorder="1" applyAlignment="1">
      <alignment horizontal="center"/>
    </xf>
    <xf numFmtId="0" fontId="2" fillId="0" borderId="8" xfId="115" applyFont="1" applyBorder="1" applyAlignment="1" applyProtection="1">
      <alignment horizontal="center"/>
      <protection locked="0"/>
    </xf>
    <xf numFmtId="0" fontId="8" fillId="0" borderId="8" xfId="115" applyBorder="1"/>
    <xf numFmtId="185" fontId="2" fillId="0" borderId="0" xfId="115" applyNumberFormat="1" applyFont="1" applyAlignment="1">
      <alignment horizontal="center"/>
    </xf>
    <xf numFmtId="0" fontId="7" fillId="0" borderId="0" xfId="93" applyFont="1" applyBorder="1" applyAlignment="1">
      <alignment horizontal="center" shrinkToFit="1"/>
    </xf>
    <xf numFmtId="164" fontId="7" fillId="0" borderId="0" xfId="0" applyNumberFormat="1" applyFont="1" applyBorder="1" applyAlignment="1" applyProtection="1">
      <alignment horizontal="center" shrinkToFit="1"/>
      <protection locked="0"/>
    </xf>
    <xf numFmtId="164" fontId="7" fillId="0" borderId="0" xfId="93" applyNumberFormat="1" applyFont="1" applyBorder="1" applyAlignment="1" applyProtection="1">
      <alignment horizontal="center" shrinkToFit="1"/>
      <protection locked="0"/>
    </xf>
    <xf numFmtId="0" fontId="0" fillId="0" borderId="0" xfId="0"/>
    <xf numFmtId="0" fontId="2" fillId="0" borderId="0" xfId="0" applyFont="1"/>
    <xf numFmtId="0" fontId="2" fillId="0" borderId="0" xfId="0" applyFont="1" applyAlignment="1">
      <alignment horizontal="left"/>
    </xf>
    <xf numFmtId="0" fontId="4" fillId="0" borderId="1" xfId="69" applyFont="1" applyBorder="1" applyAlignment="1">
      <alignment horizontal="center"/>
    </xf>
    <xf numFmtId="0" fontId="2" fillId="0" borderId="1" xfId="85" applyNumberFormat="1" applyFont="1" applyBorder="1" applyAlignment="1" applyProtection="1">
      <alignment horizontal="center"/>
    </xf>
    <xf numFmtId="0" fontId="2" fillId="0" borderId="0" xfId="0" applyFont="1"/>
    <xf numFmtId="0" fontId="0" fillId="0" borderId="0" xfId="0"/>
    <xf numFmtId="0" fontId="2" fillId="0" borderId="0" xfId="0" applyFont="1"/>
    <xf numFmtId="0" fontId="2" fillId="0" borderId="0" xfId="89" applyFont="1"/>
    <xf numFmtId="0" fontId="15" fillId="0" borderId="0" xfId="0" applyFont="1"/>
    <xf numFmtId="0" fontId="119" fillId="4" borderId="44" xfId="0" applyFont="1" applyFill="1" applyBorder="1"/>
    <xf numFmtId="0" fontId="289" fillId="0" borderId="0" xfId="0" applyFont="1" applyProtection="1">
      <protection hidden="1"/>
    </xf>
    <xf numFmtId="0" fontId="2" fillId="0" borderId="0" xfId="0" applyFont="1" applyAlignment="1">
      <alignment horizontal="left" indent="1"/>
    </xf>
    <xf numFmtId="0" fontId="247" fillId="0" borderId="0" xfId="69"/>
    <xf numFmtId="0" fontId="293" fillId="0" borderId="0" xfId="88" applyFont="1" applyAlignment="1">
      <alignment horizontal="right"/>
    </xf>
    <xf numFmtId="0" fontId="293" fillId="0" borderId="0" xfId="88" applyFont="1" applyAlignment="1">
      <alignment horizontal="center"/>
    </xf>
    <xf numFmtId="168" fontId="294" fillId="0" borderId="0" xfId="82" applyFont="1" applyAlignment="1" applyProtection="1">
      <alignment horizontal="center"/>
    </xf>
    <xf numFmtId="168" fontId="294" fillId="0" borderId="0" xfId="82" applyFont="1" applyAlignment="1" applyProtection="1">
      <alignment horizontal="center" wrapText="1"/>
    </xf>
    <xf numFmtId="172" fontId="294" fillId="0" borderId="0" xfId="82" applyNumberFormat="1" applyFont="1" applyAlignment="1" applyProtection="1">
      <alignment horizontal="center"/>
    </xf>
    <xf numFmtId="168" fontId="293" fillId="0" borderId="0" xfId="82" applyFont="1" applyProtection="1"/>
    <xf numFmtId="0" fontId="36" fillId="0" borderId="0" xfId="82" applyNumberFormat="1" applyFont="1" applyAlignment="1" applyProtection="1">
      <alignment horizontal="center"/>
    </xf>
    <xf numFmtId="168" fontId="295" fillId="0" borderId="0" xfId="82" applyFont="1" applyProtection="1"/>
    <xf numFmtId="168" fontId="2" fillId="0" borderId="0" xfId="82" applyFont="1" applyProtection="1"/>
    <xf numFmtId="0" fontId="293" fillId="0" borderId="0" xfId="82" applyNumberFormat="1" applyFont="1" applyProtection="1"/>
    <xf numFmtId="168" fontId="296" fillId="0" borderId="0" xfId="82" applyFont="1" applyProtection="1"/>
    <xf numFmtId="168" fontId="2" fillId="0" borderId="0" xfId="85" applyFont="1" applyProtection="1"/>
    <xf numFmtId="168" fontId="2" fillId="8" borderId="0" xfId="85" applyFont="1" applyFill="1" applyProtection="1"/>
    <xf numFmtId="168" fontId="293" fillId="58" borderId="0" xfId="85" applyFont="1" applyFill="1" applyProtection="1"/>
    <xf numFmtId="168" fontId="293" fillId="0" borderId="0" xfId="85" applyFont="1" applyProtection="1"/>
    <xf numFmtId="168" fontId="297" fillId="0" borderId="0" xfId="85" applyFont="1" applyProtection="1"/>
    <xf numFmtId="168" fontId="293" fillId="0" borderId="0" xfId="82" applyFont="1" applyAlignment="1" applyProtection="1">
      <alignment horizontal="center"/>
    </xf>
    <xf numFmtId="168" fontId="293" fillId="0" borderId="0" xfId="82" applyFont="1" applyAlignment="1" applyProtection="1">
      <alignment horizontal="center" shrinkToFit="1"/>
    </xf>
    <xf numFmtId="168" fontId="294" fillId="0" borderId="0" xfId="85" applyFont="1" applyAlignment="1" applyProtection="1">
      <alignment horizontal="center"/>
    </xf>
    <xf numFmtId="0" fontId="293" fillId="58" borderId="0" xfId="85" applyNumberFormat="1" applyFont="1" applyFill="1" applyProtection="1"/>
    <xf numFmtId="168" fontId="298" fillId="0" borderId="0" xfId="85" applyFont="1" applyProtection="1"/>
    <xf numFmtId="0" fontId="299" fillId="0" borderId="0" xfId="86" applyFont="1"/>
    <xf numFmtId="0" fontId="300" fillId="0" borderId="0" xfId="0" applyFont="1"/>
    <xf numFmtId="0" fontId="301" fillId="0" borderId="0" xfId="95" applyFont="1"/>
    <xf numFmtId="0" fontId="301" fillId="0" borderId="0" xfId="0" applyFont="1"/>
    <xf numFmtId="179" fontId="301" fillId="0" borderId="0" xfId="0" applyNumberFormat="1" applyFont="1"/>
    <xf numFmtId="0" fontId="0" fillId="0" borderId="0" xfId="0"/>
    <xf numFmtId="0" fontId="2" fillId="0" borderId="0" xfId="0" applyFont="1"/>
    <xf numFmtId="0" fontId="4" fillId="0" borderId="0" xfId="0" applyFont="1"/>
    <xf numFmtId="0" fontId="81" fillId="0" borderId="0" xfId="57" applyFont="1" applyAlignment="1" applyProtection="1">
      <alignment horizontal="center"/>
    </xf>
    <xf numFmtId="0" fontId="0" fillId="0" borderId="1" xfId="0" applyBorder="1"/>
    <xf numFmtId="0" fontId="7" fillId="0" borderId="0" xfId="0" applyFont="1" applyAlignment="1">
      <alignment horizontal="center"/>
    </xf>
    <xf numFmtId="0" fontId="15" fillId="0" borderId="0" xfId="0" applyFont="1"/>
    <xf numFmtId="0" fontId="4" fillId="0" borderId="0" xfId="0" applyFont="1" applyAlignment="1">
      <alignment horizontal="center"/>
    </xf>
    <xf numFmtId="0" fontId="0" fillId="0" borderId="0" xfId="0" applyAlignment="1">
      <alignment horizontal="left"/>
    </xf>
    <xf numFmtId="0" fontId="2" fillId="0" borderId="0" xfId="0" applyFont="1" applyAlignment="1">
      <alignment horizontal="left"/>
    </xf>
    <xf numFmtId="0" fontId="247" fillId="0" borderId="0" xfId="69"/>
    <xf numFmtId="0" fontId="2" fillId="0" borderId="0" xfId="88" applyFont="1" applyProtection="1">
      <protection hidden="1"/>
    </xf>
    <xf numFmtId="0" fontId="270" fillId="0" borderId="0" xfId="57" applyFont="1" applyAlignment="1" applyProtection="1">
      <alignment horizontal="center"/>
    </xf>
    <xf numFmtId="0" fontId="15" fillId="0" borderId="0" xfId="0" applyFont="1" applyAlignment="1">
      <alignment horizontal="center"/>
    </xf>
    <xf numFmtId="0" fontId="293" fillId="0" borderId="0" xfId="0" applyFont="1"/>
    <xf numFmtId="0" fontId="293" fillId="6" borderId="0" xfId="0" applyFont="1" applyFill="1" applyAlignment="1">
      <alignment horizontal="center"/>
    </xf>
    <xf numFmtId="0" fontId="293" fillId="6" borderId="0" xfId="0" applyFont="1" applyFill="1"/>
    <xf numFmtId="0" fontId="293" fillId="0" borderId="0" xfId="86" applyFont="1"/>
    <xf numFmtId="0" fontId="297" fillId="0" borderId="0" xfId="86" applyFont="1"/>
    <xf numFmtId="0" fontId="302" fillId="0" borderId="0" xfId="86" applyFont="1"/>
    <xf numFmtId="172" fontId="4" fillId="0" borderId="0" xfId="84" applyNumberFormat="1" applyFont="1" applyAlignment="1">
      <alignment horizontal="center"/>
    </xf>
    <xf numFmtId="0" fontId="293" fillId="0" borderId="0" xfId="84" applyFont="1" applyAlignment="1">
      <alignment horizontal="center"/>
    </xf>
    <xf numFmtId="0" fontId="303" fillId="0" borderId="0" xfId="84" applyFont="1" applyAlignment="1">
      <alignment horizontal="center"/>
    </xf>
    <xf numFmtId="172" fontId="303" fillId="0" borderId="0" xfId="84" applyNumberFormat="1" applyFont="1" applyAlignment="1">
      <alignment horizontal="center"/>
    </xf>
    <xf numFmtId="0" fontId="293" fillId="0" borderId="0" xfId="84" applyFont="1"/>
    <xf numFmtId="0" fontId="293" fillId="0" borderId="0" xfId="88" applyFont="1"/>
    <xf numFmtId="176" fontId="2" fillId="0" borderId="0" xfId="88" applyNumberFormat="1" applyFont="1"/>
    <xf numFmtId="0" fontId="299" fillId="0" borderId="0" xfId="88" applyFont="1"/>
    <xf numFmtId="0" fontId="301" fillId="0" borderId="0" xfId="88" applyFont="1"/>
    <xf numFmtId="0" fontId="301" fillId="0" borderId="0" xfId="88" applyFont="1" applyAlignment="1">
      <alignment horizontal="center"/>
    </xf>
    <xf numFmtId="0" fontId="2" fillId="0" borderId="0" xfId="0" applyFont="1" applyBorder="1" applyAlignment="1" applyProtection="1">
      <alignment horizontal="center"/>
      <protection locked="0"/>
    </xf>
    <xf numFmtId="0" fontId="297" fillId="0" borderId="0" xfId="88" applyFont="1"/>
    <xf numFmtId="0" fontId="304" fillId="0" borderId="0" xfId="88" applyFont="1"/>
    <xf numFmtId="0" fontId="296" fillId="0" borderId="0" xfId="88" applyFont="1"/>
    <xf numFmtId="0" fontId="6" fillId="0" borderId="0" xfId="88" applyFont="1"/>
    <xf numFmtId="0" fontId="305" fillId="0" borderId="0" xfId="88" applyFont="1"/>
    <xf numFmtId="0" fontId="293" fillId="0" borderId="0" xfId="0" applyFont="1" applyAlignment="1" applyProtection="1">
      <alignment horizontal="center"/>
    </xf>
    <xf numFmtId="0" fontId="293" fillId="0" borderId="0" xfId="0" applyFont="1" applyProtection="1"/>
    <xf numFmtId="0" fontId="4" fillId="0" borderId="0" xfId="0" applyFont="1" applyAlignment="1" applyProtection="1">
      <alignment horizontal="center"/>
    </xf>
    <xf numFmtId="0" fontId="7" fillId="0" borderId="0" xfId="0" applyFont="1" applyProtection="1"/>
    <xf numFmtId="0" fontId="295" fillId="0" borderId="0" xfId="94" applyFont="1"/>
    <xf numFmtId="0" fontId="293" fillId="0" borderId="0" xfId="94" applyFont="1"/>
    <xf numFmtId="0" fontId="302" fillId="0" borderId="0" xfId="94" applyFont="1"/>
    <xf numFmtId="0" fontId="297" fillId="0" borderId="0" xfId="89" applyFont="1"/>
    <xf numFmtId="0" fontId="293" fillId="0" borderId="0" xfId="89" applyFont="1"/>
    <xf numFmtId="0" fontId="293" fillId="0" borderId="0" xfId="89" applyFont="1" applyAlignment="1">
      <alignment horizontal="center"/>
    </xf>
    <xf numFmtId="0" fontId="296" fillId="0" borderId="0" xfId="89" applyFont="1"/>
    <xf numFmtId="0" fontId="293" fillId="0" borderId="0" xfId="102" applyFont="1"/>
    <xf numFmtId="0" fontId="183" fillId="0" borderId="0" xfId="0" applyFont="1" applyAlignment="1"/>
    <xf numFmtId="0" fontId="306" fillId="0" borderId="0" xfId="89" applyFont="1"/>
    <xf numFmtId="0" fontId="306" fillId="0" borderId="0" xfId="88" applyFont="1"/>
    <xf numFmtId="0" fontId="307" fillId="0" borderId="0" xfId="69" applyFont="1"/>
    <xf numFmtId="0" fontId="308" fillId="0" borderId="0" xfId="69" applyFont="1"/>
    <xf numFmtId="0" fontId="309" fillId="0" borderId="0" xfId="101" applyFont="1" applyAlignment="1">
      <alignment horizontal="center"/>
    </xf>
    <xf numFmtId="0" fontId="309" fillId="0" borderId="0" xfId="101" applyFont="1" applyAlignment="1">
      <alignment horizontal="left"/>
    </xf>
    <xf numFmtId="0" fontId="11" fillId="0" borderId="0" xfId="98" applyFont="1" applyAlignment="1">
      <alignment horizontal="center"/>
    </xf>
    <xf numFmtId="0" fontId="29" fillId="0" borderId="0" xfId="98" applyFont="1"/>
    <xf numFmtId="0" fontId="302" fillId="0" borderId="0" xfId="98" applyFont="1"/>
    <xf numFmtId="0" fontId="310" fillId="0" borderId="0" xfId="0" applyFont="1"/>
    <xf numFmtId="0" fontId="311" fillId="0" borderId="0" xfId="0" applyFont="1"/>
    <xf numFmtId="0" fontId="302" fillId="0" borderId="0" xfId="101" applyFont="1"/>
    <xf numFmtId="0" fontId="81" fillId="0" borderId="0" xfId="57" applyFont="1" applyAlignment="1" applyProtection="1">
      <alignment horizontal="center" vertical="center"/>
    </xf>
    <xf numFmtId="0" fontId="163" fillId="64" borderId="15" xfId="0" applyFont="1" applyFill="1" applyBorder="1" applyProtection="1"/>
    <xf numFmtId="0" fontId="312" fillId="0" borderId="0" xfId="114" applyFont="1" applyAlignment="1" applyProtection="1">
      <alignment horizontal="center"/>
    </xf>
    <xf numFmtId="0" fontId="18" fillId="0" borderId="0" xfId="114" applyFont="1" applyProtection="1"/>
    <xf numFmtId="0" fontId="301" fillId="0" borderId="0" xfId="0" applyFont="1" applyAlignment="1" applyProtection="1">
      <alignment horizontal="center"/>
    </xf>
    <xf numFmtId="0" fontId="0" fillId="0" borderId="0" xfId="0" applyProtection="1"/>
    <xf numFmtId="0" fontId="301" fillId="0" borderId="0" xfId="114" applyFont="1" applyAlignment="1" applyProtection="1">
      <alignment horizontal="center"/>
    </xf>
    <xf numFmtId="0" fontId="2" fillId="0" borderId="0" xfId="114" applyFont="1" applyProtection="1"/>
    <xf numFmtId="0" fontId="301" fillId="0" borderId="0" xfId="114" applyFont="1" applyAlignment="1" applyProtection="1">
      <alignment horizontal="center" shrinkToFit="1"/>
    </xf>
    <xf numFmtId="0" fontId="2" fillId="0" borderId="0" xfId="114" applyFont="1" applyAlignment="1" applyProtection="1">
      <alignment shrinkToFit="1"/>
    </xf>
    <xf numFmtId="0" fontId="301" fillId="0" borderId="0" xfId="95" applyFont="1" applyAlignment="1" applyProtection="1">
      <alignment horizontal="center"/>
    </xf>
    <xf numFmtId="0" fontId="2" fillId="0" borderId="0" xfId="95" applyFont="1" applyProtection="1"/>
    <xf numFmtId="0" fontId="301" fillId="0" borderId="0" xfId="0" quotePrefix="1" applyFont="1" applyAlignment="1" applyProtection="1">
      <alignment horizontal="center"/>
    </xf>
    <xf numFmtId="0" fontId="2" fillId="0" borderId="0" xfId="0" applyFont="1" applyProtection="1"/>
    <xf numFmtId="0" fontId="301" fillId="0" borderId="0" xfId="0" applyFont="1" applyProtection="1"/>
    <xf numFmtId="0" fontId="18" fillId="0" borderId="0" xfId="114" applyFont="1" applyAlignment="1" applyProtection="1">
      <alignment horizontal="center" vertical="center"/>
    </xf>
    <xf numFmtId="0" fontId="0" fillId="0" borderId="0" xfId="0" applyAlignment="1" applyProtection="1">
      <alignment horizontal="center" vertical="center"/>
    </xf>
    <xf numFmtId="0" fontId="2" fillId="0" borderId="0" xfId="114" applyFont="1" applyAlignment="1" applyProtection="1">
      <alignment horizontal="center" vertical="center"/>
    </xf>
    <xf numFmtId="0" fontId="12" fillId="0" borderId="0" xfId="103" applyFont="1" applyProtection="1"/>
    <xf numFmtId="0" fontId="2" fillId="0" borderId="0" xfId="114" applyFont="1" applyAlignment="1" applyProtection="1">
      <alignment horizontal="center" vertical="center" shrinkToFit="1"/>
    </xf>
    <xf numFmtId="0" fontId="2" fillId="0" borderId="0" xfId="114" applyFont="1" applyAlignment="1" applyProtection="1">
      <alignment horizontal="center" shrinkToFit="1"/>
    </xf>
    <xf numFmtId="0" fontId="2" fillId="0" borderId="0" xfId="95" applyFont="1" applyAlignment="1" applyProtection="1">
      <alignment horizontal="center" vertical="center"/>
    </xf>
    <xf numFmtId="0" fontId="163" fillId="64" borderId="15" xfId="0" applyFont="1" applyFill="1" applyBorder="1" applyAlignment="1" applyProtection="1">
      <alignment horizontal="left"/>
    </xf>
    <xf numFmtId="0" fontId="301" fillId="0" borderId="0" xfId="0" quotePrefix="1" applyFont="1" applyAlignment="1" applyProtection="1">
      <alignment horizontal="center" vertical="center"/>
    </xf>
    <xf numFmtId="0" fontId="301" fillId="0" borderId="0" xfId="0" applyFont="1" applyAlignment="1" applyProtection="1">
      <alignment horizontal="center" vertical="center"/>
    </xf>
    <xf numFmtId="0" fontId="265" fillId="0" borderId="0" xfId="0" applyFont="1" applyAlignment="1" applyProtection="1">
      <alignment horizontal="center"/>
    </xf>
    <xf numFmtId="0" fontId="301" fillId="63" borderId="0" xfId="0" applyFont="1" applyFill="1" applyAlignment="1" applyProtection="1">
      <alignment horizontal="center" vertical="center"/>
    </xf>
    <xf numFmtId="0" fontId="265" fillId="0" borderId="0" xfId="0" applyFont="1" applyProtection="1"/>
    <xf numFmtId="0" fontId="301" fillId="0" borderId="0" xfId="0" applyFont="1" applyBorder="1" applyAlignment="1" applyProtection="1">
      <alignment horizontal="center" vertical="center"/>
    </xf>
    <xf numFmtId="0" fontId="265" fillId="0" borderId="0" xfId="0" applyFont="1" applyAlignment="1" applyProtection="1">
      <alignment horizontal="center" vertical="center"/>
    </xf>
    <xf numFmtId="0" fontId="301" fillId="63" borderId="0" xfId="0" applyFont="1" applyFill="1" applyProtection="1"/>
    <xf numFmtId="0" fontId="301" fillId="0" borderId="0" xfId="0" applyFont="1" applyAlignment="1" applyProtection="1">
      <alignment horizontal="right"/>
    </xf>
    <xf numFmtId="0" fontId="301" fillId="0" borderId="0" xfId="0" quotePrefix="1" applyFont="1" applyProtection="1"/>
    <xf numFmtId="0" fontId="312" fillId="0" borderId="0" xfId="114" applyFont="1" applyProtection="1"/>
    <xf numFmtId="0" fontId="301" fillId="0" borderId="0" xfId="114" applyFont="1" applyProtection="1"/>
    <xf numFmtId="0" fontId="301" fillId="0" borderId="0" xfId="114" applyFont="1" applyAlignment="1" applyProtection="1">
      <alignment shrinkToFit="1"/>
    </xf>
    <xf numFmtId="0" fontId="301" fillId="0" borderId="0" xfId="95" applyFont="1" applyProtection="1"/>
    <xf numFmtId="0" fontId="64" fillId="0" borderId="0" xfId="95" applyFont="1" applyProtection="1"/>
    <xf numFmtId="0" fontId="313" fillId="8" borderId="0" xfId="95" applyFont="1" applyFill="1" applyAlignment="1" applyProtection="1">
      <alignment horizontal="center"/>
    </xf>
    <xf numFmtId="0" fontId="301" fillId="0" borderId="0" xfId="0" applyFont="1" applyBorder="1" applyProtection="1"/>
    <xf numFmtId="0" fontId="0" fillId="0" borderId="0" xfId="0"/>
    <xf numFmtId="0" fontId="293" fillId="0" borderId="0" xfId="88" applyFont="1" applyAlignment="1" applyProtection="1">
      <alignment horizontal="center"/>
      <protection locked="0"/>
    </xf>
    <xf numFmtId="0" fontId="293" fillId="0" borderId="0" xfId="84" applyFont="1" applyFill="1" applyAlignment="1">
      <alignment horizontal="center"/>
    </xf>
    <xf numFmtId="0" fontId="303" fillId="0" borderId="0" xfId="84" applyFont="1" applyFill="1" applyAlignment="1">
      <alignment horizontal="center"/>
    </xf>
    <xf numFmtId="0" fontId="300" fillId="0" borderId="0" xfId="0" applyFont="1" applyFill="1"/>
    <xf numFmtId="0" fontId="302" fillId="0" borderId="0" xfId="101" applyFont="1" applyFill="1"/>
    <xf numFmtId="0" fontId="301" fillId="0" borderId="0" xfId="0" applyFont="1" applyFill="1"/>
    <xf numFmtId="0" fontId="0" fillId="0" borderId="0" xfId="0" applyFill="1" applyProtection="1"/>
    <xf numFmtId="0" fontId="301" fillId="0" borderId="0" xfId="0" applyFont="1" applyFill="1" applyProtection="1"/>
    <xf numFmtId="0" fontId="301" fillId="0" borderId="0" xfId="0" applyFont="1" applyFill="1" applyAlignment="1" applyProtection="1">
      <alignment horizontal="center" vertical="center"/>
    </xf>
    <xf numFmtId="0" fontId="293" fillId="0" borderId="0" xfId="88" applyFont="1" applyFill="1"/>
    <xf numFmtId="0" fontId="293" fillId="0" borderId="0" xfId="88" applyFont="1" applyFill="1" applyAlignment="1">
      <alignment horizontal="center"/>
    </xf>
    <xf numFmtId="0" fontId="2" fillId="0" borderId="0" xfId="0" applyFont="1" applyProtection="1">
      <protection hidden="1"/>
    </xf>
    <xf numFmtId="0" fontId="2" fillId="0" borderId="1" xfId="81" applyFont="1" applyBorder="1" applyAlignment="1" applyProtection="1">
      <alignment horizontal="center"/>
      <protection locked="0"/>
    </xf>
    <xf numFmtId="0" fontId="0" fillId="0" borderId="0" xfId="0"/>
    <xf numFmtId="0" fontId="2" fillId="0" borderId="0" xfId="0" applyFont="1"/>
    <xf numFmtId="0" fontId="3" fillId="0" borderId="0" xfId="91" applyFont="1" applyAlignment="1">
      <alignment horizontal="center"/>
    </xf>
    <xf numFmtId="0" fontId="314" fillId="0" borderId="0" xfId="110" applyFont="1"/>
    <xf numFmtId="0" fontId="3" fillId="0" borderId="0" xfId="91" applyFont="1"/>
    <xf numFmtId="0" fontId="2" fillId="0" borderId="0" xfId="91" applyFont="1" applyAlignment="1">
      <alignment horizontal="center" shrinkToFit="1"/>
    </xf>
    <xf numFmtId="49" fontId="10" fillId="0" borderId="0" xfId="0" applyNumberFormat="1" applyFont="1" applyProtection="1">
      <protection hidden="1"/>
    </xf>
    <xf numFmtId="0" fontId="10" fillId="0" borderId="0" xfId="0" quotePrefix="1" applyFont="1" applyProtection="1">
      <protection hidden="1"/>
    </xf>
    <xf numFmtId="0" fontId="2" fillId="0" borderId="29" xfId="136" applyFont="1" applyFill="1" applyBorder="1"/>
    <xf numFmtId="0" fontId="0" fillId="0" borderId="0" xfId="0"/>
    <xf numFmtId="0" fontId="293" fillId="0" borderId="0" xfId="85" applyNumberFormat="1" applyFont="1" applyFill="1" applyProtection="1"/>
    <xf numFmtId="0" fontId="304" fillId="0" borderId="0" xfId="88" applyFont="1" applyProtection="1">
      <protection locked="0"/>
    </xf>
    <xf numFmtId="0" fontId="2" fillId="0" borderId="0" xfId="81" applyFont="1" applyAlignment="1" applyProtection="1">
      <alignment horizontal="center"/>
    </xf>
    <xf numFmtId="170" fontId="2" fillId="0" borderId="14" xfId="69" applyNumberFormat="1" applyFont="1" applyBorder="1" applyProtection="1"/>
    <xf numFmtId="0" fontId="2" fillId="0" borderId="0" xfId="0" applyFont="1" applyProtection="1">
      <protection locked="0"/>
    </xf>
    <xf numFmtId="0" fontId="7" fillId="0" borderId="1" xfId="112" applyFont="1" applyBorder="1" applyAlignment="1" applyProtection="1">
      <alignment horizontal="center"/>
    </xf>
    <xf numFmtId="0" fontId="7" fillId="0" borderId="1" xfId="94" applyFont="1" applyBorder="1" applyProtection="1"/>
    <xf numFmtId="0" fontId="2" fillId="0" borderId="1" xfId="94" applyFont="1" applyBorder="1" applyAlignment="1" applyProtection="1">
      <alignment horizontal="center"/>
      <protection locked="0"/>
    </xf>
    <xf numFmtId="0" fontId="4" fillId="0" borderId="15" xfId="95" applyFont="1" applyBorder="1" applyAlignment="1" applyProtection="1">
      <alignment horizontal="center" wrapText="1"/>
    </xf>
    <xf numFmtId="0" fontId="123" fillId="0" borderId="0" xfId="116" applyProtection="1"/>
    <xf numFmtId="176" fontId="123" fillId="0" borderId="2" xfId="116" applyNumberFormat="1" applyBorder="1" applyProtection="1"/>
    <xf numFmtId="0" fontId="59" fillId="0" borderId="0" xfId="116" applyFont="1" applyAlignment="1" applyProtection="1">
      <alignment horizontal="left"/>
    </xf>
    <xf numFmtId="0" fontId="125" fillId="0" borderId="0" xfId="116" applyFont="1" applyProtection="1"/>
    <xf numFmtId="0" fontId="127" fillId="0" borderId="0" xfId="116" applyFont="1" applyAlignment="1" applyProtection="1">
      <alignment horizontal="center"/>
    </xf>
    <xf numFmtId="0" fontId="128" fillId="0" borderId="0" xfId="116" applyFont="1" applyAlignment="1" applyProtection="1">
      <alignment horizontal="center"/>
    </xf>
    <xf numFmtId="0" fontId="129" fillId="0" borderId="0" xfId="116" applyFont="1" applyAlignment="1" applyProtection="1">
      <alignment horizontal="center"/>
    </xf>
    <xf numFmtId="0" fontId="127" fillId="0" borderId="0" xfId="116" applyFont="1" applyAlignment="1" applyProtection="1">
      <alignment horizontal="centerContinuous"/>
    </xf>
    <xf numFmtId="0" fontId="123" fillId="0" borderId="0" xfId="116" applyAlignment="1" applyProtection="1">
      <alignment horizontal="centerContinuous"/>
    </xf>
    <xf numFmtId="0" fontId="7" fillId="0" borderId="0" xfId="109" applyFont="1" applyProtection="1"/>
    <xf numFmtId="0" fontId="4" fillId="0" borderId="0" xfId="109" applyFont="1" applyAlignment="1" applyProtection="1">
      <alignment horizontal="center"/>
    </xf>
    <xf numFmtId="0" fontId="129" fillId="0" borderId="2" xfId="116" applyFont="1" applyBorder="1" applyAlignment="1" applyProtection="1">
      <alignment horizontal="center"/>
    </xf>
    <xf numFmtId="0" fontId="4" fillId="0" borderId="2" xfId="109" applyFont="1" applyBorder="1" applyAlignment="1" applyProtection="1">
      <alignment horizontal="center"/>
    </xf>
    <xf numFmtId="0" fontId="15" fillId="0" borderId="2" xfId="109" applyFont="1" applyBorder="1" applyProtection="1"/>
    <xf numFmtId="0" fontId="15" fillId="0" borderId="0" xfId="109" applyFont="1" applyProtection="1"/>
    <xf numFmtId="0" fontId="0" fillId="0" borderId="0" xfId="0" applyProtection="1"/>
    <xf numFmtId="173" fontId="21" fillId="0" borderId="0" xfId="0" applyNumberFormat="1" applyFont="1" applyProtection="1"/>
    <xf numFmtId="0" fontId="101" fillId="0" borderId="0" xfId="0" applyFont="1" applyAlignment="1" applyProtection="1">
      <alignment horizontal="left"/>
    </xf>
    <xf numFmtId="187" fontId="21" fillId="0" borderId="0" xfId="27" applyFont="1" applyAlignment="1" applyProtection="1">
      <alignment horizontal="center"/>
    </xf>
    <xf numFmtId="0" fontId="101" fillId="0" borderId="0" xfId="0" applyFont="1" applyProtection="1"/>
    <xf numFmtId="166" fontId="21" fillId="0" borderId="0" xfId="0" applyNumberFormat="1" applyFont="1" applyProtection="1"/>
    <xf numFmtId="0" fontId="69" fillId="0" borderId="0" xfId="0" applyFont="1" applyAlignment="1" applyProtection="1">
      <alignment horizontal="center"/>
    </xf>
    <xf numFmtId="15" fontId="12" fillId="0" borderId="1" xfId="0" applyNumberFormat="1" applyFont="1" applyBorder="1" applyAlignment="1" applyProtection="1">
      <alignment horizontal="center"/>
    </xf>
    <xf numFmtId="180" fontId="4" fillId="0" borderId="0" xfId="0" applyNumberFormat="1" applyFont="1" applyAlignment="1" applyProtection="1">
      <alignment horizontal="center"/>
    </xf>
    <xf numFmtId="0" fontId="0" fillId="0" borderId="0" xfId="0"/>
    <xf numFmtId="0" fontId="0" fillId="0" borderId="0" xfId="0" applyProtection="1"/>
    <xf numFmtId="0" fontId="0" fillId="0" borderId="0" xfId="0"/>
    <xf numFmtId="0" fontId="0" fillId="0" borderId="0" xfId="0" applyAlignment="1">
      <alignment horizontal="center"/>
    </xf>
    <xf numFmtId="0" fontId="301" fillId="54" borderId="0" xfId="0" applyFont="1" applyFill="1" applyProtection="1"/>
    <xf numFmtId="0" fontId="2" fillId="0" borderId="15" xfId="0" applyFont="1" applyBorder="1"/>
    <xf numFmtId="0" fontId="4" fillId="0" borderId="0" xfId="0" applyFont="1" applyFill="1" applyBorder="1"/>
    <xf numFmtId="0" fontId="2" fillId="0" borderId="0" xfId="0" applyFont="1" applyAlignment="1" applyProtection="1">
      <alignment horizontal="center" wrapText="1"/>
      <protection locked="0"/>
    </xf>
    <xf numFmtId="0" fontId="247" fillId="0" borderId="0" xfId="69"/>
    <xf numFmtId="0" fontId="4" fillId="0" borderId="0" xfId="69" applyFont="1"/>
    <xf numFmtId="0" fontId="4" fillId="0" borderId="2" xfId="109" applyFont="1" applyBorder="1" applyAlignment="1" applyProtection="1">
      <alignment horizontal="center"/>
      <protection locked="0"/>
    </xf>
    <xf numFmtId="0" fontId="5" fillId="0" borderId="0" xfId="110" applyFont="1" applyFill="1" applyAlignment="1">
      <alignment horizontal="left"/>
    </xf>
    <xf numFmtId="0" fontId="4" fillId="0" borderId="0" xfId="109" applyFont="1" applyBorder="1" applyAlignment="1" applyProtection="1">
      <alignment horizontal="center"/>
    </xf>
    <xf numFmtId="0" fontId="123" fillId="0" borderId="0" xfId="116" applyBorder="1" applyAlignment="1" applyProtection="1">
      <alignment horizontal="center"/>
      <protection locked="0"/>
    </xf>
    <xf numFmtId="0" fontId="4" fillId="0" borderId="0" xfId="108" applyFont="1" applyBorder="1" applyAlignment="1">
      <alignment horizontal="center"/>
    </xf>
    <xf numFmtId="175" fontId="7" fillId="0" borderId="0" xfId="108" applyNumberFormat="1" applyFont="1" applyBorder="1" applyProtection="1">
      <protection locked="0"/>
    </xf>
    <xf numFmtId="175" fontId="7" fillId="0" borderId="0" xfId="110" applyNumberFormat="1" applyFont="1" applyBorder="1" applyProtection="1">
      <protection locked="0"/>
    </xf>
    <xf numFmtId="0" fontId="0" fillId="0" borderId="0" xfId="0"/>
    <xf numFmtId="0" fontId="0" fillId="0" borderId="45" xfId="0" applyBorder="1"/>
    <xf numFmtId="0" fontId="0" fillId="0" borderId="29" xfId="0" applyBorder="1"/>
    <xf numFmtId="0" fontId="0" fillId="0" borderId="31" xfId="0" applyBorder="1"/>
    <xf numFmtId="0" fontId="0" fillId="0" borderId="27" xfId="0" applyBorder="1"/>
    <xf numFmtId="0" fontId="76" fillId="0" borderId="0" xfId="0" applyFont="1"/>
    <xf numFmtId="0" fontId="315" fillId="0" borderId="0" xfId="0" applyFont="1"/>
    <xf numFmtId="0" fontId="0" fillId="0" borderId="28" xfId="0" applyBorder="1"/>
    <xf numFmtId="0" fontId="0" fillId="0" borderId="30" xfId="0" applyBorder="1"/>
    <xf numFmtId="0" fontId="4" fillId="0" borderId="32" xfId="0" applyFont="1" applyBorder="1" applyAlignment="1">
      <alignment horizontal="center"/>
    </xf>
    <xf numFmtId="0" fontId="0" fillId="0" borderId="32" xfId="0" applyBorder="1"/>
    <xf numFmtId="0" fontId="4" fillId="0" borderId="30" xfId="0" applyFont="1" applyBorder="1"/>
    <xf numFmtId="0" fontId="3" fillId="0" borderId="0" xfId="0" applyFont="1"/>
    <xf numFmtId="0" fontId="0" fillId="0" borderId="0" xfId="0"/>
    <xf numFmtId="0" fontId="0" fillId="0" borderId="30" xfId="0" applyFill="1" applyBorder="1"/>
    <xf numFmtId="0" fontId="0" fillId="0" borderId="0" xfId="0"/>
    <xf numFmtId="0" fontId="0" fillId="0" borderId="0" xfId="0"/>
    <xf numFmtId="0" fontId="4" fillId="0" borderId="30" xfId="0" applyFont="1" applyFill="1" applyBorder="1"/>
    <xf numFmtId="0" fontId="0" fillId="0" borderId="0" xfId="0" applyFill="1" applyBorder="1"/>
    <xf numFmtId="0" fontId="11" fillId="0" borderId="0" xfId="0" applyFont="1" applyFill="1" applyBorder="1"/>
    <xf numFmtId="0" fontId="0" fillId="0" borderId="29" xfId="0" applyFill="1" applyBorder="1"/>
    <xf numFmtId="0" fontId="0" fillId="0" borderId="0" xfId="0"/>
    <xf numFmtId="0" fontId="2" fillId="0" borderId="1" xfId="0" applyFont="1" applyBorder="1" applyAlignment="1" applyProtection="1">
      <alignment horizontal="center"/>
      <protection locked="0"/>
    </xf>
    <xf numFmtId="0" fontId="0" fillId="0" borderId="0" xfId="0"/>
    <xf numFmtId="0" fontId="2" fillId="0" borderId="1" xfId="0" applyFont="1" applyBorder="1" applyAlignment="1" applyProtection="1">
      <alignment horizontal="center"/>
      <protection locked="0"/>
    </xf>
    <xf numFmtId="0" fontId="0" fillId="0" borderId="0" xfId="0"/>
    <xf numFmtId="0" fontId="0" fillId="0" borderId="0" xfId="0"/>
    <xf numFmtId="0" fontId="0" fillId="0" borderId="0" xfId="0"/>
    <xf numFmtId="0" fontId="284" fillId="0" borderId="30" xfId="0" applyFont="1" applyFill="1" applyBorder="1"/>
    <xf numFmtId="0" fontId="0" fillId="0" borderId="0" xfId="0"/>
    <xf numFmtId="180" fontId="116" fillId="0" borderId="30" xfId="0" applyNumberFormat="1" applyFont="1" applyBorder="1" applyAlignment="1">
      <alignment horizontal="left"/>
    </xf>
    <xf numFmtId="168" fontId="265" fillId="0" borderId="0" xfId="82" applyFont="1" applyProtection="1"/>
    <xf numFmtId="168" fontId="276" fillId="0" borderId="0" xfId="85" applyFont="1" applyProtection="1"/>
    <xf numFmtId="168" fontId="276" fillId="0" borderId="0" xfId="82" applyFont="1" applyProtection="1"/>
    <xf numFmtId="180" fontId="116" fillId="0" borderId="30" xfId="0" applyNumberFormat="1" applyFont="1" applyFill="1" applyBorder="1" applyAlignment="1">
      <alignment horizontal="left"/>
    </xf>
    <xf numFmtId="0" fontId="0" fillId="0" borderId="32" xfId="0" applyFill="1" applyBorder="1"/>
    <xf numFmtId="0" fontId="0" fillId="0" borderId="0" xfId="0"/>
    <xf numFmtId="0" fontId="0" fillId="0" borderId="0" xfId="0"/>
    <xf numFmtId="0" fontId="0" fillId="0" borderId="0" xfId="0"/>
    <xf numFmtId="0" fontId="44" fillId="0" borderId="0" xfId="82" applyNumberFormat="1" applyFont="1" applyFill="1" applyProtection="1"/>
    <xf numFmtId="0" fontId="44" fillId="0" borderId="0" xfId="82" applyNumberFormat="1" applyFont="1" applyProtection="1"/>
    <xf numFmtId="0" fontId="44" fillId="0" borderId="0" xfId="82" applyNumberFormat="1" applyFont="1" applyFill="1" applyProtection="1"/>
    <xf numFmtId="0" fontId="44" fillId="0" borderId="0" xfId="82" applyNumberFormat="1" applyFont="1" applyProtection="1"/>
    <xf numFmtId="176" fontId="136" fillId="0" borderId="0" xfId="122" applyNumberFormat="1" applyFont="1" applyBorder="1">
      <protection locked="0"/>
    </xf>
    <xf numFmtId="176" fontId="136" fillId="0" borderId="0" xfId="85" applyNumberFormat="1" applyFont="1" applyBorder="1">
      <protection locked="0"/>
    </xf>
    <xf numFmtId="0" fontId="0" fillId="0" borderId="0" xfId="0"/>
    <xf numFmtId="0" fontId="2" fillId="0" borderId="0" xfId="0" applyFont="1"/>
    <xf numFmtId="0" fontId="4" fillId="0" borderId="0" xfId="0" applyFont="1"/>
    <xf numFmtId="0" fontId="0" fillId="0" borderId="0" xfId="0"/>
    <xf numFmtId="0" fontId="15" fillId="0" borderId="0" xfId="0" applyFont="1"/>
    <xf numFmtId="0" fontId="0" fillId="0" borderId="0" xfId="0" applyProtection="1"/>
    <xf numFmtId="0" fontId="69" fillId="0" borderId="0" xfId="115" applyFont="1"/>
    <xf numFmtId="0" fontId="318" fillId="0" borderId="0" xfId="0" applyFont="1"/>
    <xf numFmtId="0" fontId="2" fillId="0" borderId="0" xfId="115" applyFont="1" applyBorder="1" applyAlignment="1" applyProtection="1">
      <alignment horizontal="left"/>
      <protection locked="0"/>
    </xf>
    <xf numFmtId="4" fontId="2" fillId="0" borderId="0" xfId="115" applyNumberFormat="1" applyFont="1" applyBorder="1" applyAlignment="1" applyProtection="1">
      <alignment horizontal="center"/>
      <protection locked="0"/>
    </xf>
    <xf numFmtId="0" fontId="39" fillId="0" borderId="0" xfId="0" applyFont="1"/>
    <xf numFmtId="0" fontId="29" fillId="0" borderId="0" xfId="0" applyFont="1" applyAlignment="1">
      <alignment horizontal="center"/>
    </xf>
    <xf numFmtId="0" fontId="319" fillId="0" borderId="0" xfId="0" applyFont="1"/>
    <xf numFmtId="0" fontId="29" fillId="0" borderId="0" xfId="86" applyFont="1"/>
    <xf numFmtId="0" fontId="320" fillId="0" borderId="0" xfId="86" applyFont="1"/>
    <xf numFmtId="0" fontId="69" fillId="0" borderId="0" xfId="86" applyFont="1"/>
    <xf numFmtId="0" fontId="31" fillId="0" borderId="0" xfId="86" applyFont="1"/>
    <xf numFmtId="0" fontId="0" fillId="0" borderId="0" xfId="0"/>
    <xf numFmtId="0" fontId="4" fillId="0" borderId="1" xfId="0" applyFont="1" applyBorder="1" applyAlignment="1">
      <alignment horizontal="center"/>
    </xf>
    <xf numFmtId="0" fontId="15" fillId="0" borderId="0" xfId="0" applyFont="1"/>
    <xf numFmtId="166" fontId="15" fillId="0" borderId="0" xfId="0" applyNumberFormat="1" applyFont="1"/>
    <xf numFmtId="166" fontId="15" fillId="0" borderId="0" xfId="0" applyNumberFormat="1" applyFont="1" applyAlignment="1">
      <alignment horizontal="center"/>
    </xf>
    <xf numFmtId="166" fontId="15" fillId="0" borderId="0" xfId="0" applyNumberFormat="1" applyFont="1" applyFill="1"/>
    <xf numFmtId="183" fontId="15" fillId="0" borderId="0" xfId="0" applyNumberFormat="1" applyFont="1"/>
    <xf numFmtId="0" fontId="301" fillId="54" borderId="0" xfId="0" applyFont="1" applyFill="1" applyAlignment="1" applyProtection="1">
      <alignment horizontal="center" vertical="center"/>
    </xf>
    <xf numFmtId="180" fontId="97" fillId="0" borderId="0" xfId="0" applyNumberFormat="1" applyFont="1" applyFill="1"/>
    <xf numFmtId="184" fontId="97" fillId="0" borderId="0" xfId="0" applyNumberFormat="1" applyFont="1" applyFill="1"/>
    <xf numFmtId="0" fontId="4" fillId="0" borderId="1" xfId="0" applyFont="1" applyFill="1" applyBorder="1" applyAlignment="1">
      <alignment horizontal="center"/>
    </xf>
    <xf numFmtId="0" fontId="38" fillId="58" borderId="0" xfId="81" applyFont="1" applyFill="1"/>
    <xf numFmtId="0" fontId="48" fillId="58" borderId="0" xfId="81" applyFont="1" applyFill="1" applyAlignment="1">
      <alignment horizontal="left"/>
    </xf>
    <xf numFmtId="0" fontId="76" fillId="58" borderId="0" xfId="81" applyFont="1" applyFill="1" applyAlignment="1">
      <alignment horizontal="left"/>
    </xf>
    <xf numFmtId="0" fontId="38" fillId="58" borderId="0" xfId="81" applyFont="1" applyFill="1" applyAlignment="1">
      <alignment horizontal="center"/>
    </xf>
    <xf numFmtId="164" fontId="2" fillId="58" borderId="0" xfId="69" applyNumberFormat="1" applyFont="1" applyFill="1" applyAlignment="1">
      <alignment horizontal="center" shrinkToFit="1"/>
    </xf>
    <xf numFmtId="0" fontId="38" fillId="58" borderId="0" xfId="81" applyFont="1" applyFill="1" applyAlignment="1">
      <alignment horizontal="left"/>
    </xf>
    <xf numFmtId="0" fontId="38" fillId="58" borderId="1" xfId="81" applyFont="1" applyFill="1" applyBorder="1" applyAlignment="1" applyProtection="1">
      <alignment horizontal="center"/>
      <protection locked="0"/>
    </xf>
    <xf numFmtId="0" fontId="38" fillId="58" borderId="0" xfId="81" applyFont="1" applyFill="1" applyAlignment="1">
      <alignment horizontal="right"/>
    </xf>
    <xf numFmtId="164" fontId="2" fillId="58" borderId="1" xfId="69" applyNumberFormat="1" applyFont="1" applyFill="1" applyBorder="1" applyAlignment="1" applyProtection="1">
      <alignment horizontal="center" shrinkToFit="1"/>
      <protection locked="0"/>
    </xf>
    <xf numFmtId="164" fontId="2" fillId="58" borderId="4" xfId="69" applyNumberFormat="1" applyFont="1" applyFill="1" applyBorder="1" applyAlignment="1" applyProtection="1">
      <alignment horizontal="center" shrinkToFit="1"/>
      <protection locked="0"/>
    </xf>
    <xf numFmtId="0" fontId="38" fillId="58" borderId="0" xfId="81" applyFont="1" applyFill="1" applyAlignment="1" applyProtection="1">
      <alignment horizontal="center"/>
      <protection locked="0"/>
    </xf>
    <xf numFmtId="0" fontId="38" fillId="58" borderId="2" xfId="81" applyFont="1" applyFill="1" applyBorder="1"/>
    <xf numFmtId="0" fontId="2" fillId="58" borderId="0" xfId="0" applyFont="1" applyFill="1" applyAlignment="1">
      <alignment horizontal="left"/>
    </xf>
    <xf numFmtId="0" fontId="4" fillId="58" borderId="0" xfId="115" applyFont="1" applyFill="1" applyAlignment="1">
      <alignment horizontal="right"/>
    </xf>
    <xf numFmtId="0" fontId="2" fillId="58" borderId="0" xfId="101" applyFont="1" applyFill="1"/>
    <xf numFmtId="0" fontId="2" fillId="58" borderId="15" xfId="115" applyFont="1" applyFill="1" applyBorder="1" applyAlignment="1" applyProtection="1">
      <alignment horizontal="center"/>
      <protection locked="0"/>
    </xf>
    <xf numFmtId="0" fontId="4" fillId="58" borderId="10" xfId="0" applyFont="1" applyFill="1" applyBorder="1" applyAlignment="1">
      <alignment horizontal="left"/>
    </xf>
    <xf numFmtId="0" fontId="4" fillId="58" borderId="0" xfId="0" applyFont="1" applyFill="1" applyAlignment="1">
      <alignment horizontal="left"/>
    </xf>
    <xf numFmtId="0" fontId="2" fillId="58" borderId="0" xfId="115" applyFont="1" applyFill="1"/>
    <xf numFmtId="0" fontId="2" fillId="58" borderId="0" xfId="115" applyFont="1" applyFill="1" applyAlignment="1" applyProtection="1">
      <alignment horizontal="center"/>
      <protection locked="0"/>
    </xf>
    <xf numFmtId="0" fontId="2" fillId="58" borderId="0" xfId="0" applyFont="1" applyFill="1" applyAlignment="1">
      <alignment horizontal="left" indent="1"/>
    </xf>
    <xf numFmtId="0" fontId="2" fillId="58" borderId="0" xfId="81" applyFont="1" applyFill="1"/>
    <xf numFmtId="0" fontId="4" fillId="58" borderId="0" xfId="69" applyFont="1" applyFill="1" applyAlignment="1">
      <alignment horizontal="center"/>
    </xf>
    <xf numFmtId="0" fontId="4" fillId="58" borderId="1" xfId="69" applyFont="1" applyFill="1" applyBorder="1" applyAlignment="1">
      <alignment horizontal="center"/>
    </xf>
    <xf numFmtId="0" fontId="279" fillId="58" borderId="0" xfId="69" applyFont="1" applyFill="1"/>
    <xf numFmtId="14" fontId="4" fillId="58" borderId="1" xfId="69" applyNumberFormat="1" applyFont="1" applyFill="1" applyBorder="1" applyAlignment="1">
      <alignment horizontal="center"/>
    </xf>
    <xf numFmtId="191" fontId="2" fillId="58" borderId="1" xfId="81" applyNumberFormat="1" applyFont="1" applyFill="1" applyBorder="1" applyAlignment="1" applyProtection="1">
      <alignment horizontal="center"/>
      <protection locked="0"/>
    </xf>
    <xf numFmtId="176" fontId="2" fillId="58" borderId="0" xfId="81" applyNumberFormat="1" applyFont="1" applyFill="1" applyAlignment="1" applyProtection="1">
      <alignment horizontal="center"/>
      <protection locked="0"/>
    </xf>
    <xf numFmtId="0" fontId="2" fillId="58" borderId="1" xfId="81" applyFont="1" applyFill="1" applyBorder="1" applyAlignment="1" applyProtection="1">
      <alignment horizontal="center"/>
      <protection locked="0"/>
    </xf>
    <xf numFmtId="176" fontId="4" fillId="58" borderId="0" xfId="81" applyNumberFormat="1" applyFont="1" applyFill="1" applyAlignment="1" applyProtection="1">
      <alignment horizontal="center"/>
      <protection locked="0"/>
    </xf>
    <xf numFmtId="1" fontId="2" fillId="58" borderId="1" xfId="81" applyNumberFormat="1" applyFont="1" applyFill="1" applyBorder="1" applyAlignment="1" applyProtection="1">
      <alignment horizontal="center"/>
      <protection locked="0"/>
    </xf>
    <xf numFmtId="0" fontId="2" fillId="58" borderId="0" xfId="81" applyFont="1" applyFill="1" applyAlignment="1" applyProtection="1">
      <alignment horizontal="center"/>
      <protection locked="0"/>
    </xf>
    <xf numFmtId="0" fontId="2" fillId="58" borderId="0" xfId="81" applyFont="1" applyFill="1" applyAlignment="1" applyProtection="1">
      <alignment horizontal="left"/>
      <protection locked="0"/>
    </xf>
    <xf numFmtId="176" fontId="2" fillId="58" borderId="1" xfId="84" applyNumberFormat="1" applyFont="1" applyFill="1" applyBorder="1" applyProtection="1">
      <protection locked="0"/>
    </xf>
    <xf numFmtId="176" fontId="2" fillId="58" borderId="0" xfId="84" applyNumberFormat="1" applyFont="1" applyFill="1" applyProtection="1">
      <protection locked="0"/>
    </xf>
    <xf numFmtId="0" fontId="5" fillId="58" borderId="0" xfId="69" applyFont="1" applyFill="1"/>
    <xf numFmtId="0" fontId="2" fillId="58" borderId="0" xfId="69" applyFont="1" applyFill="1"/>
    <xf numFmtId="176" fontId="2" fillId="58" borderId="0" xfId="84" applyNumberFormat="1" applyFont="1" applyFill="1"/>
    <xf numFmtId="0" fontId="4" fillId="58" borderId="0" xfId="88" applyFont="1" applyFill="1" applyAlignment="1">
      <alignment horizontal="center"/>
    </xf>
    <xf numFmtId="191" fontId="2" fillId="58" borderId="0" xfId="81" applyNumberFormat="1" applyFont="1" applyFill="1" applyAlignment="1" applyProtection="1">
      <alignment horizontal="center"/>
      <protection locked="0"/>
    </xf>
    <xf numFmtId="1" fontId="2" fillId="58" borderId="0" xfId="81" applyNumberFormat="1" applyFont="1" applyFill="1" applyAlignment="1" applyProtection="1">
      <alignment horizontal="center"/>
      <protection locked="0"/>
    </xf>
    <xf numFmtId="191" fontId="38" fillId="58" borderId="0" xfId="81" applyNumberFormat="1" applyFont="1" applyFill="1" applyAlignment="1" applyProtection="1">
      <alignment horizontal="left"/>
      <protection locked="0"/>
    </xf>
    <xf numFmtId="176" fontId="38" fillId="58" borderId="0" xfId="81" applyNumberFormat="1" applyFont="1" applyFill="1" applyProtection="1">
      <protection locked="0"/>
    </xf>
    <xf numFmtId="39" fontId="38" fillId="58" borderId="0" xfId="81" applyNumberFormat="1" applyFont="1" applyFill="1" applyProtection="1">
      <protection locked="0"/>
    </xf>
    <xf numFmtId="0" fontId="38" fillId="58" borderId="0" xfId="81" applyFont="1" applyFill="1" applyProtection="1">
      <protection locked="0"/>
    </xf>
    <xf numFmtId="0" fontId="38" fillId="58" borderId="0" xfId="81" applyFont="1" applyFill="1" applyAlignment="1" applyProtection="1">
      <alignment horizontal="left"/>
      <protection locked="0"/>
    </xf>
    <xf numFmtId="176" fontId="48" fillId="58" borderId="0" xfId="81" applyNumberFormat="1" applyFont="1" applyFill="1" applyProtection="1">
      <protection locked="0"/>
    </xf>
    <xf numFmtId="0" fontId="47" fillId="58" borderId="0" xfId="81" applyFont="1" applyFill="1"/>
    <xf numFmtId="0" fontId="46" fillId="58" borderId="0" xfId="81" applyFont="1" applyFill="1"/>
    <xf numFmtId="0" fontId="247" fillId="58" borderId="0" xfId="69" applyFill="1"/>
    <xf numFmtId="0" fontId="0" fillId="0" borderId="0" xfId="0"/>
    <xf numFmtId="0" fontId="2" fillId="0" borderId="0" xfId="0" applyFont="1"/>
    <xf numFmtId="0" fontId="279" fillId="0" borderId="1" xfId="0" applyFont="1" applyBorder="1" applyAlignment="1" applyProtection="1">
      <alignment horizontal="center"/>
      <protection locked="0"/>
    </xf>
    <xf numFmtId="0" fontId="279" fillId="0" borderId="0" xfId="0" applyFont="1" applyBorder="1" applyProtection="1">
      <protection locked="0"/>
    </xf>
    <xf numFmtId="0" fontId="279" fillId="0" borderId="0" xfId="0" applyFont="1" applyBorder="1" applyAlignment="1" applyProtection="1">
      <alignment horizontal="center"/>
      <protection locked="0"/>
    </xf>
    <xf numFmtId="0" fontId="31" fillId="0" borderId="0" xfId="86" applyFont="1" applyAlignment="1"/>
    <xf numFmtId="0" fontId="69" fillId="0" borderId="0" xfId="115" applyFont="1" applyBorder="1"/>
    <xf numFmtId="0" fontId="2" fillId="0" borderId="0" xfId="115" applyFont="1" applyBorder="1" applyAlignment="1">
      <alignment horizontal="center"/>
    </xf>
    <xf numFmtId="0" fontId="2" fillId="0" borderId="0" xfId="115" applyFont="1" applyBorder="1" applyAlignment="1">
      <alignment horizontal="centerContinuous"/>
    </xf>
    <xf numFmtId="0" fontId="4" fillId="0" borderId="0" xfId="115" applyFont="1" applyBorder="1" applyAlignment="1" applyProtection="1">
      <alignment horizontal="left"/>
      <protection locked="0"/>
    </xf>
    <xf numFmtId="0" fontId="4" fillId="0" borderId="0" xfId="115" applyFont="1" applyProtection="1">
      <protection locked="0"/>
    </xf>
    <xf numFmtId="4" fontId="4" fillId="0" borderId="0" xfId="115" applyNumberFormat="1" applyFont="1" applyBorder="1" applyAlignment="1" applyProtection="1">
      <alignment horizontal="center"/>
      <protection locked="0"/>
    </xf>
    <xf numFmtId="0" fontId="321" fillId="0" borderId="0" xfId="0" applyFont="1"/>
    <xf numFmtId="0" fontId="293" fillId="0" borderId="0" xfId="57" applyFont="1" applyAlignment="1" applyProtection="1"/>
    <xf numFmtId="6" fontId="12" fillId="0" borderId="0" xfId="115" applyNumberFormat="1" applyFont="1" applyBorder="1" applyProtection="1">
      <protection locked="0"/>
    </xf>
    <xf numFmtId="0" fontId="17" fillId="0" borderId="0" xfId="115" applyFont="1" applyBorder="1" applyProtection="1">
      <protection locked="0"/>
    </xf>
    <xf numFmtId="0" fontId="12" fillId="0" borderId="0" xfId="99" applyFont="1"/>
    <xf numFmtId="6" fontId="12" fillId="0" borderId="0" xfId="115" applyNumberFormat="1" applyFont="1" applyProtection="1">
      <protection locked="0"/>
    </xf>
    <xf numFmtId="0" fontId="12" fillId="0" borderId="0" xfId="115" applyFont="1" applyProtection="1">
      <protection locked="0"/>
    </xf>
    <xf numFmtId="0" fontId="8" fillId="0" borderId="0" xfId="115" applyFill="1"/>
    <xf numFmtId="0" fontId="11" fillId="0" borderId="0" xfId="115" applyFont="1" applyFill="1"/>
    <xf numFmtId="0" fontId="12" fillId="0" borderId="0" xfId="115" applyFont="1" applyFill="1"/>
    <xf numFmtId="0" fontId="0" fillId="0" borderId="0" xfId="0"/>
    <xf numFmtId="0" fontId="11" fillId="0" borderId="0" xfId="0" applyFont="1" applyFill="1"/>
    <xf numFmtId="0" fontId="2" fillId="0" borderId="0" xfId="0" applyFont="1"/>
    <xf numFmtId="0" fontId="2" fillId="0" borderId="0" xfId="0" applyFont="1" applyAlignment="1">
      <alignment horizontal="left"/>
    </xf>
    <xf numFmtId="0" fontId="293" fillId="0" borderId="0" xfId="0" applyFont="1" applyAlignment="1">
      <alignment horizontal="right"/>
    </xf>
    <xf numFmtId="0" fontId="293" fillId="0" borderId="0" xfId="0" applyFont="1" applyAlignment="1">
      <alignment horizontal="left"/>
    </xf>
    <xf numFmtId="0" fontId="322" fillId="0" borderId="0" xfId="0" applyFont="1"/>
    <xf numFmtId="0" fontId="137" fillId="0" borderId="0" xfId="0" applyFont="1" applyProtection="1">
      <protection hidden="1"/>
    </xf>
    <xf numFmtId="0" fontId="301" fillId="54" borderId="0" xfId="0" applyFont="1" applyFill="1" applyAlignment="1">
      <alignment horizontal="center"/>
    </xf>
    <xf numFmtId="176" fontId="136" fillId="0" borderId="0" xfId="122" applyNumberFormat="1" applyFont="1" applyBorder="1" applyProtection="1"/>
    <xf numFmtId="176" fontId="136" fillId="0" borderId="0" xfId="82" applyNumberFormat="1" applyFont="1" applyBorder="1" applyProtection="1"/>
    <xf numFmtId="168" fontId="136" fillId="0" borderId="0" xfId="82" applyFont="1" applyBorder="1" applyProtection="1"/>
    <xf numFmtId="176" fontId="136" fillId="0" borderId="0" xfId="85" applyNumberFormat="1" applyFont="1" applyBorder="1" applyProtection="1"/>
    <xf numFmtId="0" fontId="44" fillId="0" borderId="0" xfId="0" applyFont="1" applyAlignment="1"/>
    <xf numFmtId="0" fontId="0" fillId="0" borderId="0" xfId="0"/>
    <xf numFmtId="49" fontId="290" fillId="54" borderId="0" xfId="0" applyNumberFormat="1" applyFont="1" applyFill="1"/>
    <xf numFmtId="166" fontId="15" fillId="0" borderId="0" xfId="0" applyNumberFormat="1" applyFont="1"/>
    <xf numFmtId="0" fontId="4" fillId="0" borderId="30" xfId="136" applyFont="1" applyFill="1" applyBorder="1" applyAlignment="1">
      <alignment horizontal="center"/>
    </xf>
    <xf numFmtId="0" fontId="0" fillId="0" borderId="0" xfId="0"/>
    <xf numFmtId="0" fontId="15" fillId="0" borderId="0" xfId="0" applyFont="1"/>
    <xf numFmtId="0" fontId="0" fillId="0" borderId="0" xfId="0" applyProtection="1"/>
    <xf numFmtId="166" fontId="15" fillId="0" borderId="0" xfId="0" applyNumberFormat="1" applyFont="1"/>
    <xf numFmtId="43" fontId="4" fillId="61" borderId="0" xfId="0" applyNumberFormat="1" applyFont="1" applyFill="1"/>
    <xf numFmtId="180" fontId="4" fillId="8" borderId="0" xfId="0" applyNumberFormat="1" applyFont="1" applyFill="1"/>
    <xf numFmtId="180" fontId="4" fillId="0" borderId="0" xfId="0" applyNumberFormat="1" applyFont="1"/>
    <xf numFmtId="0" fontId="2" fillId="0" borderId="0" xfId="0" applyFont="1"/>
    <xf numFmtId="0" fontId="279" fillId="0" borderId="1" xfId="0" applyFont="1" applyBorder="1" applyAlignment="1" applyProtection="1">
      <alignment horizontal="center"/>
      <protection locked="0"/>
    </xf>
    <xf numFmtId="0" fontId="2" fillId="0" borderId="0" xfId="89" applyFont="1"/>
    <xf numFmtId="0" fontId="31" fillId="0" borderId="0" xfId="115" applyFont="1"/>
    <xf numFmtId="0" fontId="279" fillId="0" borderId="1" xfId="0" applyFont="1" applyBorder="1" applyAlignment="1" applyProtection="1">
      <alignment horizontal="center"/>
      <protection locked="0"/>
    </xf>
    <xf numFmtId="0" fontId="7" fillId="0" borderId="0" xfId="89" applyFont="1"/>
    <xf numFmtId="49" fontId="4" fillId="0" borderId="0" xfId="0" applyNumberFormat="1" applyFont="1" applyAlignment="1">
      <alignment horizontal="left"/>
    </xf>
    <xf numFmtId="49" fontId="2" fillId="0" borderId="0" xfId="0" quotePrefix="1" applyNumberFormat="1" applyFont="1" applyAlignment="1">
      <alignment horizontal="left"/>
    </xf>
    <xf numFmtId="49" fontId="2" fillId="0" borderId="0" xfId="0" applyNumberFormat="1" applyFont="1" applyAlignment="1">
      <alignment horizontal="left"/>
    </xf>
    <xf numFmtId="49" fontId="2" fillId="0" borderId="0" xfId="0" quotePrefix="1" applyNumberFormat="1" applyFont="1"/>
    <xf numFmtId="176" fontId="7" fillId="0" borderId="0" xfId="89" applyNumberFormat="1" applyFont="1" applyBorder="1" applyProtection="1">
      <protection locked="0"/>
    </xf>
    <xf numFmtId="0" fontId="0" fillId="0" borderId="0" xfId="0"/>
    <xf numFmtId="0" fontId="63" fillId="0" borderId="0" xfId="115" applyFont="1" applyAlignment="1">
      <alignment horizontal="center" vertical="center"/>
    </xf>
    <xf numFmtId="0" fontId="60" fillId="0" borderId="0" xfId="115" applyFont="1" applyAlignment="1">
      <alignment horizontal="center" vertical="center"/>
    </xf>
    <xf numFmtId="0" fontId="59" fillId="0" borderId="0" xfId="115" applyFont="1" applyAlignment="1">
      <alignment horizontal="center" vertical="center"/>
    </xf>
    <xf numFmtId="0" fontId="3" fillId="0" borderId="0" xfId="115" applyFont="1" applyAlignment="1">
      <alignment horizontal="center" vertical="center"/>
    </xf>
    <xf numFmtId="0" fontId="60" fillId="58" borderId="0" xfId="115" applyFont="1" applyFill="1" applyAlignment="1">
      <alignment horizontal="center" vertical="center"/>
    </xf>
    <xf numFmtId="0" fontId="63" fillId="0" borderId="0" xfId="115" applyFont="1" applyAlignment="1" applyProtection="1">
      <alignment vertical="center"/>
      <protection locked="0"/>
    </xf>
    <xf numFmtId="0" fontId="323" fillId="0" borderId="0" xfId="0" applyFont="1"/>
    <xf numFmtId="0" fontId="2" fillId="0" borderId="0" xfId="81" applyFont="1" applyAlignment="1" applyProtection="1">
      <alignment horizontal="center"/>
    </xf>
    <xf numFmtId="0" fontId="2" fillId="0" borderId="1" xfId="107" applyFont="1" applyBorder="1" applyAlignment="1" applyProtection="1">
      <alignment horizontal="center"/>
      <protection locked="0"/>
    </xf>
    <xf numFmtId="0" fontId="8" fillId="0" borderId="1" xfId="116" applyFont="1" applyBorder="1" applyProtection="1">
      <protection locked="0"/>
    </xf>
    <xf numFmtId="190" fontId="8" fillId="0" borderId="1" xfId="116" applyNumberFormat="1" applyFont="1" applyBorder="1" applyProtection="1">
      <protection locked="0"/>
    </xf>
    <xf numFmtId="195" fontId="7" fillId="0" borderId="1" xfId="108" applyNumberFormat="1" applyFont="1" applyBorder="1" applyProtection="1">
      <protection locked="0"/>
    </xf>
    <xf numFmtId="195" fontId="2" fillId="0" borderId="1" xfId="108" applyNumberFormat="1" applyFont="1" applyBorder="1" applyProtection="1">
      <protection locked="0"/>
    </xf>
    <xf numFmtId="175" fontId="2" fillId="0" borderId="1" xfId="108" applyNumberFormat="1" applyFont="1" applyBorder="1" applyProtection="1">
      <protection locked="0"/>
    </xf>
    <xf numFmtId="0" fontId="0" fillId="0" borderId="0" xfId="0"/>
    <xf numFmtId="0" fontId="2" fillId="0" borderId="0" xfId="0" applyFont="1"/>
    <xf numFmtId="0" fontId="0" fillId="0" borderId="0" xfId="0" applyAlignment="1">
      <alignment horizontal="center"/>
    </xf>
    <xf numFmtId="0" fontId="2" fillId="0" borderId="0" xfId="0" applyFont="1" applyFill="1"/>
    <xf numFmtId="0" fontId="265" fillId="0" borderId="0" xfId="0" applyFont="1" applyAlignment="1">
      <alignment wrapText="1"/>
    </xf>
    <xf numFmtId="0" fontId="2" fillId="0" borderId="0" xfId="0" applyFont="1" applyFill="1" applyBorder="1"/>
    <xf numFmtId="0" fontId="4" fillId="0" borderId="4" xfId="0" applyFont="1" applyFill="1" applyBorder="1"/>
    <xf numFmtId="0" fontId="2" fillId="5" borderId="7" xfId="0" applyFont="1" applyFill="1" applyBorder="1"/>
    <xf numFmtId="0" fontId="2" fillId="5" borderId="15" xfId="0" applyFont="1" applyFill="1" applyBorder="1"/>
    <xf numFmtId="0" fontId="4" fillId="0" borderId="15" xfId="0" applyFont="1" applyFill="1" applyBorder="1"/>
    <xf numFmtId="43" fontId="2" fillId="0" borderId="0" xfId="29" applyBorder="1" applyAlignment="1" applyProtection="1">
      <alignment horizontal="center"/>
      <protection locked="0"/>
    </xf>
    <xf numFmtId="43" fontId="0" fillId="0" borderId="4" xfId="0" applyNumberFormat="1" applyBorder="1" applyProtection="1"/>
    <xf numFmtId="44" fontId="2" fillId="0" borderId="14" xfId="40" applyBorder="1" applyAlignment="1" applyProtection="1">
      <alignment horizontal="center"/>
    </xf>
    <xf numFmtId="43" fontId="2" fillId="0" borderId="4" xfId="29" applyBorder="1" applyAlignment="1" applyProtection="1">
      <alignment horizontal="center"/>
    </xf>
    <xf numFmtId="43" fontId="0" fillId="0" borderId="0" xfId="0" applyNumberFormat="1" applyBorder="1" applyProtection="1">
      <protection locked="0"/>
    </xf>
    <xf numFmtId="43" fontId="0" fillId="0" borderId="1" xfId="0" applyNumberFormat="1" applyBorder="1" applyProtection="1">
      <protection locked="0"/>
    </xf>
    <xf numFmtId="0" fontId="0" fillId="0" borderId="0" xfId="0"/>
    <xf numFmtId="0" fontId="2" fillId="0" borderId="0" xfId="0" applyFont="1"/>
    <xf numFmtId="0" fontId="279" fillId="0" borderId="1" xfId="0" applyFont="1" applyBorder="1" applyAlignment="1" applyProtection="1">
      <alignment horizontal="center"/>
      <protection locked="0"/>
    </xf>
    <xf numFmtId="0" fontId="28" fillId="0" borderId="0" xfId="86" applyFont="1" applyAlignment="1">
      <alignment horizontal="right"/>
    </xf>
    <xf numFmtId="0" fontId="28" fillId="0" borderId="0" xfId="86" applyFont="1" applyAlignment="1">
      <alignment horizontal="left"/>
    </xf>
    <xf numFmtId="0" fontId="28" fillId="0" borderId="1" xfId="86" applyFont="1" applyBorder="1"/>
    <xf numFmtId="0" fontId="28" fillId="0" borderId="0" xfId="86" applyFont="1" applyFill="1"/>
    <xf numFmtId="0" fontId="2" fillId="0" borderId="0" xfId="0" applyFont="1" applyProtection="1">
      <protection locked="0"/>
    </xf>
    <xf numFmtId="0" fontId="28" fillId="0" borderId="1" xfId="86" applyFont="1" applyBorder="1" applyAlignment="1" applyProtection="1">
      <alignment horizontal="center"/>
      <protection locked="0"/>
    </xf>
    <xf numFmtId="0" fontId="279" fillId="0" borderId="0" xfId="0" applyFont="1" applyBorder="1" applyAlignment="1" applyProtection="1">
      <alignment horizontal="center"/>
    </xf>
    <xf numFmtId="0" fontId="279" fillId="0" borderId="1" xfId="0" applyFont="1" applyBorder="1" applyAlignment="1" applyProtection="1">
      <alignment horizontal="left"/>
      <protection locked="0"/>
    </xf>
    <xf numFmtId="0" fontId="279" fillId="0" borderId="1" xfId="0" applyFont="1" applyBorder="1" applyAlignment="1" applyProtection="1">
      <protection locked="0"/>
    </xf>
    <xf numFmtId="0" fontId="28" fillId="0" borderId="1" xfId="86" applyFont="1" applyBorder="1" applyProtection="1">
      <protection locked="0"/>
    </xf>
    <xf numFmtId="14" fontId="279" fillId="0" borderId="1" xfId="0" applyNumberFormat="1" applyFont="1" applyBorder="1" applyAlignment="1" applyProtection="1">
      <alignment horizontal="center"/>
      <protection locked="0"/>
    </xf>
    <xf numFmtId="3" fontId="246" fillId="0" borderId="0" xfId="0" applyNumberFormat="1" applyFont="1" applyAlignment="1">
      <alignment horizontal="center" vertical="center" wrapText="1"/>
    </xf>
    <xf numFmtId="0" fontId="9" fillId="0" borderId="0" xfId="0" applyFont="1" applyAlignment="1">
      <alignment horizontal="center"/>
    </xf>
    <xf numFmtId="0" fontId="245" fillId="0" borderId="0" xfId="119" applyFont="1" applyAlignment="1" applyProtection="1">
      <alignment horizontal="center"/>
      <protection locked="0"/>
    </xf>
    <xf numFmtId="0" fontId="0" fillId="0" borderId="0" xfId="0"/>
    <xf numFmtId="164" fontId="81" fillId="0" borderId="0" xfId="57" applyNumberFormat="1" applyFont="1" applyAlignment="1" applyProtection="1">
      <alignment horizontal="center"/>
    </xf>
    <xf numFmtId="0" fontId="76" fillId="0" borderId="1" xfId="0" applyFont="1" applyBorder="1" applyAlignment="1" applyProtection="1">
      <alignment horizontal="center"/>
      <protection locked="0"/>
    </xf>
    <xf numFmtId="0" fontId="241" fillId="0" borderId="23" xfId="57" applyFont="1" applyBorder="1" applyAlignment="1" applyProtection="1">
      <alignment wrapText="1"/>
    </xf>
    <xf numFmtId="0" fontId="241" fillId="0" borderId="4" xfId="57" applyFont="1" applyBorder="1" applyAlignment="1" applyProtection="1">
      <alignment wrapText="1"/>
    </xf>
    <xf numFmtId="0" fontId="241" fillId="0" borderId="33" xfId="57" applyFont="1" applyBorder="1" applyAlignment="1" applyProtection="1">
      <alignment wrapText="1"/>
    </xf>
    <xf numFmtId="0" fontId="202" fillId="0" borderId="23" xfId="57" applyFont="1" applyBorder="1" applyAlignment="1" applyProtection="1"/>
    <xf numFmtId="0" fontId="202" fillId="0" borderId="4" xfId="57" applyFont="1" applyBorder="1" applyAlignment="1" applyProtection="1"/>
    <xf numFmtId="0" fontId="202" fillId="0" borderId="33" xfId="57" applyFont="1" applyBorder="1" applyAlignment="1" applyProtection="1"/>
    <xf numFmtId="0" fontId="202" fillId="0" borderId="23" xfId="57" applyFont="1" applyBorder="1" applyAlignment="1" applyProtection="1">
      <alignment vertical="top" wrapText="1"/>
    </xf>
    <xf numFmtId="0" fontId="202" fillId="0" borderId="4" xfId="57" applyFont="1" applyBorder="1" applyAlignment="1" applyProtection="1">
      <alignment vertical="top" wrapText="1"/>
    </xf>
    <xf numFmtId="0" fontId="202" fillId="0" borderId="33" xfId="57" applyFont="1" applyBorder="1" applyAlignment="1" applyProtection="1">
      <alignment vertical="top" wrapText="1"/>
    </xf>
    <xf numFmtId="0" fontId="94" fillId="0" borderId="23" xfId="57" applyFont="1" applyBorder="1" applyAlignment="1" applyProtection="1">
      <alignment horizontal="left"/>
    </xf>
    <xf numFmtId="0" fontId="94" fillId="0" borderId="4" xfId="57" applyFont="1" applyBorder="1" applyAlignment="1" applyProtection="1">
      <alignment horizontal="left"/>
    </xf>
    <xf numFmtId="0" fontId="94" fillId="0" borderId="33" xfId="57" applyFont="1" applyBorder="1" applyAlignment="1" applyProtection="1">
      <alignment horizontal="left"/>
    </xf>
    <xf numFmtId="0" fontId="202" fillId="0" borderId="23" xfId="57" applyFont="1" applyBorder="1" applyAlignment="1" applyProtection="1">
      <alignment wrapText="1"/>
    </xf>
    <xf numFmtId="0" fontId="202" fillId="0" borderId="4" xfId="57" applyFont="1" applyBorder="1" applyAlignment="1" applyProtection="1">
      <alignment wrapText="1"/>
    </xf>
    <xf numFmtId="0" fontId="202" fillId="0" borderId="33" xfId="57" applyFont="1" applyBorder="1" applyAlignment="1" applyProtection="1">
      <alignment wrapText="1"/>
    </xf>
    <xf numFmtId="0" fontId="202" fillId="0" borderId="23" xfId="57" applyFont="1" applyBorder="1" applyAlignment="1" applyProtection="1">
      <alignment horizontal="left"/>
    </xf>
    <xf numFmtId="0" fontId="202" fillId="0" borderId="4" xfId="57" applyFont="1" applyBorder="1" applyAlignment="1" applyProtection="1">
      <alignment horizontal="left"/>
    </xf>
    <xf numFmtId="0" fontId="202" fillId="0" borderId="33" xfId="57" applyFont="1" applyBorder="1" applyAlignment="1" applyProtection="1">
      <alignment horizontal="left"/>
    </xf>
    <xf numFmtId="0" fontId="274" fillId="0" borderId="0" xfId="0" applyFont="1" applyAlignment="1">
      <alignment horizontal="center"/>
    </xf>
    <xf numFmtId="0" fontId="214" fillId="0" borderId="0" xfId="0" applyFont="1" applyAlignment="1">
      <alignment horizontal="center"/>
    </xf>
    <xf numFmtId="0" fontId="213" fillId="0" borderId="23" xfId="0" applyFont="1" applyBorder="1"/>
    <xf numFmtId="0" fontId="198" fillId="0" borderId="4" xfId="0" applyFont="1" applyBorder="1"/>
    <xf numFmtId="0" fontId="202" fillId="0" borderId="1" xfId="0" applyFont="1" applyBorder="1" applyAlignment="1" applyProtection="1">
      <alignment horizontal="center"/>
      <protection locked="0"/>
    </xf>
    <xf numFmtId="0" fontId="202" fillId="0" borderId="4" xfId="0" applyFont="1" applyBorder="1" applyAlignment="1">
      <alignment horizontal="center"/>
    </xf>
    <xf numFmtId="0" fontId="202" fillId="0" borderId="33" xfId="0" applyFont="1" applyBorder="1" applyAlignment="1">
      <alignment horizontal="center"/>
    </xf>
    <xf numFmtId="0" fontId="240" fillId="18" borderId="23" xfId="0" applyFont="1" applyFill="1" applyBorder="1" applyAlignment="1">
      <alignment horizontal="center"/>
    </xf>
    <xf numFmtId="0" fontId="240" fillId="18" borderId="4" xfId="0" applyFont="1" applyFill="1" applyBorder="1" applyAlignment="1">
      <alignment horizontal="center"/>
    </xf>
    <xf numFmtId="0" fontId="240" fillId="18" borderId="33" xfId="0" applyFont="1" applyFill="1" applyBorder="1" applyAlignment="1">
      <alignment horizontal="center"/>
    </xf>
    <xf numFmtId="0" fontId="205" fillId="0" borderId="15" xfId="0" applyFont="1" applyBorder="1" applyAlignment="1">
      <alignment horizontal="center"/>
    </xf>
    <xf numFmtId="0" fontId="202" fillId="0" borderId="0" xfId="0" applyFont="1" applyAlignment="1">
      <alignment horizontal="center"/>
    </xf>
    <xf numFmtId="0" fontId="49" fillId="0" borderId="4" xfId="57" applyBorder="1" applyAlignment="1">
      <alignment horizontal="center"/>
      <protection locked="0"/>
    </xf>
    <xf numFmtId="0" fontId="202" fillId="0" borderId="4" xfId="0" applyFont="1" applyBorder="1" applyAlignment="1" applyProtection="1">
      <alignment horizontal="center"/>
      <protection locked="0"/>
    </xf>
    <xf numFmtId="0" fontId="202" fillId="0" borderId="33" xfId="0" applyFont="1" applyBorder="1" applyAlignment="1" applyProtection="1">
      <alignment horizontal="center"/>
      <protection locked="0"/>
    </xf>
    <xf numFmtId="0" fontId="163" fillId="0" borderId="23" xfId="0" applyFont="1" applyBorder="1"/>
    <xf numFmtId="0" fontId="198" fillId="0" borderId="33" xfId="0" applyFont="1" applyBorder="1"/>
    <xf numFmtId="0" fontId="202" fillId="0" borderId="23" xfId="57" quotePrefix="1" applyFont="1" applyBorder="1" applyAlignment="1" applyProtection="1"/>
    <xf numFmtId="0" fontId="94" fillId="0" borderId="23" xfId="57" applyFont="1" applyBorder="1" applyAlignment="1" applyProtection="1"/>
    <xf numFmtId="0" fontId="94" fillId="0" borderId="4" xfId="57" applyFont="1" applyBorder="1" applyAlignment="1" applyProtection="1"/>
    <xf numFmtId="0" fontId="94" fillId="0" borderId="33" xfId="57" applyFont="1" applyBorder="1" applyAlignment="1" applyProtection="1"/>
    <xf numFmtId="0" fontId="190" fillId="0" borderId="0" xfId="0" applyFont="1" applyAlignment="1">
      <alignment horizontal="left"/>
    </xf>
    <xf numFmtId="0" fontId="2" fillId="0" borderId="0" xfId="0" applyFont="1"/>
    <xf numFmtId="0" fontId="167" fillId="0" borderId="0" xfId="57" applyFont="1" applyAlignment="1" applyProtection="1"/>
    <xf numFmtId="0" fontId="49" fillId="0" borderId="23" xfId="57" applyBorder="1" applyAlignment="1" applyProtection="1"/>
    <xf numFmtId="0" fontId="49" fillId="0" borderId="4" xfId="57" applyBorder="1" applyAlignment="1" applyProtection="1"/>
    <xf numFmtId="0" fontId="49" fillId="0" borderId="33" xfId="57" applyBorder="1" applyAlignment="1" applyProtection="1"/>
    <xf numFmtId="0" fontId="198" fillId="0" borderId="0" xfId="0" applyFont="1" applyAlignment="1">
      <alignment horizontal="right"/>
    </xf>
    <xf numFmtId="0" fontId="198" fillId="0" borderId="23" xfId="0" applyFont="1" applyBorder="1"/>
    <xf numFmtId="0" fontId="269" fillId="0" borderId="23" xfId="57" applyFont="1" applyBorder="1" applyAlignment="1" applyProtection="1"/>
    <xf numFmtId="0" fontId="269" fillId="0" borderId="4" xfId="57" applyFont="1" applyBorder="1" applyAlignment="1" applyProtection="1"/>
    <xf numFmtId="0" fontId="269" fillId="0" borderId="33" xfId="57" applyFont="1" applyBorder="1" applyAlignment="1" applyProtection="1"/>
    <xf numFmtId="0" fontId="3" fillId="0" borderId="0" xfId="0" applyFont="1" applyAlignment="1">
      <alignment horizontal="center"/>
    </xf>
    <xf numFmtId="0" fontId="63" fillId="0" borderId="0" xfId="115" applyFont="1" applyAlignment="1" applyProtection="1">
      <alignment horizontal="center" vertical="center"/>
      <protection hidden="1"/>
    </xf>
    <xf numFmtId="164" fontId="7" fillId="0" borderId="4" xfId="96" applyNumberFormat="1" applyFont="1" applyBorder="1" applyAlignment="1">
      <alignment horizontal="center" shrinkToFit="1"/>
    </xf>
    <xf numFmtId="164" fontId="7" fillId="0" borderId="4" xfId="96" applyNumberFormat="1" applyFont="1" applyBorder="1" applyAlignment="1" applyProtection="1">
      <alignment horizontal="center" shrinkToFit="1"/>
      <protection locked="0"/>
    </xf>
    <xf numFmtId="164" fontId="3" fillId="0" borderId="0" xfId="96" applyNumberFormat="1" applyFont="1" applyAlignment="1">
      <alignment horizontal="center"/>
    </xf>
    <xf numFmtId="164" fontId="3" fillId="0" borderId="0" xfId="99" applyNumberFormat="1" applyFont="1" applyAlignment="1">
      <alignment horizontal="center"/>
    </xf>
    <xf numFmtId="164" fontId="7" fillId="0" borderId="1" xfId="96" applyNumberFormat="1" applyFont="1" applyBorder="1" applyAlignment="1">
      <alignment horizontal="center" shrinkToFit="1"/>
    </xf>
    <xf numFmtId="6" fontId="12" fillId="0" borderId="1" xfId="115" applyNumberFormat="1" applyFont="1" applyBorder="1" applyProtection="1">
      <protection locked="0"/>
    </xf>
    <xf numFmtId="0" fontId="12" fillId="0" borderId="1" xfId="115" applyFont="1" applyBorder="1" applyProtection="1">
      <protection locked="0"/>
    </xf>
    <xf numFmtId="0" fontId="17" fillId="0" borderId="1" xfId="115" applyFont="1" applyBorder="1" applyProtection="1">
      <protection locked="0"/>
    </xf>
    <xf numFmtId="0" fontId="12" fillId="0" borderId="4" xfId="115" applyFont="1" applyBorder="1" applyProtection="1">
      <protection locked="0"/>
    </xf>
    <xf numFmtId="0" fontId="17" fillId="0" borderId="4" xfId="115" applyFont="1" applyBorder="1" applyProtection="1">
      <protection locked="0"/>
    </xf>
    <xf numFmtId="0" fontId="23" fillId="0" borderId="0" xfId="115" applyFont="1" applyAlignment="1">
      <alignment horizontal="center"/>
    </xf>
    <xf numFmtId="0" fontId="4" fillId="6" borderId="0" xfId="0" applyFont="1" applyFill="1"/>
    <xf numFmtId="0" fontId="8" fillId="0" borderId="1" xfId="115" applyBorder="1" applyProtection="1">
      <protection locked="0"/>
    </xf>
    <xf numFmtId="0" fontId="0" fillId="0" borderId="1" xfId="0" applyBorder="1" applyProtection="1">
      <protection locked="0"/>
    </xf>
    <xf numFmtId="0" fontId="8" fillId="0" borderId="1" xfId="115" applyBorder="1" applyAlignment="1" applyProtection="1">
      <alignment horizontal="center"/>
      <protection locked="0"/>
    </xf>
    <xf numFmtId="0" fontId="4" fillId="0" borderId="0" xfId="0" applyFont="1"/>
    <xf numFmtId="0" fontId="81" fillId="0" borderId="0" xfId="57" applyFont="1" applyAlignment="1" applyProtection="1">
      <alignment horizontal="center"/>
    </xf>
    <xf numFmtId="0" fontId="63" fillId="0" borderId="0" xfId="115" applyFont="1" applyAlignment="1">
      <alignment horizontal="center" vertical="center"/>
    </xf>
    <xf numFmtId="0" fontId="3" fillId="0" borderId="0" xfId="86" applyFont="1" applyAlignment="1">
      <alignment horizontal="center"/>
    </xf>
    <xf numFmtId="164" fontId="2" fillId="0" borderId="0" xfId="99" applyNumberFormat="1"/>
    <xf numFmtId="0" fontId="2" fillId="0" borderId="0" xfId="0" applyFont="1" applyAlignment="1">
      <alignment horizontal="left" vertical="center"/>
    </xf>
    <xf numFmtId="164" fontId="76" fillId="0" borderId="0" xfId="99" applyNumberFormat="1" applyFont="1" applyAlignment="1">
      <alignment horizontal="center"/>
    </xf>
    <xf numFmtId="0" fontId="175" fillId="0" borderId="0" xfId="57" applyFont="1" applyAlignment="1" applyProtection="1">
      <alignment vertical="center"/>
    </xf>
    <xf numFmtId="0" fontId="4" fillId="0" borderId="0" xfId="57" applyFont="1" applyAlignment="1" applyProtection="1">
      <alignment vertical="center"/>
    </xf>
    <xf numFmtId="0" fontId="60" fillId="0" borderId="0" xfId="115" applyFont="1" applyAlignment="1">
      <alignment horizontal="center" vertical="center"/>
    </xf>
    <xf numFmtId="0" fontId="3" fillId="0" borderId="0" xfId="115" applyFont="1" applyAlignment="1">
      <alignment horizontal="center"/>
    </xf>
    <xf numFmtId="168" fontId="7" fillId="0" borderId="1" xfId="82" applyFont="1" applyBorder="1" applyAlignment="1" applyProtection="1">
      <alignment horizontal="center" shrinkToFit="1"/>
    </xf>
    <xf numFmtId="168" fontId="7" fillId="0" borderId="4" xfId="82" applyFont="1" applyBorder="1" applyAlignment="1">
      <alignment horizontal="center" shrinkToFit="1"/>
      <protection locked="0"/>
    </xf>
    <xf numFmtId="168" fontId="7" fillId="0" borderId="1" xfId="82" applyFont="1" applyBorder="1" applyAlignment="1">
      <alignment horizontal="center" shrinkToFit="1"/>
      <protection locked="0"/>
    </xf>
    <xf numFmtId="168" fontId="36" fillId="0" borderId="5" xfId="82" applyFont="1" applyBorder="1" applyAlignment="1" applyProtection="1">
      <alignment horizontal="center" wrapText="1"/>
    </xf>
    <xf numFmtId="168" fontId="36" fillId="0" borderId="6" xfId="82" applyFont="1" applyBorder="1" applyAlignment="1" applyProtection="1">
      <alignment horizontal="center" wrapText="1"/>
    </xf>
    <xf numFmtId="168" fontId="36" fillId="0" borderId="7" xfId="82" applyFont="1" applyBorder="1" applyAlignment="1" applyProtection="1">
      <alignment horizontal="center" wrapText="1"/>
    </xf>
    <xf numFmtId="168" fontId="36" fillId="0" borderId="23" xfId="82" applyFont="1" applyBorder="1" applyAlignment="1" applyProtection="1">
      <alignment horizontal="center"/>
    </xf>
    <xf numFmtId="168" fontId="36" fillId="0" borderId="4" xfId="82" applyFont="1" applyBorder="1" applyAlignment="1" applyProtection="1">
      <alignment horizontal="center"/>
    </xf>
    <xf numFmtId="168" fontId="36" fillId="0" borderId="33" xfId="82" applyFont="1" applyBorder="1" applyAlignment="1" applyProtection="1">
      <alignment horizontal="center"/>
    </xf>
    <xf numFmtId="0" fontId="44" fillId="0" borderId="0" xfId="82" applyNumberFormat="1" applyFont="1" applyProtection="1"/>
    <xf numFmtId="0" fontId="136" fillId="0" borderId="0" xfId="0" applyFont="1"/>
    <xf numFmtId="39" fontId="2" fillId="0" borderId="1" xfId="115" applyNumberFormat="1" applyFont="1" applyBorder="1" applyAlignment="1" applyProtection="1">
      <alignment horizontal="left"/>
      <protection locked="0"/>
    </xf>
    <xf numFmtId="0" fontId="2" fillId="0" borderId="1" xfId="115" applyFont="1" applyBorder="1" applyAlignment="1" applyProtection="1">
      <alignment horizontal="left"/>
      <protection locked="0"/>
    </xf>
    <xf numFmtId="0" fontId="59" fillId="0" borderId="0" xfId="115" applyFont="1" applyAlignment="1">
      <alignment horizontal="center" vertical="center"/>
    </xf>
    <xf numFmtId="164" fontId="2" fillId="0" borderId="1" xfId="96" applyNumberFormat="1" applyBorder="1" applyAlignment="1">
      <alignment horizontal="center" shrinkToFit="1"/>
    </xf>
    <xf numFmtId="164" fontId="2" fillId="0" borderId="4" xfId="96" applyNumberFormat="1" applyBorder="1" applyAlignment="1">
      <alignment horizontal="center" shrinkToFit="1"/>
    </xf>
    <xf numFmtId="168" fontId="2" fillId="0" borderId="4" xfId="82" applyFont="1" applyBorder="1" applyAlignment="1">
      <alignment horizontal="left" shrinkToFit="1"/>
      <protection locked="0"/>
    </xf>
    <xf numFmtId="4" fontId="2" fillId="0" borderId="1" xfId="115" applyNumberFormat="1" applyFont="1" applyBorder="1" applyAlignment="1" applyProtection="1">
      <alignment horizontal="center"/>
      <protection locked="0"/>
    </xf>
    <xf numFmtId="4" fontId="2" fillId="0" borderId="0" xfId="115" applyNumberFormat="1" applyFont="1" applyBorder="1" applyAlignment="1" applyProtection="1">
      <alignment horizontal="center"/>
      <protection locked="0"/>
    </xf>
    <xf numFmtId="0" fontId="279" fillId="0" borderId="8" xfId="0" applyFont="1" applyBorder="1" applyAlignment="1">
      <alignment horizontal="center"/>
    </xf>
    <xf numFmtId="0" fontId="279" fillId="0" borderId="1" xfId="0" applyFont="1" applyBorder="1" applyAlignment="1" applyProtection="1">
      <alignment horizontal="center"/>
      <protection locked="0"/>
    </xf>
    <xf numFmtId="14" fontId="279" fillId="0" borderId="1" xfId="0" applyNumberFormat="1" applyFont="1" applyBorder="1" applyAlignment="1" applyProtection="1">
      <alignment horizontal="center"/>
      <protection locked="0"/>
    </xf>
    <xf numFmtId="168" fontId="136" fillId="0" borderId="4" xfId="82" applyFont="1" applyBorder="1" applyAlignment="1" applyProtection="1">
      <alignment horizontal="center"/>
    </xf>
    <xf numFmtId="168" fontId="81" fillId="0" borderId="0" xfId="57" applyNumberFormat="1" applyFont="1" applyAlignment="1" applyProtection="1">
      <alignment horizontal="center"/>
    </xf>
    <xf numFmtId="168" fontId="3" fillId="0" borderId="0" xfId="85" applyFont="1" applyAlignment="1" applyProtection="1">
      <alignment horizontal="center"/>
    </xf>
    <xf numFmtId="0" fontId="7" fillId="0" borderId="1" xfId="85" applyNumberFormat="1" applyFont="1" applyBorder="1" applyAlignment="1" applyProtection="1">
      <alignment horizontal="center" shrinkToFit="1"/>
    </xf>
    <xf numFmtId="168" fontId="136" fillId="0" borderId="4" xfId="82" applyFont="1" applyBorder="1" applyAlignment="1">
      <alignment horizontal="center" shrinkToFit="1"/>
      <protection locked="0"/>
    </xf>
    <xf numFmtId="168" fontId="136" fillId="0" borderId="4" xfId="82" applyFont="1" applyBorder="1" applyAlignment="1">
      <alignment horizontal="center"/>
      <protection locked="0"/>
    </xf>
    <xf numFmtId="0" fontId="44" fillId="0" borderId="0" xfId="82" applyNumberFormat="1" applyFont="1" applyFill="1" applyProtection="1"/>
    <xf numFmtId="49" fontId="175" fillId="0" borderId="0" xfId="57" applyNumberFormat="1" applyFont="1" applyAlignment="1" applyProtection="1">
      <alignment horizontal="left"/>
    </xf>
    <xf numFmtId="164" fontId="7" fillId="0" borderId="1" xfId="0" applyNumberFormat="1" applyFont="1" applyBorder="1" applyAlignment="1">
      <alignment horizontal="center" shrinkToFit="1"/>
    </xf>
    <xf numFmtId="0" fontId="3" fillId="0" borderId="0" xfId="89" applyFont="1" applyAlignment="1">
      <alignment horizontal="center"/>
    </xf>
    <xf numFmtId="164" fontId="7" fillId="0" borderId="1" xfId="0" applyNumberFormat="1" applyFont="1" applyBorder="1" applyAlignment="1" applyProtection="1">
      <alignment horizontal="center" shrinkToFit="1"/>
      <protection locked="0"/>
    </xf>
    <xf numFmtId="0" fontId="7" fillId="0" borderId="0" xfId="89" applyFont="1"/>
    <xf numFmtId="0" fontId="2" fillId="0" borderId="0" xfId="89" applyFont="1"/>
    <xf numFmtId="49" fontId="4" fillId="0" borderId="0" xfId="0" applyNumberFormat="1" applyFont="1" applyAlignment="1">
      <alignment horizontal="left"/>
    </xf>
    <xf numFmtId="0" fontId="7" fillId="0" borderId="1" xfId="86" applyFont="1" applyBorder="1" applyAlignment="1">
      <alignment horizontal="center" shrinkToFit="1"/>
    </xf>
    <xf numFmtId="0" fontId="7" fillId="0" borderId="1" xfId="86" applyFont="1" applyBorder="1" applyAlignment="1" applyProtection="1">
      <alignment horizontal="center" shrinkToFit="1"/>
      <protection locked="0"/>
    </xf>
    <xf numFmtId="0" fontId="4" fillId="0" borderId="23" xfId="0" applyFont="1" applyBorder="1" applyAlignment="1">
      <alignment horizontal="center"/>
    </xf>
    <xf numFmtId="0" fontId="4" fillId="0" borderId="4" xfId="0" applyFont="1" applyBorder="1" applyAlignment="1">
      <alignment horizontal="center"/>
    </xf>
    <xf numFmtId="0" fontId="0" fillId="0" borderId="4" xfId="0" applyBorder="1"/>
    <xf numFmtId="0" fontId="0" fillId="0" borderId="33" xfId="0" applyBorder="1"/>
    <xf numFmtId="0" fontId="7" fillId="0" borderId="1" xfId="87" applyFont="1" applyBorder="1" applyAlignment="1">
      <alignment horizontal="center" shrinkToFit="1"/>
    </xf>
    <xf numFmtId="0" fontId="7" fillId="0" borderId="4" xfId="87" applyFont="1" applyBorder="1" applyAlignment="1">
      <alignment horizontal="center" shrinkToFit="1"/>
    </xf>
    <xf numFmtId="0" fontId="7" fillId="0" borderId="4" xfId="87" applyFont="1" applyBorder="1" applyAlignment="1" applyProtection="1">
      <alignment horizontal="center" shrinkToFit="1"/>
      <protection locked="0"/>
    </xf>
    <xf numFmtId="0" fontId="2" fillId="0" borderId="0" xfId="84" applyFont="1" applyAlignment="1">
      <alignment wrapText="1"/>
    </xf>
    <xf numFmtId="0" fontId="7" fillId="0" borderId="0" xfId="84" applyFont="1" applyAlignment="1">
      <alignment wrapText="1"/>
    </xf>
    <xf numFmtId="0" fontId="2" fillId="0" borderId="0" xfId="84" applyFont="1" applyAlignment="1">
      <alignment horizontal="left" vertical="top" wrapText="1" indent="1"/>
    </xf>
    <xf numFmtId="0" fontId="7" fillId="0" borderId="0" xfId="84" applyFont="1" applyAlignment="1">
      <alignment horizontal="left" vertical="top" wrapText="1" indent="1"/>
    </xf>
    <xf numFmtId="0" fontId="21" fillId="0" borderId="0" xfId="88" applyFont="1" applyAlignment="1">
      <alignment horizontal="center" wrapText="1" shrinkToFit="1"/>
    </xf>
    <xf numFmtId="0" fontId="3" fillId="0" borderId="0" xfId="88" applyFont="1" applyAlignment="1">
      <alignment horizontal="center"/>
    </xf>
    <xf numFmtId="0" fontId="11" fillId="0" borderId="0" xfId="88" applyFont="1" applyAlignment="1">
      <alignment horizontal="center"/>
    </xf>
    <xf numFmtId="0" fontId="3" fillId="0" borderId="0" xfId="115" applyFont="1" applyAlignment="1">
      <alignment horizontal="center" vertical="center"/>
    </xf>
    <xf numFmtId="0" fontId="43" fillId="20" borderId="15" xfId="0" applyFont="1" applyFill="1" applyBorder="1" applyAlignment="1">
      <alignment horizontal="center" wrapText="1"/>
    </xf>
    <xf numFmtId="164" fontId="7" fillId="0" borderId="4" xfId="0" applyNumberFormat="1" applyFont="1" applyBorder="1" applyAlignment="1">
      <alignment horizontal="center" shrinkToFit="1"/>
    </xf>
    <xf numFmtId="164" fontId="7" fillId="0" borderId="4" xfId="0" applyNumberFormat="1" applyFont="1" applyBorder="1" applyAlignment="1" applyProtection="1">
      <alignment horizontal="center" shrinkToFit="1"/>
      <protection locked="0"/>
    </xf>
    <xf numFmtId="0" fontId="7" fillId="0" borderId="0" xfId="0" applyFont="1" applyAlignment="1">
      <alignment horizontal="center"/>
    </xf>
    <xf numFmtId="0" fontId="4" fillId="0" borderId="1" xfId="0" applyFont="1" applyBorder="1" applyAlignment="1" applyProtection="1">
      <alignment horizontal="center"/>
      <protection locked="0"/>
    </xf>
    <xf numFmtId="0" fontId="7" fillId="0" borderId="0" xfId="0" applyFont="1" applyAlignment="1">
      <alignment horizontal="right"/>
    </xf>
    <xf numFmtId="0" fontId="7" fillId="0" borderId="1" xfId="0" applyFont="1" applyBorder="1" applyAlignment="1" applyProtection="1">
      <alignment horizontal="center"/>
      <protection locked="0"/>
    </xf>
    <xf numFmtId="0" fontId="2" fillId="0" borderId="0" xfId="0" applyFont="1" applyAlignment="1">
      <alignment horizontal="left" vertical="top" wrapText="1"/>
    </xf>
    <xf numFmtId="0" fontId="0" fillId="0" borderId="0" xfId="0" applyAlignment="1">
      <alignment vertical="top" wrapText="1"/>
    </xf>
    <xf numFmtId="0" fontId="7" fillId="0" borderId="1" xfId="0" applyFont="1" applyBorder="1" applyAlignment="1" applyProtection="1">
      <alignment horizontal="left"/>
      <protection locked="0"/>
    </xf>
    <xf numFmtId="14" fontId="7" fillId="0" borderId="23" xfId="0" applyNumberFormat="1" applyFont="1" applyBorder="1" applyAlignment="1" applyProtection="1">
      <alignment horizontal="center"/>
      <protection locked="0"/>
    </xf>
    <xf numFmtId="14" fontId="7" fillId="0" borderId="4" xfId="0" applyNumberFormat="1" applyFont="1" applyBorder="1" applyAlignment="1" applyProtection="1">
      <alignment horizontal="center"/>
      <protection locked="0"/>
    </xf>
    <xf numFmtId="14" fontId="7" fillId="0" borderId="33" xfId="0" applyNumberFormat="1" applyFont="1" applyBorder="1" applyAlignment="1" applyProtection="1">
      <alignment horizontal="center"/>
      <protection locked="0"/>
    </xf>
    <xf numFmtId="0" fontId="43" fillId="20" borderId="21" xfId="0" applyFont="1" applyFill="1" applyBorder="1" applyAlignment="1">
      <alignment horizontal="center" vertical="top" wrapText="1"/>
    </xf>
    <xf numFmtId="0" fontId="43" fillId="20" borderId="8" xfId="0" applyFont="1" applyFill="1" applyBorder="1" applyAlignment="1">
      <alignment horizontal="center" vertical="top" wrapText="1"/>
    </xf>
    <xf numFmtId="0" fontId="43" fillId="20" borderId="9" xfId="0" applyFont="1" applyFill="1" applyBorder="1" applyAlignment="1">
      <alignment horizontal="center" vertical="top" wrapText="1"/>
    </xf>
    <xf numFmtId="0" fontId="43" fillId="20" borderId="12" xfId="0" applyFont="1" applyFill="1" applyBorder="1" applyAlignment="1">
      <alignment horizontal="center" vertical="top" wrapText="1"/>
    </xf>
    <xf numFmtId="0" fontId="43" fillId="20" borderId="1" xfId="0" applyFont="1" applyFill="1" applyBorder="1" applyAlignment="1">
      <alignment horizontal="center" vertical="top" wrapText="1"/>
    </xf>
    <xf numFmtId="0" fontId="43" fillId="20" borderId="13" xfId="0" applyFont="1" applyFill="1" applyBorder="1" applyAlignment="1">
      <alignment horizontal="center" vertical="top" wrapText="1"/>
    </xf>
    <xf numFmtId="0" fontId="7" fillId="0" borderId="0" xfId="0" applyFont="1" applyAlignment="1">
      <alignment horizontal="left"/>
    </xf>
    <xf numFmtId="0" fontId="43" fillId="20" borderId="5" xfId="0" applyFont="1" applyFill="1" applyBorder="1" applyAlignment="1">
      <alignment horizontal="center" wrapText="1"/>
    </xf>
    <xf numFmtId="177" fontId="7" fillId="0" borderId="23" xfId="0" applyNumberFormat="1" applyFont="1" applyBorder="1" applyAlignment="1" applyProtection="1">
      <alignment horizontal="center"/>
      <protection locked="0"/>
    </xf>
    <xf numFmtId="177" fontId="7" fillId="0" borderId="4" xfId="0" applyNumberFormat="1" applyFont="1" applyBorder="1" applyAlignment="1" applyProtection="1">
      <alignment horizontal="center"/>
      <protection locked="0"/>
    </xf>
    <xf numFmtId="177" fontId="7" fillId="0" borderId="33" xfId="0" applyNumberFormat="1" applyFont="1" applyBorder="1" applyAlignment="1" applyProtection="1">
      <alignment horizontal="center"/>
      <protection locked="0"/>
    </xf>
    <xf numFmtId="10" fontId="7" fillId="0" borderId="4" xfId="0" applyNumberFormat="1" applyFont="1" applyBorder="1" applyAlignment="1" applyProtection="1">
      <alignment horizontal="center"/>
      <protection locked="0"/>
    </xf>
    <xf numFmtId="10" fontId="7" fillId="0" borderId="33" xfId="0" applyNumberFormat="1" applyFont="1" applyBorder="1" applyAlignment="1" applyProtection="1">
      <alignment horizontal="center"/>
      <protection locked="0"/>
    </xf>
    <xf numFmtId="10" fontId="7" fillId="0" borderId="23" xfId="0" applyNumberFormat="1" applyFont="1" applyBorder="1" applyAlignment="1" applyProtection="1">
      <alignment horizontal="center"/>
      <protection locked="0"/>
    </xf>
    <xf numFmtId="0" fontId="135" fillId="20" borderId="21" xfId="0" applyFont="1" applyFill="1" applyBorder="1" applyAlignment="1">
      <alignment horizontal="center" vertical="center" wrapText="1"/>
    </xf>
    <xf numFmtId="0" fontId="135" fillId="20" borderId="8" xfId="0" applyFont="1" applyFill="1" applyBorder="1" applyAlignment="1">
      <alignment horizontal="center" vertical="center" wrapText="1"/>
    </xf>
    <xf numFmtId="0" fontId="135" fillId="20" borderId="9" xfId="0" applyFont="1" applyFill="1" applyBorder="1" applyAlignment="1">
      <alignment horizontal="center" vertical="center" wrapText="1"/>
    </xf>
    <xf numFmtId="0" fontId="135" fillId="20" borderId="10" xfId="0" applyFont="1" applyFill="1" applyBorder="1" applyAlignment="1">
      <alignment horizontal="center" vertical="center" wrapText="1"/>
    </xf>
    <xf numFmtId="0" fontId="135" fillId="20" borderId="0" xfId="0" applyFont="1" applyFill="1" applyAlignment="1">
      <alignment horizontal="center" vertical="center" wrapText="1"/>
    </xf>
    <xf numFmtId="0" fontId="135" fillId="20" borderId="11" xfId="0" applyFont="1" applyFill="1" applyBorder="1" applyAlignment="1">
      <alignment horizontal="center" vertical="center" wrapText="1"/>
    </xf>
    <xf numFmtId="0" fontId="135" fillId="20" borderId="12" xfId="0" applyFont="1" applyFill="1" applyBorder="1" applyAlignment="1">
      <alignment horizontal="center" vertical="center" wrapText="1"/>
    </xf>
    <xf numFmtId="0" fontId="135" fillId="20" borderId="1" xfId="0" applyFont="1" applyFill="1" applyBorder="1" applyAlignment="1">
      <alignment horizontal="center" vertical="center" wrapText="1"/>
    </xf>
    <xf numFmtId="0" fontId="135" fillId="20" borderId="13" xfId="0" applyFont="1" applyFill="1" applyBorder="1" applyAlignment="1">
      <alignment horizontal="center" vertical="center" wrapText="1"/>
    </xf>
    <xf numFmtId="0" fontId="2" fillId="0" borderId="1" xfId="0" applyFont="1" applyBorder="1" applyProtection="1">
      <protection locked="0"/>
    </xf>
    <xf numFmtId="0" fontId="0" fillId="0" borderId="1" xfId="0" applyBorder="1"/>
    <xf numFmtId="0" fontId="2" fillId="0" borderId="1" xfId="0" applyFont="1" applyBorder="1"/>
    <xf numFmtId="0" fontId="2" fillId="0" borderId="4" xfId="0" applyFont="1" applyBorder="1" applyProtection="1">
      <protection locked="0"/>
    </xf>
    <xf numFmtId="0" fontId="2" fillId="0" borderId="4" xfId="0" applyFont="1" applyBorder="1"/>
    <xf numFmtId="0" fontId="43" fillId="20" borderId="23" xfId="0" applyFont="1" applyFill="1" applyBorder="1" applyAlignment="1">
      <alignment horizontal="center" wrapText="1"/>
    </xf>
    <xf numFmtId="0" fontId="43" fillId="20" borderId="4" xfId="0" applyFont="1" applyFill="1" applyBorder="1" applyAlignment="1">
      <alignment horizontal="center" wrapText="1"/>
    </xf>
    <xf numFmtId="0" fontId="43" fillId="20" borderId="33" xfId="0" applyFont="1" applyFill="1" applyBorder="1" applyAlignment="1">
      <alignment horizontal="center" wrapText="1"/>
    </xf>
    <xf numFmtId="0" fontId="4" fillId="0" borderId="0" xfId="0" applyFont="1" applyAlignment="1" applyProtection="1">
      <alignment horizontal="right"/>
      <protection locked="0"/>
    </xf>
    <xf numFmtId="0" fontId="7" fillId="0" borderId="0" xfId="0" applyFont="1" applyAlignment="1" applyProtection="1">
      <alignment horizontal="center"/>
      <protection locked="0"/>
    </xf>
    <xf numFmtId="0" fontId="242" fillId="0" borderId="0" xfId="0" applyFont="1" applyAlignment="1">
      <alignment horizontal="left"/>
    </xf>
    <xf numFmtId="0" fontId="15" fillId="0" borderId="0" xfId="0" applyFont="1"/>
    <xf numFmtId="49" fontId="183" fillId="0" borderId="0" xfId="0" applyNumberFormat="1" applyFont="1"/>
    <xf numFmtId="49" fontId="119" fillId="0" borderId="0" xfId="0" applyNumberFormat="1" applyFont="1"/>
    <xf numFmtId="0" fontId="7" fillId="0" borderId="4" xfId="93" applyFont="1" applyBorder="1" applyAlignment="1">
      <alignment horizontal="center" shrinkToFit="1"/>
    </xf>
    <xf numFmtId="0" fontId="7" fillId="0" borderId="1" xfId="89" applyFont="1" applyBorder="1" applyAlignment="1">
      <alignment horizontal="center"/>
    </xf>
    <xf numFmtId="0" fontId="0" fillId="0" borderId="1" xfId="0" applyBorder="1" applyAlignment="1">
      <alignment horizontal="center"/>
    </xf>
    <xf numFmtId="164" fontId="7" fillId="0" borderId="4" xfId="93" applyNumberFormat="1" applyFont="1" applyBorder="1" applyAlignment="1" applyProtection="1">
      <alignment horizontal="center" shrinkToFit="1"/>
      <protection locked="0"/>
    </xf>
    <xf numFmtId="49" fontId="175" fillId="0" borderId="0" xfId="57" applyNumberFormat="1" applyFont="1" applyAlignment="1" applyProtection="1"/>
    <xf numFmtId="0" fontId="175" fillId="0" borderId="0" xfId="57" applyFont="1" applyAlignment="1" applyProtection="1"/>
    <xf numFmtId="0" fontId="7" fillId="0" borderId="1" xfId="93" applyFont="1" applyBorder="1" applyAlignment="1">
      <alignment horizontal="center" shrinkToFit="1"/>
    </xf>
    <xf numFmtId="0" fontId="5" fillId="0" borderId="0" xfId="57" applyFont="1" applyAlignment="1" applyProtection="1">
      <alignment horizontal="left"/>
    </xf>
    <xf numFmtId="185" fontId="2" fillId="0" borderId="0" xfId="115" applyNumberFormat="1" applyFont="1" applyAlignment="1">
      <alignment horizontal="center"/>
    </xf>
    <xf numFmtId="185" fontId="2" fillId="0" borderId="1" xfId="115" applyNumberFormat="1" applyFont="1" applyBorder="1" applyAlignment="1" applyProtection="1">
      <alignment horizontal="center"/>
      <protection locked="0"/>
    </xf>
    <xf numFmtId="0" fontId="4" fillId="8" borderId="0" xfId="94" applyFont="1" applyFill="1"/>
    <xf numFmtId="164" fontId="7" fillId="0" borderId="1" xfId="93" applyNumberFormat="1" applyFont="1" applyBorder="1" applyAlignment="1" applyProtection="1">
      <alignment horizontal="center" shrinkToFit="1"/>
      <protection locked="0"/>
    </xf>
    <xf numFmtId="0" fontId="2" fillId="0" borderId="0" xfId="0" applyFont="1" applyAlignment="1">
      <alignment horizontal="left" wrapText="1" indent="2"/>
    </xf>
    <xf numFmtId="0" fontId="7" fillId="0" borderId="0" xfId="0" applyFont="1" applyAlignment="1">
      <alignment horizontal="left" wrapText="1" indent="2"/>
    </xf>
    <xf numFmtId="0" fontId="4" fillId="0" borderId="1" xfId="0" applyFont="1" applyBorder="1" applyAlignment="1">
      <alignment horizontal="center"/>
    </xf>
    <xf numFmtId="0" fontId="7" fillId="0" borderId="0" xfId="0" applyFont="1" applyAlignment="1">
      <alignment wrapText="1"/>
    </xf>
    <xf numFmtId="0" fontId="4" fillId="0" borderId="0" xfId="0" applyFont="1" applyAlignment="1">
      <alignment horizontal="center"/>
    </xf>
    <xf numFmtId="0" fontId="18" fillId="0" borderId="0" xfId="89" applyFont="1" applyAlignment="1">
      <alignment horizontal="center"/>
    </xf>
    <xf numFmtId="0" fontId="7" fillId="0" borderId="0" xfId="89" applyFont="1" applyAlignment="1">
      <alignment horizontal="center"/>
    </xf>
    <xf numFmtId="0" fontId="175" fillId="0" borderId="0" xfId="57" applyFont="1" applyAlignment="1" applyProtection="1">
      <alignment horizontal="left" vertical="center"/>
    </xf>
    <xf numFmtId="164" fontId="2" fillId="0" borderId="0" xfId="99" applyNumberFormat="1" applyAlignment="1">
      <alignment horizontal="center"/>
    </xf>
    <xf numFmtId="0" fontId="183" fillId="0" borderId="0" xfId="0" applyFont="1" applyAlignment="1">
      <alignment horizontal="left"/>
    </xf>
    <xf numFmtId="49" fontId="44" fillId="0" borderId="1" xfId="89" applyNumberFormat="1" applyFont="1" applyBorder="1" applyAlignment="1" applyProtection="1">
      <alignment horizontal="left"/>
      <protection locked="0"/>
    </xf>
    <xf numFmtId="49" fontId="44" fillId="0" borderId="4" xfId="89" applyNumberFormat="1" applyFont="1" applyBorder="1" applyAlignment="1" applyProtection="1">
      <alignment horizontal="left"/>
      <protection locked="0"/>
    </xf>
    <xf numFmtId="0" fontId="0" fillId="0" borderId="4" xfId="0" applyBorder="1" applyAlignment="1">
      <alignment horizontal="left"/>
    </xf>
    <xf numFmtId="0" fontId="12" fillId="0" borderId="0" xfId="89" applyAlignment="1">
      <alignment horizontal="left"/>
    </xf>
    <xf numFmtId="0" fontId="119" fillId="0" borderId="0" xfId="0" applyFont="1" applyAlignment="1">
      <alignment horizontal="left"/>
    </xf>
    <xf numFmtId="0" fontId="0" fillId="0" borderId="0" xfId="0" applyAlignment="1">
      <alignment horizontal="left"/>
    </xf>
    <xf numFmtId="49" fontId="2" fillId="0" borderId="4" xfId="89" applyNumberFormat="1" applyFont="1" applyBorder="1" applyAlignment="1" applyProtection="1">
      <alignment horizontal="center"/>
      <protection locked="0"/>
    </xf>
    <xf numFmtId="49" fontId="7" fillId="0" borderId="4" xfId="89" applyNumberFormat="1" applyFont="1" applyBorder="1" applyAlignment="1" applyProtection="1">
      <alignment horizontal="center"/>
      <protection locked="0"/>
    </xf>
    <xf numFmtId="0" fontId="7" fillId="0" borderId="1" xfId="93" applyFont="1" applyBorder="1" applyAlignment="1">
      <alignment horizontal="left"/>
    </xf>
    <xf numFmtId="164" fontId="7" fillId="0" borderId="4" xfId="0" applyNumberFormat="1" applyFont="1" applyBorder="1" applyAlignment="1" applyProtection="1">
      <alignment horizontal="left"/>
      <protection locked="0"/>
    </xf>
    <xf numFmtId="0" fontId="0" fillId="0" borderId="4" xfId="0" applyBorder="1" applyProtection="1">
      <protection locked="0"/>
    </xf>
    <xf numFmtId="164" fontId="7" fillId="0" borderId="4" xfId="93" applyNumberFormat="1" applyFont="1" applyBorder="1" applyAlignment="1" applyProtection="1">
      <alignment horizontal="left"/>
      <protection locked="0"/>
    </xf>
    <xf numFmtId="0" fontId="183" fillId="0" borderId="1" xfId="0" applyFont="1" applyBorder="1" applyAlignment="1">
      <alignment horizontal="center"/>
    </xf>
    <xf numFmtId="0" fontId="7" fillId="0" borderId="1" xfId="0" applyFont="1" applyBorder="1" applyAlignment="1">
      <alignment horizontal="center"/>
    </xf>
    <xf numFmtId="0" fontId="50" fillId="0" borderId="0" xfId="89" applyFont="1" applyAlignment="1">
      <alignment horizontal="center"/>
    </xf>
    <xf numFmtId="0" fontId="50" fillId="0" borderId="1" xfId="89" applyFont="1" applyBorder="1" applyAlignment="1">
      <alignment horizontal="center"/>
    </xf>
    <xf numFmtId="0" fontId="2" fillId="0" borderId="0" xfId="102" applyFont="1"/>
    <xf numFmtId="0" fontId="4" fillId="0" borderId="0" xfId="102" applyFont="1"/>
    <xf numFmtId="49" fontId="2" fillId="0" borderId="1" xfId="89" applyNumberFormat="1" applyFont="1" applyBorder="1" applyAlignment="1" applyProtection="1">
      <alignment horizontal="left"/>
      <protection locked="0"/>
    </xf>
    <xf numFmtId="0" fontId="7" fillId="0" borderId="0" xfId="89" applyFont="1" applyAlignment="1">
      <alignment horizontal="left" indent="2"/>
    </xf>
    <xf numFmtId="0" fontId="0" fillId="0" borderId="0" xfId="0" applyAlignment="1">
      <alignment horizontal="left" indent="2"/>
    </xf>
    <xf numFmtId="0" fontId="7" fillId="0" borderId="0" xfId="102" applyFont="1"/>
    <xf numFmtId="0" fontId="4" fillId="0" borderId="1" xfId="89" applyFont="1" applyBorder="1" applyAlignment="1">
      <alignment horizontal="center"/>
    </xf>
    <xf numFmtId="0" fontId="243" fillId="0" borderId="0" xfId="0" applyFont="1" applyAlignment="1">
      <alignment horizontal="left"/>
    </xf>
    <xf numFmtId="0" fontId="185" fillId="0" borderId="0" xfId="0" applyFont="1"/>
    <xf numFmtId="0" fontId="243" fillId="0" borderId="4" xfId="0" applyFont="1" applyBorder="1" applyAlignment="1" applyProtection="1">
      <alignment horizontal="left"/>
      <protection locked="0"/>
    </xf>
    <xf numFmtId="164" fontId="7" fillId="0" borderId="1" xfId="0" applyNumberFormat="1" applyFont="1" applyBorder="1" applyAlignment="1">
      <alignment horizontal="center"/>
    </xf>
    <xf numFmtId="0" fontId="2" fillId="0" borderId="1" xfId="0" applyFont="1" applyBorder="1" applyAlignment="1" applyProtection="1">
      <alignment horizontal="center"/>
      <protection locked="0"/>
    </xf>
    <xf numFmtId="164" fontId="7" fillId="0" borderId="0" xfId="0" applyNumberFormat="1" applyFont="1" applyAlignment="1">
      <alignment horizontal="center"/>
    </xf>
    <xf numFmtId="0" fontId="4" fillId="6" borderId="8" xfId="0" applyFont="1" applyFill="1" applyBorder="1"/>
    <xf numFmtId="0" fontId="0" fillId="0" borderId="8" xfId="0" applyBorder="1"/>
    <xf numFmtId="0" fontId="101" fillId="6" borderId="0" xfId="115" applyFont="1" applyFill="1" applyAlignment="1" applyProtection="1">
      <alignment horizontal="left"/>
    </xf>
    <xf numFmtId="0" fontId="0" fillId="0" borderId="0" xfId="0" applyProtection="1"/>
    <xf numFmtId="0" fontId="7" fillId="0" borderId="4" xfId="0" applyFont="1" applyBorder="1" applyProtection="1">
      <protection locked="0"/>
    </xf>
    <xf numFmtId="176" fontId="7" fillId="0" borderId="1" xfId="0" applyNumberFormat="1" applyFont="1" applyBorder="1" applyProtection="1">
      <protection locked="0"/>
    </xf>
    <xf numFmtId="0" fontId="7" fillId="0" borderId="1" xfId="0" applyFont="1" applyBorder="1" applyProtection="1">
      <protection locked="0"/>
    </xf>
    <xf numFmtId="192" fontId="4" fillId="0" borderId="0" xfId="95" applyNumberFormat="1" applyFont="1" applyProtection="1"/>
    <xf numFmtId="192" fontId="4" fillId="0" borderId="0" xfId="0" applyNumberFormat="1" applyFont="1" applyProtection="1"/>
    <xf numFmtId="0" fontId="18" fillId="0" borderId="0" xfId="95" applyFont="1" applyAlignment="1">
      <alignment horizontal="center"/>
    </xf>
    <xf numFmtId="192" fontId="2" fillId="0" borderId="0" xfId="95" applyNumberFormat="1" applyFont="1"/>
    <xf numFmtId="192" fontId="0" fillId="0" borderId="0" xfId="0" applyNumberFormat="1"/>
    <xf numFmtId="192" fontId="2" fillId="0" borderId="0" xfId="95" applyNumberFormat="1" applyFont="1" applyProtection="1"/>
    <xf numFmtId="192" fontId="0" fillId="0" borderId="0" xfId="0" applyNumberFormat="1" applyProtection="1"/>
    <xf numFmtId="0" fontId="0" fillId="6" borderId="0" xfId="0" applyFill="1"/>
    <xf numFmtId="0" fontId="6" fillId="0" borderId="0" xfId="0" applyFont="1" applyAlignment="1">
      <alignment horizontal="center"/>
    </xf>
    <xf numFmtId="164" fontId="7" fillId="0" borderId="4" xfId="0" applyNumberFormat="1" applyFont="1" applyBorder="1" applyAlignment="1">
      <alignment horizontal="center"/>
    </xf>
    <xf numFmtId="191" fontId="7" fillId="0" borderId="1" xfId="0" applyNumberFormat="1" applyFont="1" applyBorder="1" applyAlignment="1" applyProtection="1">
      <alignment horizontal="center"/>
      <protection locked="0"/>
    </xf>
    <xf numFmtId="164" fontId="2" fillId="0" borderId="4" xfId="0" applyNumberFormat="1" applyFont="1" applyBorder="1" applyAlignment="1" applyProtection="1">
      <alignment horizontal="center"/>
      <protection locked="0"/>
    </xf>
    <xf numFmtId="164" fontId="2" fillId="0" borderId="1" xfId="0" applyNumberFormat="1" applyFont="1" applyBorder="1" applyAlignment="1" applyProtection="1">
      <alignment horizontal="center"/>
      <protection locked="0"/>
    </xf>
    <xf numFmtId="0" fontId="4" fillId="0" borderId="0" xfId="0" applyFont="1" applyAlignment="1">
      <alignment horizontal="right"/>
    </xf>
    <xf numFmtId="164" fontId="7" fillId="0" borderId="4" xfId="69" applyNumberFormat="1" applyFont="1" applyBorder="1" applyAlignment="1" applyProtection="1">
      <alignment horizontal="center" shrinkToFit="1"/>
      <protection locked="0"/>
    </xf>
    <xf numFmtId="164" fontId="3" fillId="0" borderId="0" xfId="69" applyNumberFormat="1" applyFont="1" applyAlignment="1">
      <alignment horizontal="center"/>
    </xf>
    <xf numFmtId="0" fontId="3" fillId="0" borderId="0" xfId="81" applyFont="1" applyAlignment="1">
      <alignment horizontal="center"/>
    </xf>
    <xf numFmtId="164" fontId="7" fillId="0" borderId="0" xfId="69" applyNumberFormat="1" applyFont="1" applyAlignment="1">
      <alignment horizontal="center" shrinkToFit="1"/>
    </xf>
    <xf numFmtId="164" fontId="7" fillId="0" borderId="1" xfId="69" applyNumberFormat="1" applyFont="1" applyBorder="1" applyAlignment="1">
      <alignment horizontal="center" shrinkToFit="1"/>
    </xf>
    <xf numFmtId="0" fontId="38" fillId="0" borderId="0" xfId="81" applyFont="1" applyAlignment="1" applyProtection="1">
      <alignment horizontal="left"/>
      <protection locked="0"/>
    </xf>
    <xf numFmtId="0" fontId="2" fillId="0" borderId="0" xfId="0" applyFont="1" applyAlignment="1">
      <alignment horizontal="left"/>
    </xf>
    <xf numFmtId="0" fontId="2" fillId="0" borderId="0" xfId="0" applyFont="1" applyAlignment="1"/>
    <xf numFmtId="0" fontId="2" fillId="0" borderId="0" xfId="0" applyFont="1" applyAlignment="1">
      <alignment horizontal="left" indent="1"/>
    </xf>
    <xf numFmtId="0" fontId="0" fillId="0" borderId="0" xfId="0" applyAlignment="1">
      <alignment horizontal="center"/>
    </xf>
    <xf numFmtId="164" fontId="2" fillId="0" borderId="0" xfId="69" applyNumberFormat="1" applyFont="1" applyAlignment="1">
      <alignment horizontal="center" shrinkToFit="1"/>
    </xf>
    <xf numFmtId="0" fontId="2" fillId="58" borderId="0" xfId="0" applyFont="1" applyFill="1" applyAlignment="1">
      <alignment horizontal="left"/>
    </xf>
    <xf numFmtId="0" fontId="2" fillId="58" borderId="0" xfId="0" applyFont="1" applyFill="1"/>
    <xf numFmtId="0" fontId="38" fillId="58" borderId="0" xfId="81" applyFont="1" applyFill="1" applyAlignment="1" applyProtection="1">
      <alignment horizontal="left"/>
      <protection locked="0"/>
    </xf>
    <xf numFmtId="0" fontId="81" fillId="58" borderId="0" xfId="57" applyFont="1" applyFill="1" applyAlignment="1" applyProtection="1">
      <alignment horizontal="center"/>
    </xf>
    <xf numFmtId="0" fontId="0" fillId="58" borderId="0" xfId="57" applyFont="1" applyFill="1" applyAlignment="1" applyProtection="1">
      <alignment horizontal="center"/>
    </xf>
    <xf numFmtId="0" fontId="3" fillId="58" borderId="0" xfId="81" applyFont="1" applyFill="1" applyAlignment="1">
      <alignment horizontal="center"/>
    </xf>
    <xf numFmtId="0" fontId="0" fillId="58" borderId="0" xfId="0" applyFill="1" applyAlignment="1">
      <alignment horizontal="center"/>
    </xf>
    <xf numFmtId="164" fontId="2" fillId="58" borderId="0" xfId="69" applyNumberFormat="1" applyFont="1" applyFill="1" applyAlignment="1">
      <alignment horizontal="center" shrinkToFit="1"/>
    </xf>
    <xf numFmtId="164" fontId="2" fillId="58" borderId="1" xfId="69" applyNumberFormat="1" applyFont="1" applyFill="1" applyBorder="1" applyAlignment="1" applyProtection="1">
      <alignment horizontal="center" shrinkToFit="1"/>
      <protection locked="0"/>
    </xf>
    <xf numFmtId="0" fontId="4" fillId="58" borderId="0" xfId="0" applyFont="1" applyFill="1" applyAlignment="1">
      <alignment horizontal="left"/>
    </xf>
    <xf numFmtId="0" fontId="3" fillId="0" borderId="0" xfId="91" applyFont="1" applyAlignment="1">
      <alignment horizontal="center"/>
    </xf>
    <xf numFmtId="0" fontId="4" fillId="0" borderId="23" xfId="69" applyFont="1" applyBorder="1" applyAlignment="1">
      <alignment vertical="top" wrapText="1"/>
    </xf>
    <xf numFmtId="0" fontId="7" fillId="0" borderId="4" xfId="69" applyFont="1" applyBorder="1" applyAlignment="1">
      <alignment vertical="top" wrapText="1"/>
    </xf>
    <xf numFmtId="0" fontId="247" fillId="0" borderId="4" xfId="69" applyBorder="1" applyAlignment="1">
      <alignment vertical="top" wrapText="1"/>
    </xf>
    <xf numFmtId="0" fontId="247" fillId="0" borderId="33" xfId="69" applyBorder="1" applyAlignment="1">
      <alignment vertical="top" wrapText="1"/>
    </xf>
    <xf numFmtId="0" fontId="110" fillId="0" borderId="0" xfId="69" applyFont="1" applyAlignment="1">
      <alignment horizontal="right"/>
    </xf>
    <xf numFmtId="176" fontId="7" fillId="5" borderId="15" xfId="91" applyNumberFormat="1" applyFont="1" applyFill="1" applyBorder="1"/>
    <xf numFmtId="0" fontId="247" fillId="5" borderId="15" xfId="69" applyFill="1" applyBorder="1"/>
    <xf numFmtId="0" fontId="151" fillId="0" borderId="0" xfId="69" applyFont="1" applyAlignment="1">
      <alignment horizontal="right"/>
    </xf>
    <xf numFmtId="0" fontId="7" fillId="0" borderId="0" xfId="69" applyFont="1" applyAlignment="1">
      <alignment wrapText="1"/>
    </xf>
    <xf numFmtId="0" fontId="7" fillId="0" borderId="0" xfId="91" applyFont="1" applyAlignment="1">
      <alignment wrapText="1"/>
    </xf>
    <xf numFmtId="0" fontId="247" fillId="0" borderId="0" xfId="69"/>
    <xf numFmtId="0" fontId="247" fillId="0" borderId="11" xfId="69" applyBorder="1"/>
    <xf numFmtId="0" fontId="2" fillId="0" borderId="0" xfId="69" applyFont="1" applyProtection="1">
      <protection locked="0"/>
    </xf>
    <xf numFmtId="0" fontId="7" fillId="0" borderId="0" xfId="69" applyFont="1" applyProtection="1">
      <protection locked="0"/>
    </xf>
    <xf numFmtId="0" fontId="220" fillId="0" borderId="1" xfId="69" applyFont="1" applyBorder="1"/>
    <xf numFmtId="0" fontId="157" fillId="0" borderId="8" xfId="91" applyFont="1" applyBorder="1" applyAlignment="1">
      <alignment vertical="top" wrapText="1"/>
    </xf>
    <xf numFmtId="0" fontId="230" fillId="0" borderId="8" xfId="69" applyFont="1" applyBorder="1" applyAlignment="1">
      <alignment wrapText="1"/>
    </xf>
    <xf numFmtId="0" fontId="230" fillId="0" borderId="0" xfId="69" applyFont="1" applyAlignment="1">
      <alignment wrapText="1"/>
    </xf>
    <xf numFmtId="0" fontId="2" fillId="0" borderId="1" xfId="0" applyFont="1" applyBorder="1" applyAlignment="1">
      <alignment wrapText="1"/>
    </xf>
    <xf numFmtId="0" fontId="2" fillId="0" borderId="0" xfId="69" applyFont="1"/>
    <xf numFmtId="0" fontId="0" fillId="0" borderId="11" xfId="0" applyBorder="1"/>
    <xf numFmtId="0" fontId="247" fillId="0" borderId="11" xfId="69" applyBorder="1" applyAlignment="1">
      <alignment wrapText="1"/>
    </xf>
    <xf numFmtId="0" fontId="2" fillId="0" borderId="0" xfId="69" applyFont="1" applyAlignment="1" applyProtection="1">
      <alignment horizontal="left"/>
      <protection locked="0"/>
    </xf>
    <xf numFmtId="0" fontId="2" fillId="0" borderId="11" xfId="69" applyFont="1" applyBorder="1" applyAlignment="1" applyProtection="1">
      <alignment horizontal="left"/>
      <protection locked="0"/>
    </xf>
    <xf numFmtId="0" fontId="75" fillId="0" borderId="0" xfId="69" applyFont="1" applyAlignment="1">
      <alignment horizontal="left"/>
    </xf>
    <xf numFmtId="0" fontId="4" fillId="0" borderId="0" xfId="91" applyFont="1" applyAlignment="1">
      <alignment wrapText="1"/>
    </xf>
    <xf numFmtId="0" fontId="4" fillId="0" borderId="0" xfId="69" applyFont="1"/>
    <xf numFmtId="0" fontId="4" fillId="0" borderId="11" xfId="69" applyFont="1" applyBorder="1"/>
    <xf numFmtId="0" fontId="193" fillId="0" borderId="0" xfId="69" applyFont="1" applyAlignment="1">
      <alignment vertical="top" wrapText="1"/>
    </xf>
    <xf numFmtId="0" fontId="247" fillId="0" borderId="0" xfId="69" applyAlignment="1">
      <alignment wrapText="1"/>
    </xf>
    <xf numFmtId="0" fontId="4" fillId="0" borderId="0" xfId="69" applyFont="1" applyAlignment="1">
      <alignment wrapText="1"/>
    </xf>
    <xf numFmtId="0" fontId="4" fillId="0" borderId="1" xfId="69" applyFont="1" applyBorder="1" applyAlignment="1">
      <alignment horizontal="center"/>
    </xf>
    <xf numFmtId="0" fontId="220" fillId="0" borderId="4" xfId="69" applyFont="1" applyBorder="1"/>
    <xf numFmtId="0" fontId="7" fillId="0" borderId="0" xfId="69" applyFont="1"/>
    <xf numFmtId="0" fontId="180" fillId="0" borderId="0" xfId="69" applyFont="1" applyAlignment="1">
      <alignment horizontal="left"/>
    </xf>
    <xf numFmtId="0" fontId="187" fillId="0" borderId="0" xfId="69" applyFont="1" applyAlignment="1">
      <alignment horizontal="left" wrapText="1"/>
    </xf>
    <xf numFmtId="0" fontId="4" fillId="0" borderId="0" xfId="0" applyFont="1" applyAlignment="1">
      <alignment horizontal="left" wrapText="1"/>
    </xf>
    <xf numFmtId="0" fontId="64" fillId="0" borderId="0" xfId="90" applyFont="1" applyAlignment="1" applyProtection="1">
      <alignment horizontal="center" shrinkToFit="1"/>
      <protection locked="0"/>
    </xf>
    <xf numFmtId="0" fontId="3" fillId="0" borderId="0" xfId="90" applyFont="1" applyAlignment="1">
      <alignment horizontal="center"/>
    </xf>
    <xf numFmtId="0" fontId="68" fillId="0" borderId="1" xfId="90" applyFont="1" applyBorder="1" applyAlignment="1">
      <alignment horizontal="center"/>
    </xf>
    <xf numFmtId="0" fontId="12" fillId="0" borderId="4" xfId="90" applyFont="1" applyBorder="1" applyAlignment="1">
      <alignment horizontal="center"/>
    </xf>
    <xf numFmtId="0" fontId="2" fillId="0" borderId="0" xfId="69" applyFont="1" applyAlignment="1">
      <alignment wrapText="1"/>
    </xf>
    <xf numFmtId="0" fontId="7" fillId="0" borderId="11" xfId="69" applyFont="1" applyBorder="1" applyAlignment="1">
      <alignment wrapText="1"/>
    </xf>
    <xf numFmtId="0" fontId="64" fillId="0" borderId="1" xfId="90" applyFont="1" applyBorder="1" applyAlignment="1" applyProtection="1">
      <alignment horizontal="center" shrinkToFit="1"/>
      <protection locked="0"/>
    </xf>
    <xf numFmtId="0" fontId="64" fillId="0" borderId="4" xfId="90" applyFont="1" applyBorder="1" applyAlignment="1" applyProtection="1">
      <alignment horizontal="center" shrinkToFit="1"/>
      <protection locked="0"/>
    </xf>
    <xf numFmtId="0" fontId="58" fillId="0" borderId="0" xfId="115" applyFont="1" applyAlignment="1">
      <alignment horizontal="center"/>
    </xf>
    <xf numFmtId="164" fontId="7" fillId="0" borderId="1" xfId="115" applyNumberFormat="1" applyFont="1" applyBorder="1" applyAlignment="1" applyProtection="1">
      <alignment horizontal="center" shrinkToFit="1"/>
      <protection locked="0"/>
    </xf>
    <xf numFmtId="164" fontId="7" fillId="0" borderId="1" xfId="115" applyNumberFormat="1" applyFont="1" applyBorder="1" applyAlignment="1">
      <alignment horizontal="center" shrinkToFit="1"/>
    </xf>
    <xf numFmtId="0" fontId="8" fillId="0" borderId="1" xfId="115" applyBorder="1" applyAlignment="1" applyProtection="1">
      <alignment horizontal="left"/>
      <protection locked="0"/>
    </xf>
    <xf numFmtId="0" fontId="0" fillId="0" borderId="1" xfId="0" applyBorder="1" applyAlignment="1" applyProtection="1">
      <alignment horizontal="left"/>
      <protection locked="0"/>
    </xf>
    <xf numFmtId="164" fontId="7" fillId="0" borderId="4" xfId="115" applyNumberFormat="1" applyFont="1" applyBorder="1" applyAlignment="1" applyProtection="1">
      <alignment horizontal="center" shrinkToFit="1"/>
      <protection locked="0"/>
    </xf>
    <xf numFmtId="0" fontId="4" fillId="6" borderId="0" xfId="115" applyFont="1" applyFill="1" applyAlignment="1">
      <alignment horizontal="left"/>
    </xf>
    <xf numFmtId="0" fontId="2" fillId="0" borderId="0" xfId="115" applyFont="1" applyAlignment="1">
      <alignment vertical="center" wrapText="1"/>
    </xf>
    <xf numFmtId="0" fontId="0" fillId="0" borderId="0" xfId="0" applyAlignment="1">
      <alignment vertical="center" wrapText="1"/>
    </xf>
    <xf numFmtId="0" fontId="101" fillId="6" borderId="0" xfId="115" applyFont="1" applyFill="1" applyAlignment="1" applyProtection="1">
      <alignment horizontal="left"/>
      <protection locked="0"/>
    </xf>
    <xf numFmtId="0" fontId="0" fillId="0" borderId="0" xfId="0" applyProtection="1">
      <protection locked="0"/>
    </xf>
    <xf numFmtId="0" fontId="2" fillId="0" borderId="1" xfId="81" applyFont="1" applyBorder="1" applyAlignment="1">
      <alignment horizontal="center"/>
    </xf>
    <xf numFmtId="164" fontId="3" fillId="0" borderId="0" xfId="0" applyNumberFormat="1" applyFont="1" applyAlignment="1">
      <alignment horizontal="center"/>
    </xf>
    <xf numFmtId="0" fontId="76" fillId="0" borderId="0" xfId="81" applyFont="1" applyAlignment="1">
      <alignment horizontal="center"/>
    </xf>
    <xf numFmtId="176" fontId="2" fillId="3" borderId="4" xfId="81" applyNumberFormat="1" applyFont="1" applyFill="1" applyBorder="1" applyProtection="1"/>
    <xf numFmtId="0" fontId="2" fillId="0" borderId="0" xfId="81" applyFont="1" applyAlignment="1">
      <alignment horizontal="center"/>
    </xf>
    <xf numFmtId="176" fontId="2" fillId="0" borderId="4" xfId="81" applyNumberFormat="1" applyFont="1" applyFill="1" applyBorder="1" applyProtection="1">
      <protection locked="0"/>
    </xf>
    <xf numFmtId="0" fontId="2" fillId="0" borderId="4" xfId="81" applyFont="1" applyBorder="1" applyProtection="1">
      <protection locked="0"/>
    </xf>
    <xf numFmtId="16" fontId="2" fillId="0" borderId="0" xfId="81" applyNumberFormat="1" applyFont="1" applyAlignment="1">
      <alignment horizontal="center"/>
    </xf>
    <xf numFmtId="176" fontId="2" fillId="60" borderId="4" xfId="81" applyNumberFormat="1" applyFont="1" applyFill="1" applyBorder="1" applyAlignment="1" applyProtection="1">
      <alignment horizontal="right"/>
      <protection locked="0"/>
    </xf>
    <xf numFmtId="0" fontId="2" fillId="0" borderId="0" xfId="81" applyFont="1" applyAlignment="1">
      <alignment horizontal="left"/>
    </xf>
    <xf numFmtId="189" fontId="2" fillId="0" borderId="0" xfId="81" applyNumberFormat="1" applyFont="1" applyAlignment="1">
      <alignment horizontal="center"/>
    </xf>
    <xf numFmtId="0" fontId="2" fillId="0" borderId="4" xfId="81" applyFont="1" applyBorder="1" applyAlignment="1">
      <alignment horizontal="center"/>
    </xf>
    <xf numFmtId="176" fontId="2" fillId="0" borderId="4" xfId="81" applyNumberFormat="1" applyFont="1" applyBorder="1" applyProtection="1">
      <protection locked="0"/>
    </xf>
    <xf numFmtId="0" fontId="2" fillId="0" borderId="0" xfId="88" applyFont="1" applyAlignment="1" applyProtection="1">
      <alignment horizontal="left"/>
      <protection hidden="1"/>
    </xf>
    <xf numFmtId="39" fontId="2" fillId="0" borderId="3" xfId="81" applyNumberFormat="1" applyFont="1" applyBorder="1" applyProtection="1"/>
    <xf numFmtId="0" fontId="2" fillId="0" borderId="0" xfId="88" applyFont="1" applyFill="1" applyAlignment="1" applyProtection="1">
      <alignment horizontal="left"/>
      <protection hidden="1"/>
    </xf>
    <xf numFmtId="0" fontId="2" fillId="0" borderId="0" xfId="0" applyFont="1" applyFill="1"/>
    <xf numFmtId="0" fontId="2" fillId="0" borderId="0" xfId="81" applyFont="1" applyAlignment="1" applyProtection="1">
      <alignment horizontal="center"/>
    </xf>
    <xf numFmtId="176" fontId="2" fillId="60" borderId="4" xfId="81" applyNumberFormat="1" applyFont="1" applyFill="1" applyBorder="1" applyProtection="1">
      <protection locked="0"/>
    </xf>
    <xf numFmtId="0" fontId="2" fillId="0" borderId="0" xfId="88" applyFont="1" applyProtection="1">
      <protection hidden="1"/>
    </xf>
    <xf numFmtId="0" fontId="2" fillId="0" borderId="0" xfId="81" applyFont="1" applyProtection="1">
      <protection locked="0"/>
    </xf>
    <xf numFmtId="176" fontId="2" fillId="0" borderId="0" xfId="81" applyNumberFormat="1" applyFont="1" applyProtection="1">
      <protection locked="0"/>
    </xf>
    <xf numFmtId="39" fontId="2" fillId="0" borderId="4" xfId="81" applyNumberFormat="1" applyFont="1" applyBorder="1" applyProtection="1"/>
    <xf numFmtId="0" fontId="2" fillId="0" borderId="1" xfId="81" applyFont="1" applyBorder="1" applyAlignment="1" applyProtection="1">
      <alignment horizontal="center"/>
      <protection locked="0"/>
    </xf>
    <xf numFmtId="176" fontId="2" fillId="0" borderId="4" xfId="81" applyNumberFormat="1" applyFont="1" applyBorder="1" applyAlignment="1" applyProtection="1">
      <alignment horizontal="right"/>
      <protection locked="0"/>
    </xf>
    <xf numFmtId="39" fontId="2" fillId="0" borderId="3" xfId="81" applyNumberFormat="1" applyFont="1" applyBorder="1" applyAlignment="1" applyProtection="1">
      <alignment horizontal="right"/>
    </xf>
    <xf numFmtId="0" fontId="2" fillId="0" borderId="38" xfId="81" applyFont="1" applyBorder="1" applyAlignment="1" applyProtection="1">
      <alignment horizontal="center"/>
    </xf>
    <xf numFmtId="0" fontId="2" fillId="0" borderId="0" xfId="81" applyFont="1" applyBorder="1" applyAlignment="1" applyProtection="1">
      <alignment horizontal="center"/>
    </xf>
    <xf numFmtId="176" fontId="2" fillId="0" borderId="4" xfId="81" applyNumberFormat="1" applyFont="1" applyFill="1" applyBorder="1" applyAlignment="1" applyProtection="1">
      <alignment horizontal="right"/>
      <protection locked="0"/>
    </xf>
    <xf numFmtId="0" fontId="2" fillId="0" borderId="1" xfId="81" applyFont="1" applyBorder="1" applyAlignment="1">
      <alignment horizontal="left"/>
    </xf>
    <xf numFmtId="0" fontId="2" fillId="0" borderId="4" xfId="81" applyFont="1" applyBorder="1" applyAlignment="1" applyProtection="1">
      <alignment horizontal="left"/>
      <protection locked="0"/>
    </xf>
    <xf numFmtId="0" fontId="2" fillId="0" borderId="0" xfId="81" applyFont="1" applyBorder="1" applyAlignment="1" applyProtection="1">
      <alignment horizontal="left"/>
      <protection locked="0"/>
    </xf>
    <xf numFmtId="0" fontId="143" fillId="0" borderId="0" xfId="81" applyFont="1" applyAlignment="1">
      <alignment horizontal="center"/>
    </xf>
    <xf numFmtId="0" fontId="61" fillId="0" borderId="0" xfId="81" applyFont="1"/>
    <xf numFmtId="0" fontId="61" fillId="0" borderId="0" xfId="0" applyFont="1"/>
    <xf numFmtId="164" fontId="7" fillId="0" borderId="0" xfId="0" applyNumberFormat="1" applyFont="1" applyAlignment="1">
      <alignment horizontal="center" shrinkToFit="1"/>
    </xf>
    <xf numFmtId="0" fontId="61" fillId="0" borderId="0" xfId="107" applyFont="1" applyAlignment="1" applyProtection="1">
      <alignment horizontal="center"/>
      <protection hidden="1"/>
    </xf>
    <xf numFmtId="0" fontId="2" fillId="0" borderId="1" xfId="107" applyFont="1" applyBorder="1" applyAlignment="1" applyProtection="1">
      <alignment horizontal="center" shrinkToFit="1"/>
      <protection locked="0"/>
    </xf>
    <xf numFmtId="0" fontId="3" fillId="0" borderId="0" xfId="107" applyFont="1" applyAlignment="1">
      <alignment horizontal="center"/>
    </xf>
    <xf numFmtId="0" fontId="7" fillId="0" borderId="1" xfId="107" applyFont="1" applyBorder="1" applyAlignment="1">
      <alignment horizontal="center"/>
    </xf>
    <xf numFmtId="0" fontId="2" fillId="0" borderId="4" xfId="107" applyFont="1" applyBorder="1" applyAlignment="1" applyProtection="1">
      <alignment horizontal="center"/>
      <protection locked="0"/>
    </xf>
    <xf numFmtId="0" fontId="4" fillId="0" borderId="16" xfId="109" applyFont="1" applyBorder="1" applyAlignment="1" applyProtection="1">
      <alignment horizontal="center"/>
    </xf>
    <xf numFmtId="0" fontId="3" fillId="0" borderId="0" xfId="108" applyFont="1" applyAlignment="1">
      <alignment horizontal="center"/>
    </xf>
    <xf numFmtId="0" fontId="4" fillId="0" borderId="2" xfId="109" applyFont="1" applyBorder="1" applyAlignment="1" applyProtection="1">
      <alignment horizontal="center"/>
      <protection locked="0"/>
    </xf>
    <xf numFmtId="0" fontId="3" fillId="0" borderId="0" xfId="115" applyFont="1" applyAlignment="1" applyProtection="1">
      <alignment horizontal="center" vertical="center"/>
      <protection locked="0"/>
    </xf>
    <xf numFmtId="0" fontId="3" fillId="0" borderId="0" xfId="115" applyFont="1" applyAlignment="1" applyProtection="1">
      <alignment horizontal="center" vertical="center"/>
    </xf>
    <xf numFmtId="0" fontId="7" fillId="0" borderId="1" xfId="108" applyFont="1" applyBorder="1" applyAlignment="1">
      <alignment horizontal="center" shrinkToFit="1"/>
    </xf>
    <xf numFmtId="0" fontId="7" fillId="0" borderId="1" xfId="107" applyFont="1" applyBorder="1" applyAlignment="1" applyProtection="1">
      <alignment horizontal="center" shrinkToFit="1"/>
      <protection locked="0"/>
    </xf>
    <xf numFmtId="0" fontId="7" fillId="0" borderId="4" xfId="108" applyFont="1" applyBorder="1" applyAlignment="1" applyProtection="1">
      <alignment horizontal="center" shrinkToFit="1"/>
      <protection locked="0"/>
    </xf>
    <xf numFmtId="0" fontId="4" fillId="0" borderId="16" xfId="108" applyFont="1" applyBorder="1" applyAlignment="1">
      <alignment horizontal="center"/>
    </xf>
    <xf numFmtId="0" fontId="3" fillId="0" borderId="0" xfId="110" applyFont="1" applyAlignment="1">
      <alignment horizontal="center"/>
    </xf>
    <xf numFmtId="0" fontId="11" fillId="0" borderId="0" xfId="110" applyFont="1" applyFill="1"/>
    <xf numFmtId="0" fontId="22" fillId="0" borderId="0" xfId="110" applyFont="1" applyFill="1"/>
    <xf numFmtId="0" fontId="4" fillId="0" borderId="2" xfId="108" applyFont="1" applyBorder="1" applyAlignment="1">
      <alignment horizontal="center"/>
    </xf>
    <xf numFmtId="0" fontId="5" fillId="0" borderId="0" xfId="110" applyFont="1"/>
    <xf numFmtId="0" fontId="5" fillId="0" borderId="0" xfId="110" applyFont="1" applyFill="1" applyAlignment="1">
      <alignment horizontal="left"/>
    </xf>
    <xf numFmtId="0" fontId="2" fillId="0" borderId="1" xfId="139" applyFont="1" applyBorder="1" applyAlignment="1">
      <alignment horizontal="left" shrinkToFit="1"/>
    </xf>
    <xf numFmtId="0" fontId="2" fillId="0" borderId="1" xfId="139" applyFont="1" applyBorder="1" applyAlignment="1" applyProtection="1">
      <alignment horizontal="left" shrinkToFit="1"/>
      <protection locked="0"/>
    </xf>
    <xf numFmtId="0" fontId="4" fillId="0" borderId="2" xfId="139" applyFont="1" applyBorder="1" applyAlignment="1">
      <alignment horizontal="center"/>
    </xf>
    <xf numFmtId="0" fontId="4" fillId="0" borderId="0" xfId="139" applyFont="1" applyAlignment="1">
      <alignment horizontal="center" vertical="center"/>
    </xf>
    <xf numFmtId="0" fontId="61" fillId="0" borderId="0" xfId="139" applyFont="1" applyAlignment="1">
      <alignment horizontal="center" vertical="center"/>
    </xf>
    <xf numFmtId="0" fontId="3" fillId="0" borderId="0" xfId="112" applyFont="1" applyAlignment="1">
      <alignment horizontal="center"/>
    </xf>
    <xf numFmtId="0" fontId="3" fillId="0" borderId="0" xfId="139" applyFont="1" applyAlignment="1">
      <alignment horizontal="center"/>
    </xf>
    <xf numFmtId="0" fontId="2" fillId="0" borderId="1" xfId="138" applyFont="1" applyBorder="1" applyAlignment="1" applyProtection="1">
      <alignment horizontal="left" shrinkToFit="1"/>
      <protection locked="0"/>
    </xf>
    <xf numFmtId="0" fontId="81" fillId="0" borderId="0" xfId="59" applyFont="1" applyAlignment="1" applyProtection="1">
      <alignment horizontal="center"/>
    </xf>
    <xf numFmtId="0" fontId="76" fillId="0" borderId="0" xfId="112" applyFont="1" applyAlignment="1">
      <alignment horizontal="center"/>
    </xf>
    <xf numFmtId="0" fontId="2" fillId="0" borderId="0" xfId="139" applyFont="1" applyAlignment="1">
      <alignment horizontal="left"/>
    </xf>
    <xf numFmtId="0" fontId="2" fillId="0" borderId="4" xfId="139" applyFont="1" applyBorder="1" applyAlignment="1">
      <alignment horizontal="left" shrinkToFit="1"/>
    </xf>
    <xf numFmtId="0" fontId="2" fillId="0" borderId="4" xfId="139" applyFont="1" applyBorder="1" applyAlignment="1" applyProtection="1">
      <alignment horizontal="left" shrinkToFit="1"/>
      <protection locked="0"/>
    </xf>
    <xf numFmtId="0" fontId="3" fillId="0" borderId="0" xfId="136" applyFont="1" applyAlignment="1">
      <alignment horizontal="center"/>
    </xf>
    <xf numFmtId="0" fontId="2" fillId="0" borderId="1" xfId="138" applyFont="1" applyBorder="1" applyAlignment="1" applyProtection="1">
      <alignment horizontal="left" vertical="top" shrinkToFit="1"/>
      <protection locked="0"/>
    </xf>
    <xf numFmtId="0" fontId="4" fillId="0" borderId="59" xfId="136" applyFont="1" applyBorder="1" applyAlignment="1">
      <alignment horizontal="center"/>
    </xf>
    <xf numFmtId="0" fontId="4" fillId="0" borderId="22" xfId="136" applyFont="1" applyBorder="1" applyAlignment="1">
      <alignment horizontal="center"/>
    </xf>
    <xf numFmtId="0" fontId="4" fillId="0" borderId="60" xfId="136" applyFont="1" applyBorder="1" applyAlignment="1">
      <alignment horizontal="center"/>
    </xf>
    <xf numFmtId="0" fontId="2" fillId="0" borderId="4" xfId="137" applyFont="1" applyBorder="1" applyAlignment="1">
      <alignment horizontal="left" shrinkToFit="1"/>
    </xf>
    <xf numFmtId="0" fontId="2" fillId="0" borderId="4" xfId="136" applyFont="1" applyBorder="1" applyAlignment="1" applyProtection="1">
      <alignment horizontal="left"/>
      <protection locked="0"/>
    </xf>
    <xf numFmtId="0" fontId="2" fillId="0" borderId="4" xfId="137" applyFont="1" applyBorder="1" applyAlignment="1" applyProtection="1">
      <alignment horizontal="left" vertical="top" shrinkToFit="1"/>
      <protection locked="0"/>
    </xf>
    <xf numFmtId="0" fontId="59" fillId="0" borderId="0" xfId="139" applyFont="1" applyAlignment="1">
      <alignment horizontal="center" vertical="center"/>
    </xf>
    <xf numFmtId="0" fontId="273" fillId="0" borderId="0" xfId="139" applyFont="1" applyAlignment="1">
      <alignment horizontal="center" vertical="center"/>
    </xf>
    <xf numFmtId="0" fontId="2" fillId="0" borderId="4" xfId="139" applyFont="1" applyBorder="1" applyAlignment="1">
      <alignment shrinkToFit="1"/>
    </xf>
    <xf numFmtId="0" fontId="7" fillId="0" borderId="1" xfId="111" applyFont="1" applyBorder="1" applyAlignment="1">
      <alignment horizontal="center" shrinkToFit="1"/>
    </xf>
    <xf numFmtId="0" fontId="3" fillId="0" borderId="0" xfId="104" applyFont="1" applyAlignment="1">
      <alignment horizontal="center"/>
    </xf>
    <xf numFmtId="0" fontId="7" fillId="0" borderId="4" xfId="111" applyFont="1" applyBorder="1" applyAlignment="1" applyProtection="1">
      <alignment horizontal="center" shrinkToFit="1"/>
      <protection locked="0"/>
    </xf>
    <xf numFmtId="0" fontId="38" fillId="0" borderId="4" xfId="81" applyFont="1" applyBorder="1" applyAlignment="1" applyProtection="1">
      <alignment horizontal="left"/>
      <protection locked="0"/>
    </xf>
    <xf numFmtId="0" fontId="48" fillId="0" borderId="0" xfId="81" applyFont="1" applyAlignment="1">
      <alignment horizontal="center"/>
    </xf>
    <xf numFmtId="176" fontId="38" fillId="0" borderId="4" xfId="81" applyNumberFormat="1" applyFont="1" applyBorder="1" applyProtection="1">
      <protection locked="0"/>
    </xf>
    <xf numFmtId="0" fontId="38" fillId="0" borderId="1" xfId="81" applyFont="1" applyBorder="1" applyAlignment="1" applyProtection="1">
      <alignment horizontal="center"/>
      <protection locked="0"/>
    </xf>
    <xf numFmtId="0" fontId="38" fillId="0" borderId="1" xfId="81" applyFont="1" applyBorder="1" applyAlignment="1">
      <alignment horizontal="center"/>
    </xf>
    <xf numFmtId="0" fontId="38" fillId="0" borderId="0" xfId="81" applyFont="1" applyAlignment="1">
      <alignment horizontal="left"/>
    </xf>
    <xf numFmtId="0" fontId="38" fillId="0" borderId="4" xfId="81" applyFont="1" applyBorder="1" applyProtection="1">
      <protection locked="0"/>
    </xf>
    <xf numFmtId="4" fontId="2" fillId="0" borderId="1" xfId="92" applyNumberFormat="1" applyFont="1" applyBorder="1" applyAlignment="1" applyProtection="1">
      <alignment horizontal="right"/>
      <protection locked="0"/>
    </xf>
    <xf numFmtId="4" fontId="7" fillId="0" borderId="1" xfId="92" applyNumberFormat="1" applyFont="1" applyBorder="1" applyAlignment="1" applyProtection="1">
      <alignment horizontal="right"/>
      <protection locked="0"/>
    </xf>
    <xf numFmtId="0" fontId="7" fillId="0" borderId="1" xfId="92" applyFont="1" applyBorder="1" applyAlignment="1">
      <alignment horizontal="center"/>
    </xf>
    <xf numFmtId="0" fontId="7" fillId="0" borderId="0" xfId="92" applyFont="1" applyAlignment="1">
      <alignment horizontal="center"/>
    </xf>
    <xf numFmtId="0" fontId="3" fillId="0" borderId="0" xfId="92" applyFont="1" applyAlignment="1">
      <alignment horizontal="center"/>
    </xf>
    <xf numFmtId="0" fontId="4" fillId="0" borderId="1" xfId="92" applyFont="1" applyBorder="1" applyAlignment="1">
      <alignment horizontal="center"/>
    </xf>
    <xf numFmtId="176" fontId="2" fillId="0" borderId="2" xfId="92" applyNumberFormat="1" applyFont="1" applyBorder="1" applyProtection="1">
      <protection locked="0"/>
    </xf>
    <xf numFmtId="176" fontId="7" fillId="0" borderId="2" xfId="92" applyNumberFormat="1" applyFont="1" applyBorder="1" applyProtection="1">
      <protection locked="0"/>
    </xf>
    <xf numFmtId="0" fontId="2" fillId="0" borderId="0" xfId="92" applyFont="1" applyAlignment="1">
      <alignment vertical="top" wrapText="1"/>
    </xf>
    <xf numFmtId="0" fontId="7" fillId="0" borderId="0" xfId="92" applyFont="1" applyAlignment="1">
      <alignment vertical="top" wrapText="1"/>
    </xf>
    <xf numFmtId="0" fontId="4" fillId="0" borderId="0" xfId="92" applyFont="1" applyAlignment="1">
      <alignment horizontal="center"/>
    </xf>
    <xf numFmtId="172" fontId="4" fillId="0" borderId="0" xfId="92" applyNumberFormat="1" applyFont="1" applyAlignment="1">
      <alignment horizontal="center"/>
    </xf>
    <xf numFmtId="0" fontId="7" fillId="0" borderId="0" xfId="92" applyFont="1"/>
    <xf numFmtId="0" fontId="7" fillId="0" borderId="10" xfId="92" applyFont="1" applyBorder="1" applyAlignment="1">
      <alignment vertical="top" wrapText="1"/>
    </xf>
    <xf numFmtId="0" fontId="7" fillId="0" borderId="11" xfId="92" applyFont="1" applyBorder="1" applyAlignment="1">
      <alignment vertical="top" wrapText="1"/>
    </xf>
    <xf numFmtId="0" fontId="7" fillId="0" borderId="12" xfId="92" applyFont="1" applyBorder="1" applyAlignment="1">
      <alignment vertical="top" wrapText="1"/>
    </xf>
    <xf numFmtId="0" fontId="7" fillId="0" borderId="1" xfId="92" applyFont="1" applyBorder="1" applyAlignment="1">
      <alignment vertical="top" wrapText="1"/>
    </xf>
    <xf numFmtId="0" fontId="7" fillId="0" borderId="13" xfId="92" applyFont="1" applyBorder="1" applyAlignment="1">
      <alignment vertical="top" wrapText="1"/>
    </xf>
    <xf numFmtId="0" fontId="7" fillId="0" borderId="21" xfId="92" applyFont="1" applyBorder="1" applyAlignment="1">
      <alignment vertical="top" wrapText="1"/>
    </xf>
    <xf numFmtId="0" fontId="7" fillId="0" borderId="8" xfId="92" applyFont="1" applyBorder="1" applyAlignment="1">
      <alignment vertical="top" wrapText="1"/>
    </xf>
    <xf numFmtId="0" fontId="7" fillId="0" borderId="9" xfId="92" applyFont="1" applyBorder="1" applyAlignment="1">
      <alignment vertical="top" wrapText="1"/>
    </xf>
    <xf numFmtId="176" fontId="7" fillId="0" borderId="2" xfId="92" applyNumberFormat="1" applyFont="1" applyBorder="1"/>
    <xf numFmtId="176" fontId="7" fillId="0" borderId="14" xfId="92" applyNumberFormat="1" applyFont="1" applyBorder="1"/>
    <xf numFmtId="0" fontId="7" fillId="0" borderId="27" xfId="92" applyFont="1" applyBorder="1" applyAlignment="1">
      <alignment horizontal="center" vertical="top" shrinkToFit="1"/>
    </xf>
    <xf numFmtId="176" fontId="64" fillId="0" borderId="0" xfId="0" applyNumberFormat="1" applyFont="1"/>
    <xf numFmtId="176" fontId="64" fillId="0" borderId="0" xfId="0" applyNumberFormat="1" applyFont="1" applyProtection="1">
      <protection locked="0"/>
    </xf>
    <xf numFmtId="0" fontId="64" fillId="0" borderId="4" xfId="0" applyFont="1" applyBorder="1" applyProtection="1">
      <protection locked="0"/>
    </xf>
    <xf numFmtId="0" fontId="64" fillId="0" borderId="1" xfId="0" applyFont="1" applyBorder="1"/>
    <xf numFmtId="176" fontId="64" fillId="0" borderId="4" xfId="0" applyNumberFormat="1" applyFont="1" applyBorder="1" applyProtection="1">
      <protection locked="0"/>
    </xf>
    <xf numFmtId="170" fontId="64" fillId="0" borderId="0" xfId="0" applyNumberFormat="1" applyFont="1"/>
    <xf numFmtId="0" fontId="64" fillId="0" borderId="23" xfId="0" applyFont="1" applyBorder="1" applyAlignment="1">
      <alignment horizontal="center"/>
    </xf>
    <xf numFmtId="0" fontId="64" fillId="0" borderId="4" xfId="0" applyFont="1" applyBorder="1" applyAlignment="1">
      <alignment horizontal="center"/>
    </xf>
    <xf numFmtId="0" fontId="64" fillId="0" borderId="33" xfId="0" applyFont="1" applyBorder="1" applyAlignment="1">
      <alignment horizontal="center"/>
    </xf>
    <xf numFmtId="39" fontId="64" fillId="0" borderId="1" xfId="0" applyNumberFormat="1" applyFont="1" applyBorder="1" applyProtection="1">
      <protection locked="0"/>
    </xf>
    <xf numFmtId="0" fontId="59" fillId="0" borderId="0" xfId="115" applyFont="1" applyProtection="1">
      <protection locked="0"/>
    </xf>
    <xf numFmtId="0" fontId="2" fillId="0" borderId="0" xfId="0" applyFont="1" applyProtection="1">
      <protection locked="0"/>
    </xf>
    <xf numFmtId="0" fontId="64" fillId="0" borderId="4" xfId="0" applyFont="1" applyBorder="1"/>
    <xf numFmtId="0" fontId="59" fillId="9" borderId="0" xfId="115" applyFont="1" applyFill="1"/>
    <xf numFmtId="0" fontId="2" fillId="9" borderId="0" xfId="0" applyFont="1" applyFill="1"/>
    <xf numFmtId="0" fontId="68" fillId="0" borderId="1" xfId="90" applyFont="1" applyBorder="1" applyAlignment="1">
      <alignment horizontal="center" shrinkToFit="1"/>
    </xf>
    <xf numFmtId="0" fontId="4" fillId="0" borderId="4" xfId="0" applyFont="1" applyBorder="1" applyProtection="1">
      <protection locked="0"/>
    </xf>
    <xf numFmtId="0" fontId="68" fillId="0" borderId="4" xfId="90" applyFont="1" applyBorder="1" applyAlignment="1">
      <alignment horizontal="center" shrinkToFit="1"/>
    </xf>
    <xf numFmtId="0" fontId="68" fillId="0" borderId="1" xfId="90" applyFont="1" applyBorder="1" applyAlignment="1" applyProtection="1">
      <alignment horizontal="center" shrinkToFit="1"/>
      <protection locked="0"/>
    </xf>
    <xf numFmtId="164" fontId="68" fillId="0" borderId="4" xfId="90" applyNumberFormat="1" applyFont="1" applyBorder="1" applyAlignment="1" applyProtection="1">
      <alignment horizontal="center" shrinkToFit="1"/>
      <protection locked="0"/>
    </xf>
    <xf numFmtId="176" fontId="64" fillId="0" borderId="1" xfId="0" applyNumberFormat="1" applyFont="1" applyBorder="1" applyProtection="1">
      <protection locked="0"/>
    </xf>
    <xf numFmtId="164" fontId="12" fillId="0" borderId="5" xfId="106" applyNumberFormat="1" applyFont="1" applyBorder="1" applyAlignment="1" applyProtection="1">
      <alignment horizontal="center" wrapText="1"/>
      <protection locked="0"/>
    </xf>
    <xf numFmtId="164" fontId="17" fillId="0" borderId="6" xfId="106" applyNumberFormat="1" applyFont="1" applyBorder="1" applyAlignment="1" applyProtection="1">
      <alignment horizontal="center" wrapText="1"/>
      <protection locked="0"/>
    </xf>
    <xf numFmtId="164" fontId="17" fillId="0" borderId="7" xfId="106" applyNumberFormat="1" applyFont="1" applyBorder="1" applyAlignment="1" applyProtection="1">
      <alignment horizontal="center" wrapText="1"/>
      <protection locked="0"/>
    </xf>
    <xf numFmtId="164" fontId="17" fillId="0" borderId="23" xfId="106" applyNumberFormat="1" applyFont="1" applyBorder="1" applyAlignment="1">
      <alignment horizontal="center"/>
    </xf>
    <xf numFmtId="164" fontId="17" fillId="0" borderId="4" xfId="106" applyNumberFormat="1" applyFont="1" applyBorder="1" applyAlignment="1">
      <alignment horizontal="center"/>
    </xf>
    <xf numFmtId="164" fontId="17" fillId="0" borderId="33" xfId="106" applyNumberFormat="1" applyFont="1" applyBorder="1" applyAlignment="1">
      <alignment horizontal="center"/>
    </xf>
    <xf numFmtId="164" fontId="18" fillId="0" borderId="0" xfId="106" applyNumberFormat="1" applyFont="1" applyAlignment="1">
      <alignment horizontal="center"/>
    </xf>
    <xf numFmtId="0" fontId="74" fillId="0" borderId="1" xfId="106" applyFont="1" applyBorder="1" applyAlignment="1">
      <alignment horizontal="left" shrinkToFit="1"/>
    </xf>
    <xf numFmtId="164" fontId="7" fillId="0" borderId="1" xfId="106" applyNumberFormat="1" applyFont="1" applyBorder="1" applyAlignment="1" applyProtection="1">
      <alignment horizontal="center" shrinkToFit="1"/>
      <protection locked="0"/>
    </xf>
    <xf numFmtId="164" fontId="7" fillId="0" borderId="4" xfId="106" applyNumberFormat="1" applyFont="1" applyBorder="1" applyAlignment="1" applyProtection="1">
      <alignment horizontal="center" shrinkToFit="1"/>
      <protection locked="0"/>
    </xf>
    <xf numFmtId="164" fontId="71" fillId="0" borderId="4" xfId="106" applyNumberFormat="1" applyFont="1" applyBorder="1" applyProtection="1">
      <protection locked="0"/>
    </xf>
    <xf numFmtId="0" fontId="71" fillId="0" borderId="4" xfId="0" applyFont="1" applyBorder="1"/>
    <xf numFmtId="164" fontId="32" fillId="0" borderId="4" xfId="106" applyNumberFormat="1" applyFont="1" applyBorder="1" applyProtection="1">
      <protection locked="0"/>
    </xf>
    <xf numFmtId="164" fontId="2" fillId="0" borderId="2" xfId="106" applyNumberFormat="1" applyFont="1" applyBorder="1" applyAlignment="1">
      <alignment horizontal="center"/>
    </xf>
    <xf numFmtId="164" fontId="71" fillId="0" borderId="1" xfId="106" applyNumberFormat="1" applyFont="1" applyBorder="1" applyProtection="1">
      <protection locked="0"/>
    </xf>
    <xf numFmtId="0" fontId="2" fillId="0" borderId="1" xfId="106" applyFont="1" applyBorder="1" applyAlignment="1" applyProtection="1">
      <alignment horizontal="left" shrinkToFit="1"/>
      <protection locked="0"/>
    </xf>
    <xf numFmtId="164" fontId="2" fillId="0" borderId="1" xfId="106" applyNumberFormat="1" applyFont="1" applyBorder="1" applyAlignment="1">
      <alignment horizontal="center"/>
    </xf>
    <xf numFmtId="0" fontId="44" fillId="0" borderId="4" xfId="0" applyFont="1" applyBorder="1"/>
    <xf numFmtId="164" fontId="7" fillId="0" borderId="1" xfId="106" applyNumberFormat="1" applyFont="1" applyBorder="1" applyAlignment="1">
      <alignment horizontal="center" shrinkToFit="1"/>
    </xf>
    <xf numFmtId="0" fontId="2" fillId="0" borderId="4" xfId="0" applyFont="1" applyBorder="1" applyAlignment="1">
      <alignment horizontal="left"/>
    </xf>
    <xf numFmtId="168" fontId="64" fillId="0" borderId="1" xfId="83" applyFont="1" applyBorder="1" applyAlignment="1">
      <alignment horizontal="center" shrinkToFit="1"/>
      <protection locked="0"/>
    </xf>
    <xf numFmtId="168" fontId="3" fillId="0" borderId="0" xfId="83" applyFont="1" applyAlignment="1" applyProtection="1">
      <alignment horizontal="center"/>
    </xf>
    <xf numFmtId="1" fontId="7" fillId="0" borderId="1" xfId="83" applyNumberFormat="1" applyFont="1" applyBorder="1" applyAlignment="1" applyProtection="1">
      <alignment horizontal="center" shrinkToFit="1"/>
    </xf>
    <xf numFmtId="168" fontId="7" fillId="0" borderId="1" xfId="83" applyFont="1" applyBorder="1" applyAlignment="1" applyProtection="1">
      <alignment horizontal="center" shrinkToFit="1"/>
    </xf>
    <xf numFmtId="168" fontId="36" fillId="0" borderId="12" xfId="83" applyFont="1" applyBorder="1" applyAlignment="1" applyProtection="1">
      <alignment horizontal="center"/>
    </xf>
    <xf numFmtId="168" fontId="36" fillId="0" borderId="1" xfId="83" applyFont="1" applyBorder="1" applyAlignment="1" applyProtection="1">
      <alignment horizontal="center"/>
    </xf>
    <xf numFmtId="168" fontId="36" fillId="0" borderId="13" xfId="83" applyFont="1" applyBorder="1" applyAlignment="1" applyProtection="1">
      <alignment horizontal="center"/>
    </xf>
    <xf numFmtId="168" fontId="64" fillId="0" borderId="4" xfId="83" applyFont="1" applyBorder="1" applyAlignment="1">
      <alignment horizontal="center"/>
      <protection locked="0"/>
    </xf>
    <xf numFmtId="0" fontId="2" fillId="0" borderId="1" xfId="113" applyFont="1" applyBorder="1" applyProtection="1">
      <protection locked="0"/>
    </xf>
    <xf numFmtId="0" fontId="7" fillId="0" borderId="1" xfId="113" applyFont="1" applyBorder="1" applyProtection="1">
      <protection locked="0"/>
    </xf>
    <xf numFmtId="0" fontId="12" fillId="0" borderId="4" xfId="105" applyBorder="1" applyAlignment="1" applyProtection="1">
      <alignment horizontal="left" vertical="top" wrapText="1"/>
      <protection locked="0"/>
    </xf>
    <xf numFmtId="0" fontId="12" fillId="0" borderId="4" xfId="113" applyBorder="1" applyAlignment="1" applyProtection="1">
      <alignment wrapText="1"/>
      <protection locked="0"/>
    </xf>
    <xf numFmtId="0" fontId="7" fillId="0" borderId="1" xfId="113" applyFont="1" applyBorder="1" applyAlignment="1">
      <alignment horizontal="center" shrinkToFit="1"/>
    </xf>
    <xf numFmtId="0" fontId="7" fillId="0" borderId="4" xfId="113" applyFont="1" applyBorder="1" applyAlignment="1" applyProtection="1">
      <alignment horizontal="center" shrinkToFit="1"/>
      <protection locked="0"/>
    </xf>
    <xf numFmtId="164" fontId="7" fillId="0" borderId="1" xfId="113" applyNumberFormat="1" applyFont="1" applyBorder="1" applyAlignment="1" applyProtection="1">
      <alignment horizontal="center" shrinkToFit="1"/>
      <protection locked="0"/>
    </xf>
    <xf numFmtId="0" fontId="3" fillId="0" borderId="0" xfId="113" applyFont="1" applyAlignment="1">
      <alignment horizontal="center"/>
    </xf>
    <xf numFmtId="0" fontId="7" fillId="0" borderId="1" xfId="113" applyFont="1" applyBorder="1" applyAlignment="1" applyProtection="1">
      <alignment horizontal="center" shrinkToFit="1"/>
      <protection locked="0"/>
    </xf>
    <xf numFmtId="0" fontId="4" fillId="0" borderId="1" xfId="113" applyFont="1" applyBorder="1" applyAlignment="1">
      <alignment horizontal="center"/>
    </xf>
    <xf numFmtId="0" fontId="2" fillId="0" borderId="4" xfId="113" applyFont="1" applyBorder="1" applyProtection="1">
      <protection locked="0"/>
    </xf>
    <xf numFmtId="0" fontId="7" fillId="0" borderId="4" xfId="113" applyFont="1" applyBorder="1" applyProtection="1">
      <protection locked="0"/>
    </xf>
    <xf numFmtId="0" fontId="4" fillId="0" borderId="1" xfId="113" applyFont="1" applyBorder="1" applyAlignment="1">
      <alignment horizontal="left" wrapText="1"/>
    </xf>
    <xf numFmtId="166" fontId="15" fillId="0" borderId="0" xfId="0" applyNumberFormat="1" applyFont="1"/>
    <xf numFmtId="178" fontId="15" fillId="0" borderId="0" xfId="0" applyNumberFormat="1" applyFont="1"/>
    <xf numFmtId="178" fontId="21" fillId="0" borderId="0" xfId="0" applyNumberFormat="1" applyFont="1"/>
    <xf numFmtId="178" fontId="21" fillId="0" borderId="0" xfId="0" quotePrefix="1" applyNumberFormat="1" applyFont="1"/>
    <xf numFmtId="178" fontId="15" fillId="0" borderId="0" xfId="0" quotePrefix="1" applyNumberFormat="1" applyFont="1"/>
    <xf numFmtId="178" fontId="15" fillId="0" borderId="0" xfId="0" quotePrefix="1" applyNumberFormat="1" applyFont="1" applyAlignment="1">
      <alignment horizontal="center"/>
    </xf>
    <xf numFmtId="178" fontId="21" fillId="0" borderId="0" xfId="0" quotePrefix="1" applyNumberFormat="1" applyFont="1" applyAlignment="1">
      <alignment horizontal="center"/>
    </xf>
    <xf numFmtId="0" fontId="12" fillId="0" borderId="1" xfId="0" applyFont="1" applyBorder="1" applyAlignment="1" applyProtection="1">
      <alignment horizontal="center"/>
      <protection locked="0"/>
    </xf>
    <xf numFmtId="0" fontId="17" fillId="0" borderId="1" xfId="0" applyFont="1" applyBorder="1" applyAlignment="1" applyProtection="1">
      <alignment horizontal="center"/>
      <protection locked="0"/>
    </xf>
    <xf numFmtId="0" fontId="17" fillId="0" borderId="4" xfId="0" applyFont="1" applyBorder="1" applyAlignment="1" applyProtection="1">
      <alignment horizontal="center"/>
      <protection locked="0"/>
    </xf>
    <xf numFmtId="0" fontId="7" fillId="0" borderId="1" xfId="100" applyFont="1" applyBorder="1" applyAlignment="1" applyProtection="1">
      <alignment horizontal="center"/>
      <protection locked="0"/>
    </xf>
    <xf numFmtId="0" fontId="7" fillId="0" borderId="1" xfId="100" applyFont="1" applyBorder="1" applyAlignment="1">
      <alignment horizontal="center"/>
    </xf>
    <xf numFmtId="164" fontId="3" fillId="0" borderId="0" xfId="97" applyNumberFormat="1" applyFont="1" applyAlignment="1">
      <alignment horizontal="center"/>
    </xf>
    <xf numFmtId="164" fontId="3" fillId="0" borderId="0" xfId="100" applyNumberFormat="1" applyFont="1" applyAlignment="1">
      <alignment horizontal="center"/>
    </xf>
    <xf numFmtId="0" fontId="7" fillId="0" borderId="1" xfId="97" applyFont="1" applyBorder="1" applyAlignment="1">
      <alignment horizontal="center" shrinkToFit="1"/>
    </xf>
    <xf numFmtId="0" fontId="7" fillId="0" borderId="4" xfId="97" applyFont="1" applyBorder="1" applyAlignment="1" applyProtection="1">
      <alignment horizontal="center" shrinkToFit="1"/>
      <protection locked="0"/>
    </xf>
    <xf numFmtId="0" fontId="7" fillId="0" borderId="1" xfId="97" applyFont="1" applyBorder="1" applyAlignment="1" applyProtection="1">
      <alignment horizontal="center" shrinkToFit="1"/>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70" fillId="0" borderId="0" xfId="57" applyFont="1" applyAlignment="1" applyProtection="1">
      <alignment horizontal="center"/>
    </xf>
    <xf numFmtId="0" fontId="271" fillId="0" borderId="0" xfId="0" applyFont="1" applyAlignment="1">
      <alignment horizontal="center"/>
    </xf>
    <xf numFmtId="5" fontId="0" fillId="0" borderId="1" xfId="0" applyNumberFormat="1" applyBorder="1" applyAlignment="1" applyProtection="1">
      <alignment horizontal="left"/>
      <protection locked="0"/>
    </xf>
    <xf numFmtId="0" fontId="49" fillId="0" borderId="0" xfId="57" applyAlignment="1" applyProtection="1">
      <alignment horizontal="left"/>
    </xf>
    <xf numFmtId="0" fontId="69" fillId="0" borderId="4" xfId="0" applyFont="1" applyBorder="1" applyAlignment="1" applyProtection="1">
      <alignment horizontal="left"/>
      <protection locked="0"/>
    </xf>
    <xf numFmtId="0" fontId="0" fillId="0" borderId="4" xfId="0" applyBorder="1" applyAlignment="1" applyProtection="1">
      <alignment horizontal="left"/>
      <protection locked="0"/>
    </xf>
    <xf numFmtId="0" fontId="2" fillId="0" borderId="1" xfId="98" applyFont="1" applyBorder="1" applyAlignment="1">
      <alignment horizontal="center" shrinkToFit="1"/>
    </xf>
    <xf numFmtId="0" fontId="2" fillId="0" borderId="4" xfId="98" applyFont="1" applyBorder="1" applyAlignment="1" applyProtection="1">
      <alignment horizontal="center" shrinkToFit="1"/>
      <protection locked="0"/>
    </xf>
    <xf numFmtId="0" fontId="2" fillId="0" borderId="1" xfId="98" applyFont="1" applyBorder="1" applyAlignment="1" applyProtection="1">
      <alignment horizontal="center" shrinkToFit="1"/>
      <protection locked="0"/>
    </xf>
    <xf numFmtId="0" fontId="7" fillId="0" borderId="1" xfId="98" applyFont="1" applyBorder="1" applyAlignment="1">
      <alignment horizontal="center"/>
    </xf>
    <xf numFmtId="0" fontId="3" fillId="0" borderId="0" xfId="98" applyFont="1" applyAlignment="1">
      <alignment horizontal="center"/>
    </xf>
    <xf numFmtId="49" fontId="12" fillId="0" borderId="1" xfId="98" applyNumberFormat="1" applyBorder="1" applyProtection="1">
      <protection locked="0"/>
    </xf>
    <xf numFmtId="49" fontId="12" fillId="0" borderId="4" xfId="98" applyNumberFormat="1" applyBorder="1" applyProtection="1">
      <protection locked="0"/>
    </xf>
    <xf numFmtId="49" fontId="12" fillId="0" borderId="4" xfId="98" applyNumberFormat="1" applyBorder="1" applyAlignment="1" applyProtection="1">
      <alignment horizontal="center"/>
      <protection locked="0"/>
    </xf>
    <xf numFmtId="0" fontId="45" fillId="0" borderId="1" xfId="98" applyFont="1" applyBorder="1" applyAlignment="1">
      <alignment horizontal="center"/>
    </xf>
    <xf numFmtId="0" fontId="45" fillId="0" borderId="0" xfId="98" applyFont="1" applyAlignment="1">
      <alignment horizontal="center"/>
    </xf>
    <xf numFmtId="0" fontId="15" fillId="0" borderId="1" xfId="101" applyFont="1" applyBorder="1" applyAlignment="1" applyProtection="1">
      <alignment horizontal="left"/>
      <protection locked="0"/>
    </xf>
    <xf numFmtId="0" fontId="21" fillId="0" borderId="1" xfId="101" applyFont="1" applyBorder="1" applyAlignment="1" applyProtection="1">
      <alignment horizontal="left"/>
      <protection locked="0"/>
    </xf>
    <xf numFmtId="0" fontId="3" fillId="0" borderId="0" xfId="101" applyFont="1" applyAlignment="1">
      <alignment horizontal="center"/>
    </xf>
    <xf numFmtId="0" fontId="37" fillId="0" borderId="1" xfId="101" applyFont="1" applyBorder="1" applyAlignment="1">
      <alignment horizontal="center" shrinkToFit="1"/>
    </xf>
    <xf numFmtId="0" fontId="28" fillId="0" borderId="1" xfId="101" applyFont="1" applyBorder="1" applyAlignment="1">
      <alignment horizontal="center"/>
    </xf>
    <xf numFmtId="0" fontId="72" fillId="0" borderId="22" xfId="101" applyFont="1" applyBorder="1" applyAlignment="1">
      <alignment horizontal="center"/>
    </xf>
    <xf numFmtId="0" fontId="82" fillId="0" borderId="2" xfId="101" applyFont="1" applyBorder="1" applyAlignment="1">
      <alignment horizontal="center"/>
    </xf>
    <xf numFmtId="0" fontId="37" fillId="0" borderId="1" xfId="101" applyFont="1" applyBorder="1" applyAlignment="1" applyProtection="1">
      <alignment horizontal="center" shrinkToFit="1"/>
      <protection locked="0"/>
    </xf>
    <xf numFmtId="164" fontId="37" fillId="0" borderId="1" xfId="101" applyNumberFormat="1" applyFont="1" applyBorder="1" applyAlignment="1" applyProtection="1">
      <alignment horizontal="center" shrinkToFit="1"/>
      <protection locked="0"/>
    </xf>
    <xf numFmtId="49" fontId="12" fillId="0" borderId="1" xfId="98" quotePrefix="1" applyNumberFormat="1" applyBorder="1" applyProtection="1">
      <protection locked="0"/>
    </xf>
    <xf numFmtId="0" fontId="2" fillId="0" borderId="1" xfId="0" applyFont="1" applyBorder="1" applyAlignment="1">
      <alignment horizontal="center"/>
    </xf>
    <xf numFmtId="0" fontId="15" fillId="0" borderId="0" xfId="0" quotePrefix="1" applyFont="1" applyAlignment="1">
      <alignment horizontal="right"/>
    </xf>
    <xf numFmtId="0" fontId="15" fillId="0" borderId="0" xfId="0" applyFont="1" applyAlignment="1">
      <alignment horizontal="right"/>
    </xf>
    <xf numFmtId="0" fontId="15" fillId="0" borderId="1" xfId="0" applyFont="1" applyBorder="1" applyAlignment="1">
      <alignment horizontal="center"/>
    </xf>
    <xf numFmtId="0" fontId="15" fillId="0" borderId="1" xfId="0" applyFont="1" applyBorder="1" applyAlignment="1" applyProtection="1">
      <alignment horizontal="left"/>
      <protection locked="0"/>
    </xf>
    <xf numFmtId="49" fontId="12" fillId="0" borderId="1" xfId="0" applyNumberFormat="1" applyFont="1" applyBorder="1" applyAlignment="1">
      <alignment horizontal="center"/>
    </xf>
    <xf numFmtId="0" fontId="12" fillId="0" borderId="1" xfId="0" applyFont="1" applyBorder="1" applyAlignment="1">
      <alignment horizontal="center"/>
    </xf>
    <xf numFmtId="0" fontId="12" fillId="0" borderId="4" xfId="0" applyFont="1" applyBorder="1" applyAlignment="1">
      <alignment horizontal="center"/>
    </xf>
    <xf numFmtId="0" fontId="12" fillId="0" borderId="4" xfId="0" applyFont="1" applyBorder="1" applyAlignment="1" applyProtection="1">
      <alignment horizontal="center"/>
      <protection locked="0"/>
    </xf>
    <xf numFmtId="164" fontId="12" fillId="0" borderId="4" xfId="0" applyNumberFormat="1" applyFont="1" applyBorder="1" applyAlignment="1" applyProtection="1">
      <alignment horizontal="center"/>
      <protection locked="0"/>
    </xf>
    <xf numFmtId="49" fontId="15" fillId="0" borderId="4" xfId="0" applyNumberFormat="1" applyFont="1" applyBorder="1" applyAlignment="1" applyProtection="1">
      <alignment horizontal="center"/>
      <protection locked="0"/>
    </xf>
    <xf numFmtId="0" fontId="14" fillId="0" borderId="0" xfId="0" applyFont="1" applyAlignment="1">
      <alignment horizontal="center"/>
    </xf>
    <xf numFmtId="0" fontId="14" fillId="0" borderId="1" xfId="0" applyFont="1" applyBorder="1" applyAlignment="1">
      <alignment horizontal="center"/>
    </xf>
    <xf numFmtId="0" fontId="15" fillId="0" borderId="0" xfId="0" applyFont="1" applyAlignment="1">
      <alignment horizontal="center"/>
    </xf>
    <xf numFmtId="0" fontId="11" fillId="0" borderId="1" xfId="0" applyFont="1" applyBorder="1" applyAlignment="1">
      <alignment horizontal="center"/>
    </xf>
    <xf numFmtId="49" fontId="15" fillId="0" borderId="4" xfId="0" applyNumberFormat="1" applyFont="1" applyBorder="1" applyProtection="1">
      <protection locked="0"/>
    </xf>
    <xf numFmtId="49" fontId="15" fillId="0" borderId="1" xfId="0" applyNumberFormat="1" applyFont="1" applyBorder="1" applyProtection="1">
      <protection locked="0"/>
    </xf>
    <xf numFmtId="0" fontId="21" fillId="0" borderId="1" xfId="0" applyFont="1" applyBorder="1" applyAlignment="1">
      <alignment horizontal="center"/>
    </xf>
    <xf numFmtId="0" fontId="15" fillId="0" borderId="8" xfId="0" applyFont="1" applyBorder="1" applyAlignment="1">
      <alignment horizontal="center"/>
    </xf>
    <xf numFmtId="49" fontId="15" fillId="0" borderId="1" xfId="0" applyNumberFormat="1" applyFont="1" applyBorder="1" applyAlignment="1" applyProtection="1">
      <alignment horizontal="center"/>
      <protection locked="0"/>
    </xf>
    <xf numFmtId="0" fontId="11" fillId="0" borderId="0" xfId="0" applyFont="1" applyAlignment="1">
      <alignment wrapText="1"/>
    </xf>
    <xf numFmtId="0" fontId="22" fillId="0" borderId="0" xfId="0" applyFont="1" applyAlignment="1">
      <alignment wrapText="1"/>
    </xf>
    <xf numFmtId="0" fontId="11" fillId="0" borderId="0" xfId="101" applyFont="1" applyAlignment="1">
      <alignment horizontal="left" wrapText="1"/>
    </xf>
    <xf numFmtId="49" fontId="15" fillId="0" borderId="1" xfId="0" applyNumberFormat="1" applyFont="1" applyBorder="1" applyAlignment="1" applyProtection="1">
      <alignment horizontal="left"/>
      <protection locked="0"/>
    </xf>
    <xf numFmtId="49" fontId="15" fillId="0" borderId="8" xfId="0" applyNumberFormat="1" applyFont="1" applyBorder="1" applyAlignment="1">
      <alignment horizontal="center" vertical="top"/>
    </xf>
    <xf numFmtId="0" fontId="22" fillId="0" borderId="1" xfId="0" applyFont="1" applyBorder="1" applyAlignment="1">
      <alignment horizontal="center"/>
    </xf>
    <xf numFmtId="0" fontId="28" fillId="0" borderId="1" xfId="101" applyFont="1" applyBorder="1" applyAlignment="1">
      <alignment horizontal="center" shrinkToFit="1"/>
    </xf>
    <xf numFmtId="0" fontId="28" fillId="0" borderId="1" xfId="101" applyFont="1" applyBorder="1" applyAlignment="1" applyProtection="1">
      <alignment horizontal="center" shrinkToFit="1"/>
      <protection locked="0"/>
    </xf>
    <xf numFmtId="164" fontId="28" fillId="0" borderId="1" xfId="101" applyNumberFormat="1" applyFont="1" applyBorder="1" applyAlignment="1" applyProtection="1">
      <alignment horizontal="center" shrinkToFit="1"/>
      <protection locked="0"/>
    </xf>
    <xf numFmtId="0" fontId="4" fillId="6" borderId="10" xfId="0" applyFont="1" applyFill="1" applyBorder="1" applyAlignment="1">
      <alignment horizontal="left"/>
    </xf>
    <xf numFmtId="0" fontId="4" fillId="6" borderId="0" xfId="0" applyFont="1" applyFill="1" applyAlignment="1">
      <alignment horizontal="left"/>
    </xf>
    <xf numFmtId="0" fontId="15" fillId="0" borderId="4" xfId="101" applyFont="1" applyBorder="1" applyAlignment="1" applyProtection="1">
      <alignment horizontal="left"/>
      <protection locked="0"/>
    </xf>
    <xf numFmtId="0" fontId="18" fillId="0" borderId="0" xfId="101" applyFont="1" applyAlignment="1">
      <alignment horizontal="center"/>
    </xf>
    <xf numFmtId="0" fontId="4" fillId="0" borderId="0" xfId="101" applyFont="1" applyAlignment="1">
      <alignment horizontal="center"/>
    </xf>
    <xf numFmtId="49" fontId="154" fillId="0" borderId="4" xfId="101" applyNumberFormat="1" applyFont="1" applyBorder="1" applyProtection="1">
      <protection locked="0"/>
    </xf>
    <xf numFmtId="49" fontId="44" fillId="0" borderId="4" xfId="0" applyNumberFormat="1" applyFont="1" applyBorder="1" applyProtection="1">
      <protection locked="0"/>
    </xf>
    <xf numFmtId="0" fontId="31" fillId="0" borderId="1" xfId="101" applyFont="1" applyBorder="1" applyAlignment="1">
      <alignment horizontal="center"/>
    </xf>
    <xf numFmtId="49" fontId="28" fillId="0" borderId="4" xfId="101" applyNumberFormat="1" applyFont="1" applyBorder="1" applyProtection="1">
      <protection locked="0"/>
    </xf>
    <xf numFmtId="49" fontId="0" fillId="0" borderId="4" xfId="0" applyNumberFormat="1" applyBorder="1" applyProtection="1">
      <protection locked="0"/>
    </xf>
    <xf numFmtId="49" fontId="28" fillId="0" borderId="0" xfId="101" applyNumberFormat="1" applyFont="1"/>
    <xf numFmtId="49" fontId="0" fillId="0" borderId="0" xfId="0" applyNumberFormat="1"/>
    <xf numFmtId="49" fontId="0" fillId="0" borderId="4" xfId="0" applyNumberFormat="1" applyBorder="1"/>
    <xf numFmtId="0" fontId="82" fillId="0" borderId="1" xfId="101" applyFont="1" applyBorder="1" applyAlignment="1">
      <alignment horizontal="center"/>
    </xf>
    <xf numFmtId="166" fontId="15" fillId="0" borderId="0" xfId="0" applyNumberFormat="1" applyFont="1" applyAlignment="1">
      <alignment horizontal="left"/>
    </xf>
    <xf numFmtId="166" fontId="15" fillId="0" borderId="0" xfId="0" applyNumberFormat="1" applyFont="1" applyProtection="1">
      <protection locked="0"/>
    </xf>
    <xf numFmtId="166" fontId="15" fillId="0" borderId="0" xfId="0" applyNumberFormat="1" applyFont="1" applyFill="1" applyAlignment="1">
      <alignment horizontal="left"/>
    </xf>
    <xf numFmtId="0" fontId="2" fillId="7" borderId="49" xfId="0" applyFont="1" applyFill="1" applyBorder="1" applyAlignment="1" applyProtection="1">
      <alignment horizontal="left"/>
      <protection locked="0"/>
    </xf>
    <xf numFmtId="0" fontId="2" fillId="7" borderId="1" xfId="0" applyFont="1" applyFill="1" applyBorder="1" applyAlignment="1" applyProtection="1">
      <alignment horizontal="left"/>
      <protection locked="0"/>
    </xf>
    <xf numFmtId="166" fontId="15" fillId="0" borderId="0" xfId="0" applyNumberFormat="1" applyFont="1" applyAlignment="1">
      <alignment horizontal="center"/>
    </xf>
    <xf numFmtId="166" fontId="15" fillId="0" borderId="0" xfId="0" applyNumberFormat="1" applyFont="1" applyAlignment="1">
      <alignment horizontal="left" indent="1"/>
    </xf>
    <xf numFmtId="14" fontId="0" fillId="7" borderId="1" xfId="0" applyNumberFormat="1" applyFill="1" applyBorder="1" applyAlignment="1" applyProtection="1">
      <alignment horizontal="left"/>
      <protection locked="0"/>
    </xf>
    <xf numFmtId="14" fontId="0" fillId="7" borderId="48" xfId="0" applyNumberFormat="1" applyFill="1" applyBorder="1" applyAlignment="1" applyProtection="1">
      <alignment horizontal="left"/>
      <protection locked="0"/>
    </xf>
    <xf numFmtId="0" fontId="11" fillId="0" borderId="0" xfId="0" applyFont="1" applyAlignment="1">
      <alignment horizontal="center"/>
    </xf>
    <xf numFmtId="166" fontId="15" fillId="0" borderId="0" xfId="0" applyNumberFormat="1" applyFont="1" applyFill="1" applyAlignment="1">
      <alignment horizontal="center"/>
    </xf>
    <xf numFmtId="0" fontId="113" fillId="0" borderId="1" xfId="114" applyFont="1" applyBorder="1" applyAlignment="1">
      <alignment horizontal="left" shrinkToFit="1"/>
    </xf>
    <xf numFmtId="166" fontId="15" fillId="0" borderId="0" xfId="0" applyNumberFormat="1" applyFont="1" applyFill="1"/>
    <xf numFmtId="166" fontId="15" fillId="54" borderId="0" xfId="0" applyNumberFormat="1" applyFont="1" applyFill="1"/>
    <xf numFmtId="166" fontId="15" fillId="0" borderId="0" xfId="0" applyNumberFormat="1" applyFont="1" applyFill="1" applyAlignment="1">
      <alignment horizontal="left" indent="1"/>
    </xf>
    <xf numFmtId="0" fontId="3" fillId="8" borderId="0" xfId="0" applyFont="1" applyFill="1" applyAlignment="1">
      <alignment horizontal="center" vertical="top" wrapText="1"/>
    </xf>
    <xf numFmtId="0" fontId="11" fillId="8" borderId="0" xfId="0" applyFont="1" applyFill="1" applyAlignment="1">
      <alignment horizontal="center"/>
    </xf>
    <xf numFmtId="0" fontId="2" fillId="0" borderId="1" xfId="114" applyFont="1" applyBorder="1" applyAlignment="1" applyProtection="1">
      <alignment horizontal="center" shrinkToFit="1"/>
      <protection locked="0"/>
    </xf>
    <xf numFmtId="164" fontId="2" fillId="0" borderId="4" xfId="114" applyNumberFormat="1" applyFont="1" applyBorder="1" applyAlignment="1" applyProtection="1">
      <alignment horizontal="center"/>
      <protection locked="0"/>
    </xf>
    <xf numFmtId="0" fontId="15" fillId="8" borderId="23" xfId="95" applyFont="1" applyFill="1" applyBorder="1" applyAlignment="1">
      <alignment horizontal="left" vertical="top" wrapText="1"/>
    </xf>
    <xf numFmtId="0" fontId="15" fillId="8" borderId="4" xfId="95" applyFont="1" applyFill="1" applyBorder="1" applyAlignment="1">
      <alignment horizontal="left" vertical="top"/>
    </xf>
    <xf numFmtId="0" fontId="15" fillId="8" borderId="33" xfId="95" applyFont="1" applyFill="1" applyBorder="1" applyAlignment="1">
      <alignment horizontal="left" vertical="top"/>
    </xf>
    <xf numFmtId="166" fontId="15" fillId="54" borderId="0" xfId="0" applyNumberFormat="1" applyFont="1" applyFill="1" applyAlignment="1">
      <alignment horizontal="left" indent="1"/>
    </xf>
    <xf numFmtId="0" fontId="3" fillId="18" borderId="0" xfId="0" applyFont="1" applyFill="1" applyAlignment="1">
      <alignment horizontal="center" wrapText="1"/>
    </xf>
    <xf numFmtId="0" fontId="15" fillId="8" borderId="4" xfId="95" applyFont="1" applyFill="1" applyBorder="1" applyAlignment="1">
      <alignment horizontal="left" vertical="top" wrapText="1"/>
    </xf>
    <xf numFmtId="0" fontId="15" fillId="8" borderId="33" xfId="95" applyFont="1" applyFill="1" applyBorder="1" applyAlignment="1">
      <alignment horizontal="left" vertical="top" wrapText="1"/>
    </xf>
    <xf numFmtId="0" fontId="2" fillId="0" borderId="1" xfId="114" applyFont="1" applyBorder="1" applyAlignment="1" applyProtection="1">
      <alignment horizontal="center"/>
      <protection locked="0"/>
    </xf>
    <xf numFmtId="187" fontId="21" fillId="0" borderId="0" xfId="27" applyFont="1" applyProtection="1"/>
    <xf numFmtId="187" fontId="15" fillId="0" borderId="0" xfId="27" applyFont="1" applyProtection="1"/>
    <xf numFmtId="0" fontId="15" fillId="8" borderId="23" xfId="95" applyFont="1" applyFill="1" applyBorder="1" applyAlignment="1">
      <alignment horizontal="left"/>
    </xf>
    <xf numFmtId="0" fontId="15" fillId="8" borderId="4" xfId="95" applyFont="1" applyFill="1" applyBorder="1" applyAlignment="1">
      <alignment horizontal="left"/>
    </xf>
    <xf numFmtId="0" fontId="15" fillId="8" borderId="33" xfId="95" applyFont="1" applyFill="1" applyBorder="1" applyAlignment="1">
      <alignment horizontal="left"/>
    </xf>
    <xf numFmtId="0" fontId="2" fillId="0" borderId="1" xfId="114" applyFont="1" applyBorder="1" applyAlignment="1">
      <alignment horizontal="center" shrinkToFit="1"/>
    </xf>
    <xf numFmtId="0" fontId="3" fillId="0" borderId="0" xfId="0" applyFont="1" applyAlignment="1">
      <alignment horizontal="center" wrapText="1"/>
    </xf>
    <xf numFmtId="183" fontId="21" fillId="0" borderId="0" xfId="0" applyNumberFormat="1" applyFont="1" applyAlignment="1" applyProtection="1">
      <alignment horizontal="left"/>
    </xf>
    <xf numFmtId="187" fontId="15" fillId="0" borderId="0" xfId="27" applyFont="1" applyAlignment="1" applyProtection="1">
      <alignment horizontal="center"/>
    </xf>
    <xf numFmtId="187" fontId="21" fillId="0" borderId="0" xfId="27" applyFont="1" applyAlignment="1" applyProtection="1">
      <alignment horizontal="center"/>
    </xf>
    <xf numFmtId="187" fontId="21" fillId="0" borderId="0" xfId="27" applyFont="1" applyAlignment="1" applyProtection="1">
      <alignment horizontal="left"/>
    </xf>
    <xf numFmtId="0" fontId="101" fillId="0" borderId="0" xfId="0" applyFont="1" applyAlignment="1" applyProtection="1">
      <alignment horizontal="left"/>
    </xf>
    <xf numFmtId="187" fontId="15" fillId="0" borderId="0" xfId="27" applyFont="1" applyAlignment="1" applyProtection="1">
      <alignment horizontal="left"/>
    </xf>
    <xf numFmtId="166" fontId="21" fillId="0" borderId="0" xfId="0" applyNumberFormat="1" applyFont="1" applyAlignment="1" applyProtection="1">
      <alignment horizontal="left"/>
    </xf>
    <xf numFmtId="0" fontId="21" fillId="0" borderId="0" xfId="0" applyFont="1" applyAlignment="1" applyProtection="1">
      <alignment horizontal="left"/>
    </xf>
    <xf numFmtId="173" fontId="15" fillId="0" borderId="0" xfId="27" applyNumberFormat="1" applyFont="1" applyAlignment="1" applyProtection="1">
      <alignment horizontal="left"/>
    </xf>
    <xf numFmtId="173" fontId="21" fillId="0" borderId="0" xfId="27" applyNumberFormat="1" applyFont="1" applyAlignment="1" applyProtection="1">
      <alignment horizontal="left"/>
    </xf>
    <xf numFmtId="166" fontId="15" fillId="0" borderId="0" xfId="0" applyNumberFormat="1" applyFont="1" applyAlignment="1" applyProtection="1">
      <alignment horizontal="left"/>
    </xf>
    <xf numFmtId="166" fontId="21" fillId="0" borderId="0" xfId="0" applyNumberFormat="1" applyFont="1" applyAlignment="1" applyProtection="1">
      <alignment horizontal="center"/>
    </xf>
    <xf numFmtId="166" fontId="21" fillId="0" borderId="0" xfId="0" applyNumberFormat="1" applyFont="1" applyAlignment="1">
      <alignment horizontal="left"/>
    </xf>
    <xf numFmtId="187" fontId="15" fillId="0" borderId="0" xfId="27" applyFont="1" applyAlignment="1">
      <alignment horizontal="left"/>
    </xf>
    <xf numFmtId="187" fontId="21" fillId="0" borderId="0" xfId="27" applyFont="1" applyAlignment="1">
      <alignment horizontal="left"/>
    </xf>
    <xf numFmtId="187" fontId="15" fillId="0" borderId="0" xfId="27" applyFont="1" applyAlignment="1">
      <alignment horizontal="center"/>
    </xf>
    <xf numFmtId="187" fontId="21" fillId="0" borderId="0" xfId="27" applyFont="1" applyAlignment="1">
      <alignment horizontal="center"/>
    </xf>
    <xf numFmtId="0" fontId="101" fillId="0" borderId="0" xfId="0" applyFont="1" applyAlignment="1">
      <alignment horizontal="left"/>
    </xf>
    <xf numFmtId="0" fontId="21" fillId="0" borderId="0" xfId="0" applyFont="1" applyAlignment="1">
      <alignment horizontal="left"/>
    </xf>
    <xf numFmtId="166" fontId="21" fillId="0" borderId="0" xfId="0" applyNumberFormat="1" applyFont="1" applyAlignment="1">
      <alignment horizontal="center"/>
    </xf>
    <xf numFmtId="187" fontId="21" fillId="0" borderId="0" xfId="27" applyFont="1"/>
    <xf numFmtId="173" fontId="15" fillId="0" borderId="0" xfId="27" applyNumberFormat="1" applyFont="1" applyAlignment="1">
      <alignment horizontal="left"/>
    </xf>
    <xf numFmtId="173" fontId="21" fillId="0" borderId="0" xfId="27" applyNumberFormat="1" applyFont="1" applyAlignment="1">
      <alignment horizontal="left"/>
    </xf>
    <xf numFmtId="183" fontId="21" fillId="0" borderId="0" xfId="0" applyNumberFormat="1" applyFont="1" applyAlignment="1">
      <alignment horizontal="left"/>
    </xf>
    <xf numFmtId="187" fontId="15" fillId="0" borderId="0" xfId="27" applyFont="1"/>
    <xf numFmtId="0" fontId="0" fillId="0" borderId="1" xfId="0" applyBorder="1" applyAlignment="1" applyProtection="1">
      <alignment shrinkToFit="1"/>
      <protection locked="0"/>
    </xf>
    <xf numFmtId="183" fontId="15" fillId="54" borderId="0" xfId="0" applyNumberFormat="1" applyFont="1" applyFill="1"/>
    <xf numFmtId="183" fontId="15" fillId="0" borderId="0" xfId="0" applyNumberFormat="1" applyFont="1"/>
    <xf numFmtId="166" fontId="15" fillId="58" borderId="0" xfId="0" applyNumberFormat="1" applyFont="1" applyFill="1"/>
    <xf numFmtId="166" fontId="21" fillId="0" borderId="0" xfId="0" applyNumberFormat="1" applyFont="1"/>
    <xf numFmtId="0" fontId="2" fillId="0" borderId="1" xfId="114" applyFont="1" applyBorder="1" applyAlignment="1">
      <alignment horizontal="center"/>
    </xf>
    <xf numFmtId="0" fontId="2" fillId="0" borderId="4" xfId="114" applyFont="1" applyBorder="1" applyAlignment="1" applyProtection="1">
      <alignment horizontal="center"/>
      <protection locked="0"/>
    </xf>
    <xf numFmtId="0" fontId="3" fillId="0" borderId="0" xfId="57" applyFont="1" applyAlignment="1" applyProtection="1">
      <alignment horizontal="center"/>
    </xf>
    <xf numFmtId="0" fontId="76" fillId="0" borderId="0" xfId="0" applyFont="1" applyAlignment="1">
      <alignment horizontal="center" wrapText="1"/>
    </xf>
    <xf numFmtId="183" fontId="15" fillId="0" borderId="0" xfId="0" applyNumberFormat="1" applyFont="1" applyAlignment="1">
      <alignment horizontal="left"/>
    </xf>
    <xf numFmtId="0" fontId="6" fillId="0" borderId="4" xfId="89" applyFont="1" applyBorder="1" applyProtection="1">
      <protection locked="0"/>
    </xf>
    <xf numFmtId="164" fontId="7" fillId="0" borderId="1" xfId="80" applyNumberFormat="1" applyFont="1" applyBorder="1" applyAlignment="1">
      <alignment horizontal="center" shrinkToFit="1"/>
    </xf>
    <xf numFmtId="164" fontId="7" fillId="0" borderId="4" xfId="80" applyNumberFormat="1" applyFont="1" applyBorder="1" applyAlignment="1">
      <alignment horizontal="center" shrinkToFit="1"/>
    </xf>
    <xf numFmtId="164" fontId="7" fillId="0" borderId="4" xfId="80" applyNumberFormat="1" applyFont="1" applyBorder="1" applyAlignment="1" applyProtection="1">
      <alignment horizontal="center" shrinkToFit="1"/>
      <protection locked="0"/>
    </xf>
    <xf numFmtId="0" fontId="3" fillId="0" borderId="1" xfId="89" applyFont="1" applyBorder="1" applyAlignment="1">
      <alignment horizontal="center"/>
    </xf>
    <xf numFmtId="49" fontId="5" fillId="0" borderId="0" xfId="117" applyNumberFormat="1" applyFont="1"/>
    <xf numFmtId="49" fontId="2" fillId="0" borderId="0" xfId="117" applyNumberFormat="1"/>
    <xf numFmtId="0" fontId="2" fillId="0" borderId="4" xfId="89" applyFont="1" applyBorder="1" applyAlignment="1" applyProtection="1">
      <alignment horizontal="left"/>
      <protection locked="0"/>
    </xf>
    <xf numFmtId="0" fontId="2" fillId="0" borderId="1" xfId="89" applyFont="1" applyBorder="1" applyAlignment="1" applyProtection="1">
      <alignment horizontal="left"/>
      <protection locked="0"/>
    </xf>
    <xf numFmtId="49" fontId="7" fillId="0" borderId="0" xfId="89" applyNumberFormat="1" applyFont="1" applyAlignment="1">
      <alignment horizontal="left"/>
    </xf>
    <xf numFmtId="0" fontId="272" fillId="57" borderId="0" xfId="0" applyFont="1" applyFill="1" applyAlignment="1">
      <alignment horizontal="center"/>
    </xf>
    <xf numFmtId="0" fontId="81" fillId="0" borderId="0" xfId="57" applyFont="1" applyAlignment="1" applyProtection="1">
      <alignment horizontal="left"/>
    </xf>
    <xf numFmtId="0" fontId="60" fillId="0" borderId="0" xfId="0" applyFont="1"/>
    <xf numFmtId="0" fontId="69" fillId="0" borderId="0" xfId="74" applyFont="1" applyAlignment="1">
      <alignment horizontal="left" wrapText="1"/>
    </xf>
    <xf numFmtId="0" fontId="2" fillId="0" borderId="45"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2" xfId="0" applyBorder="1" applyAlignment="1">
      <alignment horizontal="left" vertical="top" wrapText="1"/>
    </xf>
    <xf numFmtId="0" fontId="0" fillId="0" borderId="32" xfId="0" applyBorder="1" applyAlignment="1">
      <alignment horizontal="left" vertical="top" wrapText="1"/>
    </xf>
    <xf numFmtId="0" fontId="112" fillId="0" borderId="0" xfId="0" applyFont="1" applyAlignment="1">
      <alignment horizontal="left"/>
    </xf>
    <xf numFmtId="166" fontId="15" fillId="0" borderId="0" xfId="0" applyNumberFormat="1" applyFont="1" applyAlignment="1" applyProtection="1">
      <alignment horizontal="center"/>
      <protection locked="0"/>
    </xf>
    <xf numFmtId="166" fontId="15" fillId="54" borderId="0" xfId="0" applyNumberFormat="1" applyFont="1" applyFill="1" applyAlignment="1">
      <alignment horizontal="left"/>
    </xf>
    <xf numFmtId="164" fontId="2" fillId="0" borderId="1" xfId="114" applyNumberFormat="1" applyFont="1" applyBorder="1" applyAlignment="1">
      <alignment horizontal="center"/>
    </xf>
    <xf numFmtId="0" fontId="63" fillId="0" borderId="0" xfId="115" applyFont="1" applyAlignment="1" applyProtection="1">
      <alignment horizontal="center" vertical="center"/>
      <protection locked="0"/>
    </xf>
    <xf numFmtId="0" fontId="4" fillId="0" borderId="0" xfId="0" applyFont="1" applyAlignment="1">
      <alignment horizontal="center" wrapText="1"/>
    </xf>
    <xf numFmtId="187" fontId="21" fillId="0" borderId="0" xfId="27" applyFont="1" applyAlignment="1" applyProtection="1">
      <alignment horizontal="left"/>
      <protection locked="0"/>
    </xf>
    <xf numFmtId="187" fontId="21" fillId="0" borderId="0" xfId="27" applyFont="1" applyProtection="1">
      <protection locked="0"/>
    </xf>
    <xf numFmtId="183" fontId="21" fillId="0" borderId="0" xfId="0" applyNumberFormat="1" applyFont="1" applyAlignment="1" applyProtection="1">
      <alignment horizontal="left"/>
      <protection locked="0"/>
    </xf>
    <xf numFmtId="0" fontId="21" fillId="0" borderId="0" xfId="0" applyFont="1" applyAlignment="1" applyProtection="1">
      <alignment horizontal="left"/>
      <protection locked="0"/>
    </xf>
    <xf numFmtId="173" fontId="21" fillId="0" borderId="0" xfId="27" applyNumberFormat="1" applyFont="1" applyAlignment="1" applyProtection="1">
      <alignment horizontal="left"/>
      <protection locked="0"/>
    </xf>
    <xf numFmtId="187" fontId="15" fillId="0" borderId="0" xfId="27" applyFont="1" applyAlignment="1" applyProtection="1">
      <alignment horizontal="center"/>
      <protection locked="0"/>
    </xf>
    <xf numFmtId="187" fontId="21" fillId="0" borderId="0" xfId="27" applyFont="1" applyAlignment="1" applyProtection="1">
      <alignment horizontal="center"/>
      <protection locked="0"/>
    </xf>
    <xf numFmtId="166" fontId="21" fillId="0" borderId="0" xfId="0" applyNumberFormat="1" applyFont="1" applyAlignment="1" applyProtection="1">
      <alignment horizontal="left"/>
      <protection locked="0"/>
    </xf>
    <xf numFmtId="166" fontId="21" fillId="0" borderId="0" xfId="0" applyNumberFormat="1" applyFont="1" applyAlignment="1" applyProtection="1">
      <alignment horizontal="center"/>
      <protection locked="0"/>
    </xf>
    <xf numFmtId="0" fontId="101" fillId="0" borderId="0" xfId="0" applyFont="1" applyAlignment="1" applyProtection="1">
      <alignment horizontal="left"/>
      <protection locked="0"/>
    </xf>
    <xf numFmtId="187" fontId="15" fillId="0" borderId="0" xfId="27" applyFont="1" applyAlignment="1" applyProtection="1">
      <alignment horizontal="left"/>
      <protection locked="0"/>
    </xf>
    <xf numFmtId="166" fontId="15" fillId="0" borderId="0" xfId="0" applyNumberFormat="1" applyFont="1" applyAlignment="1" applyProtection="1">
      <alignment horizontal="left"/>
      <protection locked="0"/>
    </xf>
    <xf numFmtId="0" fontId="51" fillId="0" borderId="23" xfId="0" applyFont="1" applyBorder="1" applyAlignment="1" applyProtection="1">
      <alignment horizontal="center"/>
      <protection hidden="1"/>
    </xf>
    <xf numFmtId="0" fontId="51" fillId="0" borderId="33" xfId="0" applyFont="1" applyBorder="1" applyAlignment="1" applyProtection="1">
      <alignment horizontal="center"/>
      <protection hidden="1"/>
    </xf>
  </cellXfs>
  <cellStyles count="156">
    <cellStyle name="20% - Accent1" xfId="1" builtinId="30" customBuiltin="1"/>
    <cellStyle name="20% - Accent1 2" xfId="140" xr:uid="{913AB230-AECA-462F-BA6A-A08AD403998F}"/>
    <cellStyle name="20% - Accent2" xfId="2" builtinId="34" customBuiltin="1"/>
    <cellStyle name="20% - Accent2 2" xfId="141" xr:uid="{9591E0AF-6B93-4718-816C-1A7FBA31DF2A}"/>
    <cellStyle name="20% - Accent3" xfId="3" builtinId="38" customBuiltin="1"/>
    <cellStyle name="20% - Accent3 2" xfId="142" xr:uid="{B1CB5223-624E-4E58-8168-FC229108715B}"/>
    <cellStyle name="20% - Accent4" xfId="4" builtinId="42" customBuiltin="1"/>
    <cellStyle name="20% - Accent4 2" xfId="143" xr:uid="{19655590-7C48-429B-9ACA-D097E1ADF208}"/>
    <cellStyle name="20% - Accent5" xfId="5" builtinId="46" customBuiltin="1"/>
    <cellStyle name="20% - Accent5 2" xfId="144" xr:uid="{AF449C6B-D563-4134-9D43-D80C6792F4F3}"/>
    <cellStyle name="20% - Accent6" xfId="6" builtinId="50" customBuiltin="1"/>
    <cellStyle name="20% - Accent6 2" xfId="145" xr:uid="{425082D8-4206-4630-B326-32152329B3C8}"/>
    <cellStyle name="40% - Accent1" xfId="7" builtinId="31" customBuiltin="1"/>
    <cellStyle name="40% - Accent1 2" xfId="146" xr:uid="{A134F4E6-D323-4407-B8A6-57568652815F}"/>
    <cellStyle name="40% - Accent2" xfId="8" builtinId="35" customBuiltin="1"/>
    <cellStyle name="40% - Accent2 2" xfId="147" xr:uid="{8296FBED-2792-4F46-998C-46A0A330B219}"/>
    <cellStyle name="40% - Accent3" xfId="9" builtinId="39" customBuiltin="1"/>
    <cellStyle name="40% - Accent3 2" xfId="148" xr:uid="{7AD64DF3-3F7E-4C24-BE78-421403720E62}"/>
    <cellStyle name="40% - Accent4" xfId="10" builtinId="43" customBuiltin="1"/>
    <cellStyle name="40% - Accent4 2" xfId="149" xr:uid="{5FF8AD78-B60D-4351-8816-639A7F8A90BF}"/>
    <cellStyle name="40% - Accent5" xfId="11" builtinId="47" customBuiltin="1"/>
    <cellStyle name="40% - Accent5 2" xfId="150" xr:uid="{92ECC5E5-1001-4865-AC90-0E189F03E394}"/>
    <cellStyle name="40% - Accent6" xfId="12" builtinId="51" customBuiltin="1"/>
    <cellStyle name="40% - Accent6 2" xfId="151" xr:uid="{6D4245D7-CEB4-476A-8D17-EA65FA2FDCB5}"/>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2"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Input" xfId="62" builtinId="20" customBuiltin="1"/>
    <cellStyle name="Linked Cell" xfId="63" builtinId="24" customBuiltin="1"/>
    <cellStyle name="Neutral" xfId="64" builtinId="28" customBuiltin="1"/>
    <cellStyle name="Normal" xfId="0" builtinId="0"/>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4" xr:uid="{898039F3-AA11-4B2F-91B5-F13099C703EA}"/>
    <cellStyle name="Normal 3 3" xfId="71" xr:uid="{00000000-0005-0000-0000-000048000000}"/>
    <cellStyle name="Normal 3 4" xfId="72" xr:uid="{00000000-0005-0000-0000-000049000000}"/>
    <cellStyle name="Normal 3 5" xfId="153" xr:uid="{DC21F60A-4C3E-4186-B3A0-1DE12634EC44}"/>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8" xr:uid="{00000000-0005-0000-0000-000073000000}"/>
    <cellStyle name="Normal_a7p08" xfId="139" xr:uid="{00000000-0005-0000-0000-000074000000}"/>
    <cellStyle name="Normal_a7p09" xfId="137" xr:uid="{00000000-0005-0000-0000-000075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5"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273">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0000FF"/>
      </font>
    </dxf>
    <dxf>
      <font>
        <color rgb="FFFF0000"/>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ill>
        <patternFill>
          <bgColor indexed="26"/>
        </patternFill>
      </fill>
    </dxf>
  </dxfs>
  <tableStyles count="0" defaultTableStyle="TableStyleMedium9" defaultPivotStyle="PivotStyleLight16"/>
  <colors>
    <mruColors>
      <color rgb="FF0000FF"/>
      <color rgb="FFCCCCFF"/>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61</xdr:row>
      <xdr:rowOff>0</xdr:rowOff>
    </xdr:from>
    <xdr:to>
      <xdr:col>10</xdr:col>
      <xdr:colOff>331478</xdr:colOff>
      <xdr:row>67</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57150</xdr:colOff>
      <xdr:row>33</xdr:row>
      <xdr:rowOff>150497</xdr:rowOff>
    </xdr:from>
    <xdr:to>
      <xdr:col>16</xdr:col>
      <xdr:colOff>1257330</xdr:colOff>
      <xdr:row>38</xdr:row>
      <xdr:rowOff>47631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3181350" y="5372102"/>
          <a:ext cx="4648200" cy="714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1000" b="0" i="0" u="none" strike="noStrike">
              <a:solidFill>
                <a:schemeClr val="dk1"/>
              </a:solidFill>
              <a:latin typeface="Arial" pitchFamily="34" charset="0"/>
              <a:ea typeface="+mn-ea"/>
              <a:cs typeface="Arial" pitchFamily="34" charset="0"/>
            </a:rPr>
            <a:t>Note: Hedging derivative instruments must meet </a:t>
          </a:r>
          <a:r>
            <a:rPr lang="en-US" sz="1000" b="0" i="0" u="sng" strike="noStrike">
              <a:solidFill>
                <a:schemeClr val="dk1"/>
              </a:solidFill>
              <a:latin typeface="Arial" pitchFamily="34" charset="0"/>
              <a:ea typeface="+mn-ea"/>
              <a:cs typeface="Arial" pitchFamily="34" charset="0"/>
            </a:rPr>
            <a:t>annual</a:t>
          </a:r>
          <a:r>
            <a:rPr lang="en-US" sz="1000" b="0" i="0" u="none" strike="noStrike">
              <a:solidFill>
                <a:schemeClr val="dk1"/>
              </a:solidFill>
              <a:latin typeface="Arial" pitchFamily="34" charset="0"/>
              <a:ea typeface="+mn-ea"/>
              <a:cs typeface="Arial" pitchFamily="34" charset="0"/>
            </a:rPr>
            <a:t> effectiveness</a:t>
          </a:r>
          <a:r>
            <a:rPr lang="en-US" sz="1000" b="0" i="0" u="none" strike="noStrike" baseline="0">
              <a:solidFill>
                <a:schemeClr val="dk1"/>
              </a:solidFill>
              <a:latin typeface="Arial" pitchFamily="34" charset="0"/>
              <a:ea typeface="+mn-ea"/>
              <a:cs typeface="Arial" pitchFamily="34" charset="0"/>
            </a:rPr>
            <a:t> tests.  Indicate the method(s) used to determine effectiveness by </a:t>
          </a:r>
          <a:r>
            <a:rPr lang="en-US" sz="1000" b="1" i="0" u="none" strike="noStrike" baseline="0">
              <a:solidFill>
                <a:schemeClr val="dk1"/>
              </a:solidFill>
              <a:latin typeface="Arial" pitchFamily="34" charset="0"/>
              <a:ea typeface="+mn-ea"/>
              <a:cs typeface="Arial" pitchFamily="34" charset="0"/>
            </a:rPr>
            <a:t>keying the line numbers</a:t>
          </a:r>
          <a:r>
            <a:rPr lang="en-US" sz="1000" b="0" i="0" u="none" strike="noStrike" baseline="0">
              <a:solidFill>
                <a:schemeClr val="dk1"/>
              </a:solidFill>
              <a:latin typeface="Arial" pitchFamily="34" charset="0"/>
              <a:ea typeface="+mn-ea"/>
              <a:cs typeface="Arial" pitchFamily="34" charset="0"/>
            </a:rPr>
            <a:t> of the hedging derivative instruments above. A method can have more than one line number.</a:t>
          </a:r>
          <a:endParaRPr lang="en-US"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17</xdr:row>
      <xdr:rowOff>38102</xdr:rowOff>
    </xdr:from>
    <xdr:to>
      <xdr:col>16</xdr:col>
      <xdr:colOff>0</xdr:colOff>
      <xdr:row>22</xdr:row>
      <xdr:rowOff>149334</xdr:rowOff>
    </xdr:to>
    <xdr:pic>
      <xdr:nvPicPr>
        <xdr:cNvPr id="5" name="Picture 4">
          <a:extLst>
            <a:ext uri="{FF2B5EF4-FFF2-40B4-BE49-F238E27FC236}">
              <a16:creationId xmlns:a16="http://schemas.microsoft.com/office/drawing/2014/main" id="{5A8EAF82-F773-4F5F-8EE5-CE554DD2DABD}"/>
            </a:ext>
          </a:extLst>
        </xdr:cNvPr>
        <xdr:cNvPicPr>
          <a:picLocks noChangeAspect="1"/>
        </xdr:cNvPicPr>
      </xdr:nvPicPr>
      <xdr:blipFill>
        <a:blip xmlns:r="http://schemas.openxmlformats.org/officeDocument/2006/relationships" r:embed="rId1"/>
        <a:stretch>
          <a:fillRect/>
        </a:stretch>
      </xdr:blipFill>
      <xdr:spPr>
        <a:xfrm>
          <a:off x="38100" y="3276602"/>
          <a:ext cx="6305550" cy="1063732"/>
        </a:xfrm>
        <a:prstGeom prst="rect">
          <a:avLst/>
        </a:prstGeom>
      </xdr:spPr>
    </xdr:pic>
    <xdr:clientData/>
  </xdr:twoCellAnchor>
  <xdr:twoCellAnchor editAs="oneCell">
    <xdr:from>
      <xdr:col>0</xdr:col>
      <xdr:colOff>0</xdr:colOff>
      <xdr:row>34</xdr:row>
      <xdr:rowOff>0</xdr:rowOff>
    </xdr:from>
    <xdr:to>
      <xdr:col>16</xdr:col>
      <xdr:colOff>0</xdr:colOff>
      <xdr:row>39</xdr:row>
      <xdr:rowOff>65769</xdr:rowOff>
    </xdr:to>
    <xdr:pic>
      <xdr:nvPicPr>
        <xdr:cNvPr id="7" name="Picture 6">
          <a:extLst>
            <a:ext uri="{FF2B5EF4-FFF2-40B4-BE49-F238E27FC236}">
              <a16:creationId xmlns:a16="http://schemas.microsoft.com/office/drawing/2014/main" id="{88EFF593-320D-4EE8-A485-7D9579CF96BE}"/>
            </a:ext>
          </a:extLst>
        </xdr:cNvPr>
        <xdr:cNvPicPr>
          <a:picLocks noChangeAspect="1"/>
        </xdr:cNvPicPr>
      </xdr:nvPicPr>
      <xdr:blipFill>
        <a:blip xmlns:r="http://schemas.openxmlformats.org/officeDocument/2006/relationships" r:embed="rId2"/>
        <a:stretch>
          <a:fillRect/>
        </a:stretch>
      </xdr:blipFill>
      <xdr:spPr>
        <a:xfrm>
          <a:off x="0" y="6477000"/>
          <a:ext cx="6324600" cy="1022079"/>
        </a:xfrm>
        <a:prstGeom prst="rect">
          <a:avLst/>
        </a:prstGeom>
      </xdr:spPr>
    </xdr:pic>
    <xdr:clientData/>
  </xdr:twoCellAnchor>
  <xdr:twoCellAnchor editAs="oneCell">
    <xdr:from>
      <xdr:col>0</xdr:col>
      <xdr:colOff>0</xdr:colOff>
      <xdr:row>51</xdr:row>
      <xdr:rowOff>0</xdr:rowOff>
    </xdr:from>
    <xdr:to>
      <xdr:col>16</xdr:col>
      <xdr:colOff>0</xdr:colOff>
      <xdr:row>56</xdr:row>
      <xdr:rowOff>114300</xdr:rowOff>
    </xdr:to>
    <xdr:pic>
      <xdr:nvPicPr>
        <xdr:cNvPr id="8" name="Picture 7">
          <a:extLst>
            <a:ext uri="{FF2B5EF4-FFF2-40B4-BE49-F238E27FC236}">
              <a16:creationId xmlns:a16="http://schemas.microsoft.com/office/drawing/2014/main" id="{60A9523C-C110-4F4B-8E3A-91DB3050DC43}"/>
            </a:ext>
          </a:extLst>
        </xdr:cNvPr>
        <xdr:cNvPicPr>
          <a:picLocks noChangeAspect="1"/>
        </xdr:cNvPicPr>
      </xdr:nvPicPr>
      <xdr:blipFill>
        <a:blip xmlns:r="http://schemas.openxmlformats.org/officeDocument/2006/relationships" r:embed="rId3"/>
        <a:stretch>
          <a:fillRect/>
        </a:stretch>
      </xdr:blipFill>
      <xdr:spPr>
        <a:xfrm>
          <a:off x="0" y="9486900"/>
          <a:ext cx="6328372"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NCAS agencies should use DSS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0</xdr:rowOff>
    </xdr:from>
    <xdr:to>
      <xdr:col>22</xdr:col>
      <xdr:colOff>0</xdr:colOff>
      <xdr:row>27</xdr:row>
      <xdr:rowOff>114300</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524750"/>
          <a:ext cx="9267825" cy="495300"/>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20</xdr:row>
      <xdr:rowOff>9524</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676399"/>
          <a:ext cx="7115175" cy="168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onga\Desktop\Consolidation%20-%20NC\Macro\All%20Execution\Agency\13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Pkg Updates"/>
      <sheetName val="Index"/>
      <sheetName val="101"/>
      <sheetName val="105"/>
      <sheetName val="110"/>
      <sheetName val="120"/>
      <sheetName val="201 (2702)"/>
      <sheetName val="201 (2706)"/>
      <sheetName val="201 (2714)"/>
      <sheetName val="201 (2723)"/>
      <sheetName val="202"/>
      <sheetName val="203"/>
      <sheetName val="204"/>
      <sheetName val="210 (2702)"/>
      <sheetName val="210 (2706)"/>
      <sheetName val="210 (2714)"/>
      <sheetName val="210 (2723)"/>
      <sheetName val="215"/>
      <sheetName val="220"/>
      <sheetName val="301"/>
      <sheetName val="305"/>
      <sheetName val="310 (2702)"/>
      <sheetName val="310 (2706)"/>
      <sheetName val="310 (2714)"/>
      <sheetName val="310 (2723)"/>
      <sheetName val="310 (2728)"/>
      <sheetName val="315"/>
      <sheetName val="320"/>
      <sheetName val="322"/>
      <sheetName val="325"/>
      <sheetName val="330"/>
      <sheetName val="338"/>
      <sheetName val="340"/>
      <sheetName val="341"/>
      <sheetName val="342"/>
      <sheetName val="345"/>
      <sheetName val="350"/>
      <sheetName val="355"/>
      <sheetName val="365"/>
      <sheetName val="370"/>
      <sheetName val="401"/>
      <sheetName val="405"/>
      <sheetName val="410"/>
      <sheetName val="415"/>
      <sheetName val="420"/>
      <sheetName val="425"/>
      <sheetName val="430G"/>
      <sheetName val="430BTA (2723)"/>
      <sheetName val="431G"/>
      <sheetName val="430BTA (2728)"/>
      <sheetName val="431G "/>
      <sheetName val="431BTA (2723)"/>
      <sheetName val="431BTA (2728)"/>
      <sheetName val="501"/>
      <sheetName val="505"/>
      <sheetName val="510"/>
      <sheetName val="515"/>
      <sheetName val="520"/>
      <sheetName val="525"/>
      <sheetName val="530"/>
      <sheetName val="535"/>
      <sheetName val="540"/>
      <sheetName val="545"/>
      <sheetName val="550 (1100)"/>
      <sheetName val="550 (1200)"/>
      <sheetName val="550 (1400)"/>
      <sheetName val="550 (1426)"/>
      <sheetName val="550 (2714)"/>
      <sheetName val="555 (1100)"/>
      <sheetName val="555 (2714)"/>
      <sheetName val="560"/>
      <sheetName val="565"/>
      <sheetName val="570"/>
      <sheetName val="605"/>
      <sheetName val="610"/>
      <sheetName val="615"/>
      <sheetName val="616"/>
      <sheetName val="620"/>
      <sheetName val="625"/>
      <sheetName val="635"/>
      <sheetName val="640"/>
      <sheetName val="705"/>
      <sheetName val="710"/>
      <sheetName val="715"/>
      <sheetName val="720"/>
      <sheetName val="725"/>
      <sheetName val="730"/>
      <sheetName val="735"/>
      <sheetName val="740"/>
      <sheetName val="745"/>
      <sheetName val="755"/>
      <sheetName val="756"/>
      <sheetName val="760"/>
      <sheetName val="765"/>
      <sheetName val="905"/>
      <sheetName val="For 905-NCAS Acct Roll-up"/>
      <sheetName val="905Hosp"/>
      <sheetName val="906-6B"/>
      <sheetName val="906-6C"/>
      <sheetName val="906-6BC"/>
      <sheetName val="907"/>
      <sheetName val="910"/>
      <sheetName val="910Hosp"/>
      <sheetName val="911-6B"/>
      <sheetName val="911-6C"/>
      <sheetName val="Explanations"/>
      <sheetName val="Comments"/>
      <sheetName val="Agencies"/>
      <sheetName val="Functional"/>
      <sheetName val="NetPosition"/>
      <sheetName val="PriorYr905"/>
      <sheetName val="PriorYr906"/>
      <sheetName val="Data"/>
      <sheetName val="All Agencies"/>
      <sheetName val="OSC Analysts"/>
      <sheetName val="Errors"/>
      <sheetName val="Notes"/>
    </sheetNames>
    <sheetDataSet>
      <sheetData sheetId="0" refreshError="1"/>
      <sheetData sheetId="1" refreshError="1"/>
      <sheetData sheetId="2" refreshError="1">
        <row r="54">
          <cell r="B54"/>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persons/person.xml><?xml version="1.0" encoding="utf-8"?>
<personList xmlns="http://schemas.microsoft.com/office/spreadsheetml/2018/threadedcomments" xmlns:x="http://schemas.openxmlformats.org/spreadsheetml/2006/main">
  <person displayName="Jani, Shivani R" id="{740380A9-CF4E-4B87-8031-BF1D1DE7B644}" userId="S::Shivani.Jani@osc.nc.gov::8bd54d9f-5548-45b6-ba73-81064f073bb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27"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29"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1"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s>
</file>

<file path=xl/threadedComments/threadedComment2.xml><?xml version="1.0" encoding="utf-8"?>
<ThreadedComments xmlns="http://schemas.microsoft.com/office/spreadsheetml/2018/threadedcomments" xmlns:x="http://schemas.openxmlformats.org/spreadsheetml/2006/main">
  <threadedComment ref="B229"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308.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s>
</file>

<file path=xl/worksheets/_rels/sheet102.xml.rels><?xml version="1.0" encoding="UTF-8" standalone="yes"?>
<Relationships xmlns="http://schemas.openxmlformats.org/package/2006/relationships"><Relationship Id="rId8" Type="http://schemas.openxmlformats.org/officeDocument/2006/relationships/hyperlink" Target="mailto:Yelena.Zaytseva@osc.nc.gov" TargetMode="External"/><Relationship Id="rId3" Type="http://schemas.openxmlformats.org/officeDocument/2006/relationships/hyperlink" Target="mailto:Kim.Battle@osc.nc.gov" TargetMode="External"/><Relationship Id="rId7" Type="http://schemas.openxmlformats.org/officeDocument/2006/relationships/hyperlink" Target="mailto:Joan.Saucier@osc.nc.gov" TargetMode="External"/><Relationship Id="rId2" Type="http://schemas.openxmlformats.org/officeDocument/2006/relationships/hyperlink" Target="mailto:shivani.jani@osc.nc.gov" TargetMode="External"/><Relationship Id="rId1" Type="http://schemas.openxmlformats.org/officeDocument/2006/relationships/hyperlink" Target="mailto:ellen.rockefeller@osc.nc.gov" TargetMode="External"/><Relationship Id="rId6" Type="http://schemas.openxmlformats.org/officeDocument/2006/relationships/hyperlink" Target="mailto:Virginia.Sisson@osc.nc.gov" TargetMode="External"/><Relationship Id="rId5" Type="http://schemas.openxmlformats.org/officeDocument/2006/relationships/hyperlink" Target="mailto:Joy.darden@osc.nc.gov" TargetMode="External"/><Relationship Id="rId10" Type="http://schemas.openxmlformats.org/officeDocument/2006/relationships/printerSettings" Target="../printerSettings/printerSettings312.bin"/><Relationship Id="rId4" Type="http://schemas.openxmlformats.org/officeDocument/2006/relationships/hyperlink" Target="mailto:Joannie.Burtoft@osc.nc.gov" TargetMode="External"/><Relationship Id="rId9" Type="http://schemas.openxmlformats.org/officeDocument/2006/relationships/hyperlink" Target="mailto:John.Krellner@osc.nc.gov"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316.bin"/><Relationship Id="rId2" Type="http://schemas.openxmlformats.org/officeDocument/2006/relationships/printerSettings" Target="../printerSettings/printerSettings315.bin"/><Relationship Id="rId1" Type="http://schemas.openxmlformats.org/officeDocument/2006/relationships/printerSettings" Target="../printerSettings/printerSettings314.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files.nc.gov/ncosc/documents/Policies/102.13_Impairment_of_Capital_Assets_Policy.pdf"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xml"/><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4.bin"/><Relationship Id="rId4" Type="http://schemas.openxmlformats.org/officeDocument/2006/relationships/hyperlink" Target="https://www.osc.nc.gov/1032-statewide-accounting-policy-pollution-remediation-obligation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www.osc.nc.gov/state-agency-resources/north-carolina-accounting-system-ncas/statewide-financial-reporting/gasb-resources/effective-fy-2014" TargetMode="External"/><Relationship Id="rId1" Type="http://schemas.openxmlformats.org/officeDocument/2006/relationships/hyperlink" Target="http://ncosc.s3.amazonaws.com/s3fs-public/documents/GASB_Resources/Financial_Reporting_Updates/gasb_standard_70.pdf"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osc.nc.gov/1014-statewide-accounting-policy-restricted-assets" TargetMode="Externa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printerSettings" Target="../printerSettings/printerSettings9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1.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4.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5.bin"/><Relationship Id="rId5" Type="http://schemas.openxmlformats.org/officeDocument/2006/relationships/hyperlink" Target="https://www.osc.nc.gov/1016-statewide-accounting-policy-net-position" TargetMode="External"/><Relationship Id="rId4" Type="http://schemas.openxmlformats.org/officeDocument/2006/relationships/printerSettings" Target="../printerSettings/printerSettings1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hyperlink" Target="https://files.nc.gov/ncosc/documents/year-end/Transfer%20Accounts%20-%20Their%20Purpose%20and%20Proper%20Use.pdf"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73.bin"/><Relationship Id="rId1" Type="http://schemas.openxmlformats.org/officeDocument/2006/relationships/hyperlink" Target="https://files.nc.gov/ncosc/documents/year-end/Transfer%20Accounts%20-%20Their%20Purpose%20and%20Proper%20Use.pdf"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5.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printerSettings" Target="../printerSettings/printerSettings206.bin"/><Relationship Id="rId4" Type="http://schemas.openxmlformats.org/officeDocument/2006/relationships/printerSettings" Target="../printerSettings/printerSettings205.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6" Type="http://schemas.openxmlformats.org/officeDocument/2006/relationships/drawing" Target="../drawings/drawing4.xml"/><Relationship Id="rId5" Type="http://schemas.openxmlformats.org/officeDocument/2006/relationships/printerSettings" Target="../printerSettings/printerSettings211.bin"/><Relationship Id="rId4" Type="http://schemas.openxmlformats.org/officeDocument/2006/relationships/printerSettings" Target="../printerSettings/printerSettings21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4.bin"/><Relationship Id="rId7" Type="http://schemas.openxmlformats.org/officeDocument/2006/relationships/comments" Target="../comments4.xml"/><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vmlDrawing" Target="../drawings/vmlDrawing4.vml"/><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hyperlink" Target="https://files.nc.gov/ncosc/documents/GASB_Resources/Financial_Reporting_Updates/GASB_Standard_77.pdf?6Pi9rsrwXSYYkbz3o8QgMsVxNb7046lV=" TargetMode="External"/><Relationship Id="rId1" Type="http://schemas.openxmlformats.org/officeDocument/2006/relationships/hyperlink" Target="http://ncosc.s3.amazonaws.com/s3fs-public/documents/GASB_Resources/Financial_Reporting_Updates/gasb_standard_77.pdf"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drawing" Target="../drawings/drawing6.xml"/><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5" Type="http://schemas.openxmlformats.org/officeDocument/2006/relationships/printerSettings" Target="../printerSettings/printerSettings232.bin"/><Relationship Id="rId4" Type="http://schemas.openxmlformats.org/officeDocument/2006/relationships/printerSettings" Target="../printerSettings/printerSettings231.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drawing" Target="../drawings/drawing7.xml"/><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40.bin"/><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6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iles.nc.gov/ncosc/documents/GASB_Resources/Financial_Reporting_Updates/gasb_standard_69_revised.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64.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266.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microsoft.com/office/2017/10/relationships/threadedComment" Target="../threadedComments/threadedComment1.xm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84.xml.rels><?xml version="1.0" encoding="UTF-8" standalone="yes"?>
<Relationships xmlns="http://schemas.openxmlformats.org/package/2006/relationships"><Relationship Id="rId3" Type="http://schemas.openxmlformats.org/officeDocument/2006/relationships/hyperlink" Target="http://www.osc.nc.gov/sigdocs/sig_docs/sigNCAS_Data_Elements.html" TargetMode="External"/><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5" Type="http://schemas.openxmlformats.org/officeDocument/2006/relationships/printerSettings" Target="../printerSettings/printerSettings272.bin"/><Relationship Id="rId4" Type="http://schemas.openxmlformats.org/officeDocument/2006/relationships/hyperlink" Target="http://www.osc.nc.gov/sigdocs/sig_docs/sigNCAS_Data_Elements.html"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microsoft.com/office/2017/10/relationships/threadedComment" Target="../threadedComments/threadedComment2.xm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9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87.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306.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30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workbookViewId="0">
      <selection activeCell="B4" sqref="B4"/>
    </sheetView>
  </sheetViews>
  <sheetFormatPr defaultRowHeight="12.75" x14ac:dyDescent="0.2"/>
  <cols>
    <col min="1" max="1" width="3" customWidth="1"/>
    <col min="2" max="2" width="91.5703125" customWidth="1"/>
    <col min="3" max="3" width="11.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694" t="s">
        <v>1007</v>
      </c>
      <c r="B1" s="2694"/>
      <c r="C1" s="1174"/>
      <c r="D1" s="1174"/>
      <c r="E1" s="1174"/>
      <c r="F1" s="1174"/>
      <c r="G1" s="1174"/>
      <c r="H1" s="1174"/>
      <c r="I1" s="1174"/>
      <c r="J1" s="1174"/>
      <c r="K1" s="1174"/>
      <c r="L1" s="1174"/>
      <c r="M1" s="1174"/>
      <c r="N1" s="130"/>
    </row>
    <row r="2" spans="1:14" ht="15.75" x14ac:dyDescent="0.25">
      <c r="A2" s="2694" t="str">
        <f>CONCATENATE(YEAR(Data!A2)," ACFR Worksheets")</f>
        <v>2022 ACFR Worksheets</v>
      </c>
      <c r="B2" s="2694"/>
      <c r="C2" s="1174"/>
      <c r="D2" s="1174"/>
      <c r="E2" s="1174"/>
      <c r="F2" s="1174"/>
      <c r="G2" s="1174"/>
      <c r="H2" s="1174"/>
      <c r="I2" s="1174"/>
      <c r="J2" s="1174"/>
      <c r="K2" s="1174"/>
      <c r="L2" s="1174"/>
      <c r="M2" s="1174"/>
      <c r="N2" s="130"/>
    </row>
    <row r="3" spans="1:14" ht="15.75" x14ac:dyDescent="0.25">
      <c r="A3" s="2694" t="s">
        <v>1695</v>
      </c>
      <c r="B3" s="2694"/>
      <c r="C3" s="1174"/>
      <c r="D3" s="1174"/>
      <c r="E3" s="1174"/>
      <c r="F3" s="1174"/>
      <c r="G3" s="1174"/>
      <c r="H3" s="1174"/>
      <c r="I3" s="1174"/>
      <c r="J3" s="1174"/>
      <c r="K3" s="1174"/>
      <c r="L3" s="1174"/>
      <c r="M3" s="1174"/>
      <c r="N3" s="130"/>
    </row>
    <row r="4" spans="1:14" ht="15.75" x14ac:dyDescent="0.25">
      <c r="A4" s="290"/>
      <c r="B4" s="1280" t="str">
        <f>Index!L4</f>
        <v>File revision date: 6/17/2022</v>
      </c>
      <c r="C4" s="1171"/>
      <c r="D4" s="1171"/>
      <c r="E4" s="1171"/>
      <c r="F4" s="1171"/>
      <c r="G4" s="1171"/>
      <c r="H4" s="1171"/>
      <c r="I4" s="1171"/>
      <c r="J4" s="1171"/>
      <c r="K4" s="1171"/>
      <c r="L4" s="1171"/>
      <c r="M4" s="1171"/>
    </row>
    <row r="6" spans="1:14" ht="14.25" x14ac:dyDescent="0.25">
      <c r="A6" s="1476" t="s">
        <v>595</v>
      </c>
      <c r="B6" s="1173"/>
    </row>
    <row r="7" spans="1:14" ht="13.5" x14ac:dyDescent="0.2">
      <c r="A7" s="1175" t="s">
        <v>1696</v>
      </c>
      <c r="B7" s="1176" t="s">
        <v>1837</v>
      </c>
    </row>
    <row r="8" spans="1:14" ht="13.5" x14ac:dyDescent="0.2">
      <c r="A8" s="1175"/>
      <c r="B8" s="1176" t="s">
        <v>4082</v>
      </c>
    </row>
    <row r="9" spans="1:14" ht="13.5" x14ac:dyDescent="0.2">
      <c r="A9" s="1175" t="s">
        <v>1696</v>
      </c>
      <c r="B9" s="1176" t="s">
        <v>1698</v>
      </c>
    </row>
    <row r="10" spans="1:14" ht="13.5" x14ac:dyDescent="0.2">
      <c r="A10" s="1177"/>
      <c r="B10" s="1176" t="s">
        <v>1697</v>
      </c>
    </row>
    <row r="11" spans="1:14" ht="13.5" x14ac:dyDescent="0.2">
      <c r="A11" s="1175" t="s">
        <v>1696</v>
      </c>
      <c r="B11" s="1176" t="s">
        <v>4083</v>
      </c>
    </row>
    <row r="12" spans="1:14" ht="13.5" x14ac:dyDescent="0.2">
      <c r="A12" s="1175" t="s">
        <v>1696</v>
      </c>
      <c r="B12" s="1176" t="s">
        <v>4495</v>
      </c>
    </row>
    <row r="13" spans="1:14" ht="13.5" x14ac:dyDescent="0.2">
      <c r="A13" s="1175"/>
      <c r="B13" s="1176" t="s">
        <v>1913</v>
      </c>
    </row>
    <row r="14" spans="1:14" ht="13.5" x14ac:dyDescent="0.2">
      <c r="A14" s="1175"/>
      <c r="B14" s="1176" t="s">
        <v>1700</v>
      </c>
    </row>
    <row r="15" spans="1:14" ht="13.5" x14ac:dyDescent="0.2">
      <c r="A15" s="1175"/>
      <c r="B15" s="1176" t="s">
        <v>1699</v>
      </c>
    </row>
    <row r="16" spans="1:14" s="2626" customFormat="1" ht="13.5" x14ac:dyDescent="0.2">
      <c r="A16" s="1175" t="s">
        <v>1696</v>
      </c>
      <c r="B16" s="2627" t="s">
        <v>5648</v>
      </c>
    </row>
    <row r="17" spans="1:3" s="2626" customFormat="1" ht="13.5" x14ac:dyDescent="0.2">
      <c r="A17" s="1175"/>
      <c r="B17" s="2627" t="s">
        <v>5649</v>
      </c>
    </row>
    <row r="18" spans="1:3" s="2626" customFormat="1" ht="13.5" x14ac:dyDescent="0.2">
      <c r="A18" s="1175" t="s">
        <v>1696</v>
      </c>
      <c r="B18" s="2627" t="s">
        <v>5647</v>
      </c>
    </row>
    <row r="19" spans="1:3" ht="13.5" x14ac:dyDescent="0.2">
      <c r="A19" s="1175" t="s">
        <v>1696</v>
      </c>
      <c r="B19" s="1176" t="s">
        <v>1702</v>
      </c>
    </row>
    <row r="20" spans="1:3" ht="14.25" thickBot="1" x14ac:dyDescent="0.25">
      <c r="A20" s="1175"/>
      <c r="B20" s="1176" t="s">
        <v>1701</v>
      </c>
    </row>
    <row r="21" spans="1:3" ht="15.75" x14ac:dyDescent="0.25">
      <c r="A21" s="1175" t="s">
        <v>1696</v>
      </c>
      <c r="B21" s="1281" t="s">
        <v>1912</v>
      </c>
    </row>
    <row r="22" spans="1:3" ht="15.75" x14ac:dyDescent="0.25">
      <c r="A22" s="1175"/>
      <c r="B22" s="1282" t="s">
        <v>5334</v>
      </c>
    </row>
    <row r="23" spans="1:3" ht="15.75" x14ac:dyDescent="0.25">
      <c r="A23" s="1175"/>
      <c r="B23" s="1282" t="s">
        <v>5335</v>
      </c>
    </row>
    <row r="24" spans="1:3" ht="15.75" x14ac:dyDescent="0.25">
      <c r="A24" s="1175"/>
      <c r="B24" s="1282" t="s">
        <v>5336</v>
      </c>
    </row>
    <row r="25" spans="1:3" ht="16.5" thickBot="1" x14ac:dyDescent="0.3">
      <c r="A25" s="1177"/>
      <c r="B25" s="1283" t="s">
        <v>5337</v>
      </c>
    </row>
    <row r="26" spans="1:3" ht="13.5" x14ac:dyDescent="0.2">
      <c r="A26" s="1175" t="s">
        <v>1696</v>
      </c>
      <c r="B26" s="1398" t="s">
        <v>3523</v>
      </c>
    </row>
    <row r="27" spans="1:3" ht="13.5" x14ac:dyDescent="0.2">
      <c r="A27" s="1175"/>
      <c r="B27" s="1398" t="s">
        <v>4919</v>
      </c>
    </row>
    <row r="28" spans="1:3" s="2258" customFormat="1" ht="13.5" x14ac:dyDescent="0.2">
      <c r="A28" s="1175"/>
      <c r="B28" s="1398" t="s">
        <v>4920</v>
      </c>
    </row>
    <row r="29" spans="1:3" ht="13.5" x14ac:dyDescent="0.2">
      <c r="A29" s="1263" t="s">
        <v>162</v>
      </c>
      <c r="B29" s="1177"/>
    </row>
    <row r="30" spans="1:3" ht="15" x14ac:dyDescent="0.25">
      <c r="A30" s="1175" t="s">
        <v>1696</v>
      </c>
      <c r="B30" s="1177" t="s">
        <v>1710</v>
      </c>
      <c r="C30" s="1102"/>
    </row>
    <row r="31" spans="1:3" ht="15" x14ac:dyDescent="0.25">
      <c r="A31" s="1177"/>
      <c r="B31" s="1178" t="s">
        <v>1711</v>
      </c>
      <c r="C31" s="1116"/>
    </row>
    <row r="32" spans="1:3" ht="15" x14ac:dyDescent="0.25">
      <c r="A32" s="1177"/>
      <c r="B32" s="1177" t="s">
        <v>1703</v>
      </c>
      <c r="C32" s="1102"/>
    </row>
    <row r="33" spans="1:3" ht="15" x14ac:dyDescent="0.25">
      <c r="B33" s="1177" t="s">
        <v>1707</v>
      </c>
      <c r="C33" s="1102"/>
    </row>
    <row r="34" spans="1:3" ht="15" x14ac:dyDescent="0.25">
      <c r="A34" s="1175" t="s">
        <v>1696</v>
      </c>
      <c r="B34" s="1177" t="s">
        <v>1708</v>
      </c>
      <c r="C34" s="1102"/>
    </row>
    <row r="35" spans="1:3" ht="13.5" x14ac:dyDescent="0.2">
      <c r="A35" s="1179"/>
      <c r="B35" s="1177" t="s">
        <v>1709</v>
      </c>
    </row>
    <row r="36" spans="1:3" ht="13.5" x14ac:dyDescent="0.2">
      <c r="A36" s="1263" t="s">
        <v>1704</v>
      </c>
      <c r="B36" s="1179"/>
    </row>
    <row r="37" spans="1:3" ht="13.5" x14ac:dyDescent="0.2">
      <c r="A37" s="1175" t="s">
        <v>1696</v>
      </c>
      <c r="B37" s="1177" t="s">
        <v>1705</v>
      </c>
    </row>
    <row r="38" spans="1:3" ht="13.5" x14ac:dyDescent="0.2">
      <c r="B38" s="1177" t="s">
        <v>798</v>
      </c>
    </row>
    <row r="39" spans="1:3" ht="13.5" x14ac:dyDescent="0.2">
      <c r="A39" s="1175" t="s">
        <v>1696</v>
      </c>
      <c r="B39" s="1181" t="s">
        <v>1836</v>
      </c>
    </row>
    <row r="40" spans="1:3" ht="13.5" x14ac:dyDescent="0.2">
      <c r="A40" s="1175" t="s">
        <v>1696</v>
      </c>
      <c r="B40" s="1181" t="s">
        <v>1835</v>
      </c>
    </row>
    <row r="41" spans="1:3" ht="13.5" x14ac:dyDescent="0.2">
      <c r="A41" s="1175" t="s">
        <v>1696</v>
      </c>
      <c r="B41" s="1181" t="s">
        <v>1706</v>
      </c>
    </row>
    <row r="42" spans="1:3" ht="13.5" x14ac:dyDescent="0.2">
      <c r="A42" s="1175" t="s">
        <v>1696</v>
      </c>
      <c r="B42" s="1290" t="s">
        <v>1963</v>
      </c>
    </row>
    <row r="43" spans="1:3" ht="13.5" x14ac:dyDescent="0.2">
      <c r="A43" s="1175"/>
      <c r="B43" s="1290" t="s">
        <v>1921</v>
      </c>
    </row>
    <row r="44" spans="1:3" ht="13.5" x14ac:dyDescent="0.2">
      <c r="A44" s="1263" t="s">
        <v>5637</v>
      </c>
    </row>
    <row r="45" spans="1:3" ht="13.5" x14ac:dyDescent="0.2">
      <c r="A45" s="1175" t="s">
        <v>1696</v>
      </c>
      <c r="B45" s="1181" t="s">
        <v>5638</v>
      </c>
    </row>
    <row r="46" spans="1:3" ht="13.5" x14ac:dyDescent="0.2">
      <c r="A46" s="1263" t="s">
        <v>1840</v>
      </c>
    </row>
    <row r="47" spans="1:3" ht="13.5" x14ac:dyDescent="0.2">
      <c r="A47" s="1175" t="s">
        <v>1696</v>
      </c>
      <c r="B47" s="1181" t="s">
        <v>4081</v>
      </c>
    </row>
    <row r="48" spans="1:3" ht="13.5" x14ac:dyDescent="0.2">
      <c r="A48" s="1175" t="s">
        <v>1696</v>
      </c>
      <c r="B48" s="272" t="s">
        <v>4169</v>
      </c>
    </row>
    <row r="49" spans="1:2" ht="13.5" x14ac:dyDescent="0.2">
      <c r="B49" s="1181" t="s">
        <v>4084</v>
      </c>
    </row>
    <row r="50" spans="1:2" ht="13.5" x14ac:dyDescent="0.2">
      <c r="A50" s="1175" t="s">
        <v>1696</v>
      </c>
      <c r="B50" s="1657" t="s">
        <v>5639</v>
      </c>
    </row>
    <row r="51" spans="1:2" ht="13.5" x14ac:dyDescent="0.2">
      <c r="B51" s="1657" t="s">
        <v>4496</v>
      </c>
    </row>
    <row r="52" spans="1:2" ht="13.5" x14ac:dyDescent="0.2">
      <c r="B52" s="1657" t="s">
        <v>4178</v>
      </c>
    </row>
    <row r="53" spans="1:2" x14ac:dyDescent="0.2">
      <c r="B53" s="272" t="s">
        <v>973</v>
      </c>
    </row>
  </sheetData>
  <sheetProtection algorithmName="SHA-512" hashValue="E0Z1qfGq0NP1PcAlZHqN5BWHMjZIJZWTbuau15eAz57lYFnltmCyDqQKd/2LCQId6z6zKhmjgnUqHgdpS3GVnw==" saltValue="gS+8p/w02ZqJMYVtLV0pOA==" spinCount="100000" sheet="1" objects="1" scenarios="1" autoFilter="0"/>
  <customSheetViews>
    <customSheetView guid="{B08879A4-635B-4C39-9937-AC7883D562FC}" showGridLines="0" hiddenColumns="1">
      <selection activeCell="A5" sqref="A5"/>
      <pageMargins left="0.6" right="0.6" top="0.5" bottom="0.5" header="0.3" footer="0.3"/>
      <pageSetup orientation="portrait" r:id="rId1"/>
    </customSheetView>
    <customSheetView guid="{9FCFC836-1CA5-48BF-958D-24D2EA94B219}" showGridLines="0" hiddenColumns="1">
      <selection activeCell="A5" sqref="A5"/>
      <pageMargins left="0.6" right="0.6" top="0.5" bottom="0.5" header="0.3" footer="0.3"/>
      <pageSetup orientation="portrait" r:id="rId2"/>
    </customSheetView>
  </customSheetViews>
  <mergeCells count="3">
    <mergeCell ref="A1:B1"/>
    <mergeCell ref="A2:B2"/>
    <mergeCell ref="A3:B3"/>
  </mergeCells>
  <pageMargins left="0.6" right="0.6" top="0.5" bottom="0.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1" workbookViewId="0">
      <selection activeCell="C26" sqref="C26"/>
    </sheetView>
  </sheetViews>
  <sheetFormatPr defaultColWidth="9.42578125" defaultRowHeight="12.75" x14ac:dyDescent="0.2"/>
  <cols>
    <col min="1" max="1" width="9.42578125" style="61" hidden="1" customWidth="1"/>
    <col min="2" max="2" width="3.42578125" style="61" customWidth="1"/>
    <col min="3" max="3" width="12.42578125" style="61" customWidth="1"/>
    <col min="4" max="4" width="3.42578125" style="61" customWidth="1"/>
    <col min="5" max="5" width="13.5703125" style="61" bestFit="1" customWidth="1"/>
    <col min="6" max="6" width="2.42578125" style="61" customWidth="1"/>
    <col min="7" max="7" width="11.5703125" style="61" customWidth="1"/>
    <col min="8" max="8" width="2.42578125" style="61" customWidth="1"/>
    <col min="9" max="9" width="13" style="61" customWidth="1"/>
    <col min="10" max="10" width="2.42578125" style="61" customWidth="1"/>
    <col min="11" max="11" width="9.42578125" style="61"/>
    <col min="12" max="12" width="2.42578125" style="61" customWidth="1"/>
    <col min="13" max="13" width="13" style="61" customWidth="1"/>
    <col min="14" max="14" width="2.42578125" style="61" customWidth="1"/>
    <col min="15" max="15" width="13.42578125" style="61" customWidth="1"/>
    <col min="16" max="16" width="2.42578125" style="61" customWidth="1"/>
    <col min="17" max="17" width="13" style="61" customWidth="1"/>
    <col min="18" max="18" width="2.5703125" style="61" customWidth="1"/>
    <col min="19" max="19" width="5.42578125" style="61" customWidth="1"/>
    <col min="20" max="20" width="16.5703125" style="61" bestFit="1" customWidth="1"/>
    <col min="21" max="16384" width="9.42578125" style="61"/>
  </cols>
  <sheetData>
    <row r="1" spans="2:21" ht="25.15" customHeight="1" x14ac:dyDescent="0.2">
      <c r="B1" s="1938" t="str">
        <f>+Index!$A$1</f>
        <v xml:space="preserve">                                                               Office of the State Controller                                                                </v>
      </c>
      <c r="C1" s="1938"/>
      <c r="D1" s="1938"/>
      <c r="E1" s="1938"/>
      <c r="F1" s="1938"/>
      <c r="G1" s="1938"/>
      <c r="H1" s="1938"/>
      <c r="I1" s="1938"/>
      <c r="J1" s="1938"/>
      <c r="K1" s="1938"/>
      <c r="L1" s="1938"/>
      <c r="M1" s="1939"/>
      <c r="N1" s="1939"/>
      <c r="O1" s="1939"/>
      <c r="P1" s="1939"/>
      <c r="Q1" s="1939"/>
      <c r="S1" s="2790"/>
      <c r="T1" s="2650" t="str">
        <f>IF(Index!$B$22="na","NA","")</f>
        <v/>
      </c>
    </row>
    <row r="2" spans="2:21" ht="13.15" customHeight="1" x14ac:dyDescent="0.2">
      <c r="B2" s="1940" t="str">
        <f>+Index!$A$2</f>
        <v>2022 ACFR Worksheets</v>
      </c>
      <c r="C2" s="1940"/>
      <c r="D2" s="1940"/>
      <c r="E2" s="1940"/>
      <c r="F2" s="1940"/>
      <c r="G2" s="1940"/>
      <c r="H2" s="1940"/>
      <c r="I2" s="1940"/>
      <c r="J2" s="1940"/>
      <c r="K2" s="1940"/>
      <c r="L2" s="1940"/>
      <c r="M2" s="1939"/>
      <c r="N2" s="1939"/>
      <c r="O2" s="1939"/>
      <c r="P2" s="1939"/>
      <c r="Q2" s="1939"/>
      <c r="S2" s="2790"/>
      <c r="T2" s="1424"/>
    </row>
    <row r="3" spans="2:21" ht="13.15" customHeight="1" x14ac:dyDescent="0.2">
      <c r="B3" s="454" t="s">
        <v>4507</v>
      </c>
      <c r="C3" s="454"/>
      <c r="D3" s="454"/>
      <c r="E3" s="454"/>
      <c r="F3" s="454"/>
      <c r="G3" s="454"/>
      <c r="H3" s="454"/>
      <c r="I3" s="454"/>
      <c r="J3" s="454"/>
      <c r="K3" s="454"/>
      <c r="L3" s="454"/>
      <c r="M3" s="1939"/>
      <c r="N3" s="1939"/>
      <c r="O3" s="1939"/>
      <c r="P3" s="1939"/>
      <c r="Q3" s="1939"/>
      <c r="S3" s="2790"/>
      <c r="T3" s="1424"/>
    </row>
    <row r="4" spans="2:21" x14ac:dyDescent="0.2">
      <c r="B4" s="454" t="s">
        <v>4508</v>
      </c>
      <c r="C4" s="454"/>
      <c r="D4" s="454"/>
      <c r="E4" s="454"/>
      <c r="F4" s="454"/>
      <c r="G4" s="454"/>
      <c r="H4" s="454"/>
      <c r="I4" s="1939"/>
      <c r="J4" s="1939"/>
      <c r="K4" s="454"/>
      <c r="L4" s="454"/>
      <c r="M4" s="1939"/>
      <c r="N4" s="1939"/>
      <c r="O4" s="1939"/>
      <c r="P4" s="1939"/>
      <c r="Q4" s="1939"/>
    </row>
    <row r="5" spans="2:21" x14ac:dyDescent="0.2">
      <c r="B5" s="454" t="s">
        <v>1281</v>
      </c>
      <c r="C5" s="454"/>
      <c r="D5" s="454"/>
      <c r="E5" s="454"/>
      <c r="F5" s="454"/>
      <c r="G5" s="454"/>
      <c r="H5" s="454"/>
      <c r="I5" s="1939"/>
      <c r="J5" s="1939"/>
      <c r="K5" s="454"/>
      <c r="L5" s="454"/>
      <c r="M5" s="1939"/>
      <c r="N5" s="1939"/>
      <c r="O5" s="1939"/>
      <c r="P5" s="1939"/>
      <c r="Q5" s="1939"/>
    </row>
    <row r="6" spans="2:21" ht="12.75" customHeight="1" x14ac:dyDescent="0.2">
      <c r="B6" s="454"/>
      <c r="C6" s="454"/>
      <c r="D6" s="454"/>
      <c r="E6" s="454"/>
      <c r="F6" s="454"/>
      <c r="G6" s="454"/>
      <c r="H6" s="454"/>
      <c r="I6" s="454"/>
      <c r="J6" s="454"/>
      <c r="K6" s="1941"/>
      <c r="L6" s="1941"/>
      <c r="M6" s="1939"/>
      <c r="N6" s="1939"/>
      <c r="O6" s="1939"/>
      <c r="P6" s="1939"/>
      <c r="Q6" s="1939"/>
    </row>
    <row r="7" spans="2:21" x14ac:dyDescent="0.2">
      <c r="B7" s="1903" t="s">
        <v>4509</v>
      </c>
      <c r="C7" s="1903"/>
      <c r="D7" s="454"/>
      <c r="E7" s="454"/>
      <c r="F7" s="454"/>
      <c r="M7" s="1902" t="s">
        <v>327</v>
      </c>
      <c r="N7" s="1902"/>
      <c r="O7" s="2791" t="str">
        <f>AgyIdx</f>
        <v>01</v>
      </c>
      <c r="P7" s="2791"/>
      <c r="Q7" s="2791"/>
    </row>
    <row r="8" spans="2:21" x14ac:dyDescent="0.2">
      <c r="B8" s="1939"/>
      <c r="C8" s="1939"/>
      <c r="D8" s="1939"/>
      <c r="E8" s="1903"/>
      <c r="F8" s="454"/>
      <c r="M8" s="1902" t="s">
        <v>1154</v>
      </c>
      <c r="N8" s="1902"/>
      <c r="O8" s="2792" t="str">
        <f>AgyName</f>
        <v>North Carolina General Assembly</v>
      </c>
      <c r="P8" s="2792"/>
      <c r="Q8" s="2792"/>
    </row>
    <row r="9" spans="2:21" x14ac:dyDescent="0.2">
      <c r="B9" s="1903"/>
      <c r="C9" s="454"/>
      <c r="D9" s="454"/>
      <c r="E9" s="454"/>
      <c r="F9" s="454"/>
      <c r="M9" s="1902" t="s">
        <v>972</v>
      </c>
      <c r="N9" s="1902"/>
      <c r="O9" s="2793" t="str">
        <f>CONCATENATE(Index!$E$12," ",Index!$E$14)</f>
        <v xml:space="preserve"> </v>
      </c>
      <c r="P9" s="2793"/>
      <c r="Q9" s="2793"/>
      <c r="R9" s="1904"/>
      <c r="S9" s="1904"/>
      <c r="T9" s="1904"/>
      <c r="U9" s="1904"/>
    </row>
    <row r="10" spans="2:21" x14ac:dyDescent="0.2">
      <c r="B10" s="1903"/>
      <c r="C10" s="454"/>
      <c r="D10" s="454"/>
      <c r="E10" s="454"/>
      <c r="F10" s="454"/>
      <c r="M10" s="1902" t="s">
        <v>348</v>
      </c>
      <c r="N10" s="1902"/>
      <c r="O10" s="2793">
        <f>+Index!$E$13</f>
        <v>0</v>
      </c>
      <c r="P10" s="2793"/>
      <c r="Q10" s="2793"/>
    </row>
    <row r="11" spans="2:21" ht="6" customHeight="1" thickBot="1" x14ac:dyDescent="0.25">
      <c r="B11" s="1942"/>
      <c r="C11" s="1942"/>
      <c r="D11" s="1942"/>
      <c r="E11" s="1942"/>
      <c r="F11" s="1942"/>
      <c r="G11" s="1942"/>
      <c r="H11" s="1942"/>
      <c r="I11" s="1942"/>
      <c r="J11" s="1942"/>
      <c r="K11" s="1942"/>
      <c r="L11" s="1942"/>
      <c r="M11" s="1939"/>
      <c r="N11" s="1939"/>
      <c r="O11" s="1939"/>
      <c r="P11" s="1939"/>
      <c r="Q11" s="1939"/>
    </row>
    <row r="12" spans="2:21" ht="12" customHeight="1" x14ac:dyDescent="0.2">
      <c r="B12" s="454"/>
      <c r="C12" s="454"/>
      <c r="D12" s="454"/>
      <c r="E12" s="454"/>
      <c r="F12" s="454"/>
      <c r="G12" s="454"/>
      <c r="H12" s="454"/>
      <c r="I12" s="454"/>
      <c r="J12" s="454"/>
      <c r="K12" s="454"/>
      <c r="L12" s="454"/>
      <c r="M12" s="1905"/>
      <c r="N12" s="1905"/>
      <c r="O12" s="1905"/>
      <c r="P12" s="1905"/>
      <c r="Q12" s="1905"/>
      <c r="R12" s="1089"/>
      <c r="S12" s="1906"/>
    </row>
    <row r="13" spans="2:21" ht="12" customHeight="1" x14ac:dyDescent="0.2">
      <c r="B13" s="1088" t="s">
        <v>133</v>
      </c>
      <c r="C13" s="1089" t="s">
        <v>5379</v>
      </c>
      <c r="D13" s="1089"/>
      <c r="E13" s="1089"/>
      <c r="F13" s="1089"/>
      <c r="G13" s="1089"/>
      <c r="H13" s="1089"/>
      <c r="I13" s="1089"/>
      <c r="J13" s="1089"/>
      <c r="K13" s="1089"/>
      <c r="L13" s="1089"/>
      <c r="M13" s="1089"/>
      <c r="N13" s="1089"/>
      <c r="O13" s="1089"/>
      <c r="P13" s="1089"/>
      <c r="Q13" s="1089"/>
      <c r="R13" s="1089"/>
      <c r="S13" s="1906"/>
    </row>
    <row r="14" spans="2:21" ht="12" customHeight="1" x14ac:dyDescent="0.2">
      <c r="B14" s="1088"/>
      <c r="C14" s="1907" t="s">
        <v>4510</v>
      </c>
      <c r="D14" s="1089"/>
      <c r="E14" s="1908"/>
      <c r="F14" s="1089"/>
      <c r="G14" s="1907" t="s">
        <v>86</v>
      </c>
      <c r="H14" s="1089"/>
      <c r="I14" s="1908"/>
      <c r="J14" s="1089"/>
      <c r="K14" s="1089"/>
      <c r="L14" s="1089"/>
      <c r="M14" s="1089"/>
      <c r="N14" s="1089"/>
      <c r="O14" s="1089"/>
      <c r="P14" s="1089"/>
      <c r="Q14" s="1089"/>
      <c r="R14" s="1089"/>
      <c r="S14" s="1906"/>
      <c r="T14" s="1443" t="str">
        <f>IF(AND(ISBLANK($E$14),ISBLANK($I$14))=TRUE,"Answer Missing"," ")</f>
        <v>Answer Missing</v>
      </c>
    </row>
    <row r="15" spans="2:21" ht="6" customHeight="1" x14ac:dyDescent="0.2">
      <c r="B15" s="1088"/>
      <c r="C15" s="1907"/>
      <c r="D15" s="1089"/>
      <c r="E15" s="1909"/>
      <c r="F15" s="1089"/>
      <c r="G15" s="1907"/>
      <c r="H15" s="1089"/>
      <c r="I15" s="1909"/>
      <c r="J15" s="1089"/>
      <c r="K15" s="1089"/>
      <c r="L15" s="1089"/>
      <c r="M15" s="1089"/>
      <c r="N15" s="1089"/>
      <c r="O15" s="1089"/>
      <c r="P15" s="1089"/>
      <c r="Q15" s="1089"/>
      <c r="R15" s="1089"/>
      <c r="S15" s="1906"/>
    </row>
    <row r="16" spans="2:21" ht="12" customHeight="1" x14ac:dyDescent="0.2">
      <c r="B16" s="1088"/>
      <c r="C16" s="1910" t="s">
        <v>4511</v>
      </c>
      <c r="D16" s="1089"/>
      <c r="E16" s="1089"/>
      <c r="F16" s="1089"/>
      <c r="G16" s="1907"/>
      <c r="H16" s="1089"/>
      <c r="I16" s="1089"/>
      <c r="J16" s="1089"/>
      <c r="K16" s="1089"/>
      <c r="L16" s="1089"/>
      <c r="M16" s="1089"/>
      <c r="N16" s="1089"/>
      <c r="O16" s="1089"/>
      <c r="P16" s="1089"/>
      <c r="Q16" s="1089"/>
      <c r="R16" s="1089"/>
      <c r="S16" s="1906"/>
    </row>
    <row r="17" spans="2:21" ht="6" customHeight="1" x14ac:dyDescent="0.2">
      <c r="B17" s="1088"/>
      <c r="C17" s="1910"/>
      <c r="D17" s="1089"/>
      <c r="E17" s="1089"/>
      <c r="F17" s="1089"/>
      <c r="G17" s="1907"/>
      <c r="H17" s="1089"/>
      <c r="I17" s="1089"/>
      <c r="J17" s="1089"/>
      <c r="K17" s="1089"/>
      <c r="L17" s="1089"/>
      <c r="M17" s="1089"/>
      <c r="N17" s="1089"/>
      <c r="O17" s="1089"/>
      <c r="P17" s="1089"/>
      <c r="Q17" s="1089"/>
      <c r="R17" s="1089"/>
      <c r="S17" s="1906"/>
    </row>
    <row r="18" spans="2:21" ht="12" customHeight="1" x14ac:dyDescent="0.2">
      <c r="B18" s="1089"/>
      <c r="C18" s="1089" t="s">
        <v>4512</v>
      </c>
      <c r="D18" s="1089"/>
      <c r="E18" s="2789"/>
      <c r="F18" s="2789"/>
      <c r="G18" s="2789"/>
      <c r="H18" s="2789"/>
      <c r="I18" s="2789"/>
      <c r="J18" s="2789"/>
      <c r="K18" s="2789"/>
      <c r="L18" s="2789"/>
      <c r="M18" s="2789"/>
      <c r="N18" s="1089"/>
      <c r="O18" s="1089" t="s">
        <v>4513</v>
      </c>
      <c r="P18" s="1089"/>
      <c r="Q18" s="1089"/>
      <c r="R18" s="1089"/>
      <c r="S18" s="1906"/>
      <c r="T18" s="1444" t="str">
        <f>IF(ISTEXT(E14),"Response for Yes needed"," ")</f>
        <v xml:space="preserve"> </v>
      </c>
      <c r="U18" s="1444"/>
    </row>
    <row r="19" spans="2:21" ht="6" customHeight="1" x14ac:dyDescent="0.2">
      <c r="B19" s="1089"/>
      <c r="C19" s="1089"/>
      <c r="D19" s="1089"/>
      <c r="E19" s="1907"/>
      <c r="F19" s="1089"/>
      <c r="G19" s="1089"/>
      <c r="H19" s="1911"/>
      <c r="I19" s="447"/>
      <c r="J19" s="1911"/>
      <c r="K19" s="447"/>
      <c r="L19" s="447"/>
      <c r="M19" s="1089"/>
      <c r="N19" s="1089"/>
      <c r="O19" s="1089"/>
      <c r="P19" s="1089"/>
      <c r="Q19" s="1089"/>
      <c r="R19" s="1089"/>
      <c r="S19" s="1906"/>
    </row>
    <row r="20" spans="2:21" ht="12" customHeight="1" x14ac:dyDescent="0.2">
      <c r="B20" s="1089"/>
      <c r="C20" s="1089" t="s">
        <v>4514</v>
      </c>
      <c r="D20" s="1089"/>
      <c r="E20" s="1907"/>
      <c r="F20" s="1089"/>
      <c r="G20" s="2788"/>
      <c r="H20" s="2788"/>
      <c r="I20" s="2788"/>
      <c r="J20" s="1911"/>
      <c r="K20" s="447"/>
      <c r="L20" s="447"/>
      <c r="M20" s="1089"/>
      <c r="N20" s="1089"/>
      <c r="O20" s="1089"/>
      <c r="P20" s="1089"/>
      <c r="Q20" s="1089"/>
      <c r="R20" s="1089"/>
      <c r="S20" s="1906"/>
    </row>
    <row r="21" spans="2:21" ht="6" customHeight="1" x14ac:dyDescent="0.2">
      <c r="B21" s="1089"/>
      <c r="C21" s="1089"/>
      <c r="D21" s="1089"/>
      <c r="E21" s="1907"/>
      <c r="F21" s="1089"/>
      <c r="G21" s="1089"/>
      <c r="H21" s="1911"/>
      <c r="I21" s="447"/>
      <c r="J21" s="1911"/>
      <c r="K21" s="447"/>
      <c r="L21" s="447"/>
      <c r="M21" s="1089"/>
      <c r="N21" s="1089"/>
      <c r="O21" s="1089"/>
      <c r="P21" s="1089"/>
      <c r="Q21" s="1089"/>
      <c r="R21" s="1089"/>
      <c r="S21" s="1906"/>
    </row>
    <row r="22" spans="2:21" ht="12" customHeight="1" x14ac:dyDescent="0.2">
      <c r="B22" s="1089"/>
      <c r="C22" s="1089" t="s">
        <v>4515</v>
      </c>
      <c r="D22" s="1089"/>
      <c r="E22" s="1089"/>
      <c r="F22" s="1089"/>
      <c r="G22" s="1089"/>
      <c r="H22" s="1911"/>
      <c r="I22" s="447"/>
      <c r="J22" s="1911"/>
      <c r="K22" s="1912"/>
      <c r="L22" s="447"/>
      <c r="M22" s="1907"/>
      <c r="N22" s="1089"/>
      <c r="O22" s="1089"/>
      <c r="P22" s="1089"/>
      <c r="Q22" s="1089"/>
      <c r="R22" s="1089"/>
      <c r="S22" s="1906"/>
    </row>
    <row r="23" spans="2:21" ht="12" customHeight="1" x14ac:dyDescent="0.2">
      <c r="B23" s="1089"/>
      <c r="C23" s="1907" t="s">
        <v>4510</v>
      </c>
      <c r="D23" s="1089"/>
      <c r="E23" s="1908"/>
      <c r="F23" s="1089"/>
      <c r="G23" s="1907" t="s">
        <v>86</v>
      </c>
      <c r="H23" s="1089"/>
      <c r="I23" s="1908"/>
      <c r="J23" s="1089"/>
      <c r="K23" s="1912" t="s">
        <v>345</v>
      </c>
      <c r="L23" s="447"/>
      <c r="M23" s="1933"/>
      <c r="N23" s="1089"/>
      <c r="O23" s="1089"/>
      <c r="P23" s="1089"/>
      <c r="Q23" s="1089"/>
      <c r="R23" s="1089"/>
      <c r="S23" s="1906"/>
      <c r="T23" s="1443" t="str">
        <f>IF(AND(ISBLANK($E$23),ISBLANK($I$23),ISBLANK($M$23))=TRUE,"Answer Missing"," ")</f>
        <v>Answer Missing</v>
      </c>
    </row>
    <row r="24" spans="2:21" ht="6" customHeight="1" x14ac:dyDescent="0.2">
      <c r="B24" s="1089"/>
      <c r="C24" s="1907"/>
      <c r="D24" s="1089"/>
      <c r="E24" s="1089"/>
      <c r="F24" s="1089"/>
      <c r="G24" s="1907"/>
      <c r="H24" s="1089"/>
      <c r="I24" s="1089"/>
      <c r="J24" s="1089"/>
      <c r="K24" s="1089"/>
      <c r="L24" s="1913"/>
      <c r="M24" s="1089"/>
      <c r="N24" s="1089"/>
      <c r="O24" s="1089"/>
      <c r="P24" s="1089"/>
      <c r="Q24" s="1089"/>
      <c r="R24" s="1089"/>
      <c r="S24" s="1906"/>
    </row>
    <row r="25" spans="2:21" ht="12" customHeight="1" x14ac:dyDescent="0.2">
      <c r="B25" s="1089"/>
      <c r="C25" s="1910" t="s">
        <v>4516</v>
      </c>
      <c r="D25" s="1089"/>
      <c r="E25" s="1089"/>
      <c r="F25" s="1089"/>
      <c r="G25" s="1912"/>
      <c r="H25" s="1914"/>
      <c r="I25" s="447"/>
      <c r="J25" s="1914"/>
      <c r="K25" s="447"/>
      <c r="L25" s="447"/>
      <c r="M25" s="1089"/>
      <c r="N25" s="1089"/>
      <c r="O25" s="1089"/>
      <c r="P25" s="1089"/>
      <c r="Q25" s="1089"/>
      <c r="R25" s="1089"/>
      <c r="S25" s="1906"/>
    </row>
    <row r="26" spans="2:21" ht="12" customHeight="1" x14ac:dyDescent="0.2">
      <c r="B26" s="1089"/>
      <c r="C26" s="1915"/>
      <c r="D26" s="1908"/>
      <c r="E26" s="1908"/>
      <c r="F26" s="1908"/>
      <c r="G26" s="1916"/>
      <c r="H26" s="1917"/>
      <c r="I26" s="1918"/>
      <c r="J26" s="1917"/>
      <c r="K26" s="1918"/>
      <c r="L26" s="1918"/>
      <c r="M26" s="1908"/>
      <c r="N26" s="1908"/>
      <c r="O26" s="1908"/>
      <c r="P26" s="1908"/>
      <c r="Q26" s="1908"/>
      <c r="R26" s="1908"/>
      <c r="S26" s="1906"/>
      <c r="T26" s="1444" t="str">
        <f>IF(ISTEXT(I23),"Response for No needed"," ")</f>
        <v xml:space="preserve"> </v>
      </c>
    </row>
    <row r="27" spans="2:21" ht="12" customHeight="1" x14ac:dyDescent="0.2">
      <c r="B27" s="1089"/>
      <c r="C27" s="1907"/>
      <c r="D27" s="1089"/>
      <c r="E27" s="1089"/>
      <c r="F27" s="1089"/>
      <c r="G27" s="1907"/>
      <c r="H27" s="1089"/>
      <c r="I27" s="1089"/>
      <c r="J27" s="1089"/>
      <c r="K27" s="1089"/>
      <c r="L27" s="1913"/>
      <c r="M27" s="1089"/>
      <c r="N27" s="1089"/>
      <c r="O27" s="1089"/>
      <c r="P27" s="1089"/>
      <c r="Q27" s="1089"/>
      <c r="R27" s="1089"/>
      <c r="S27" s="1906"/>
    </row>
    <row r="28" spans="2:21" ht="12" customHeight="1" x14ac:dyDescent="0.2">
      <c r="B28" s="1088" t="s">
        <v>384</v>
      </c>
      <c r="C28" s="1089" t="s">
        <v>4517</v>
      </c>
      <c r="D28" s="1089"/>
      <c r="E28" s="1089"/>
      <c r="F28" s="1089"/>
      <c r="G28" s="1089"/>
      <c r="H28" s="1089"/>
      <c r="I28" s="1089"/>
      <c r="J28" s="1089"/>
      <c r="K28" s="1907" t="s">
        <v>85</v>
      </c>
      <c r="L28" s="1089"/>
      <c r="M28" s="1908"/>
      <c r="N28" s="1089"/>
      <c r="O28" s="1907" t="s">
        <v>86</v>
      </c>
      <c r="P28" s="1089"/>
      <c r="Q28" s="1908"/>
      <c r="R28" s="1089"/>
      <c r="S28" s="1906"/>
      <c r="T28" s="1443" t="str">
        <f>IF(AND(ISBLANK($M$28),ISBLANK($Q$28))=TRUE,"Answer Missing"," ")</f>
        <v>Answer Missing</v>
      </c>
    </row>
    <row r="29" spans="2:21" ht="13.9" customHeight="1" x14ac:dyDescent="0.2">
      <c r="B29" s="1089"/>
      <c r="C29" s="1089" t="s">
        <v>4518</v>
      </c>
      <c r="D29" s="1089"/>
      <c r="E29" s="1089"/>
      <c r="F29" s="1089"/>
      <c r="G29" s="1911"/>
      <c r="H29" s="447"/>
      <c r="I29" s="1911"/>
      <c r="J29" s="447"/>
      <c r="K29" s="1089"/>
      <c r="L29" s="1089"/>
      <c r="M29" s="1089"/>
      <c r="N29" s="1089"/>
      <c r="O29" s="1089"/>
      <c r="P29" s="1089"/>
      <c r="Q29" s="1089"/>
      <c r="R29" s="1089"/>
      <c r="S29" s="1906"/>
    </row>
    <row r="30" spans="2:21" ht="6" customHeight="1" x14ac:dyDescent="0.2">
      <c r="B30" s="1089"/>
      <c r="C30" s="1089"/>
      <c r="D30" s="1089"/>
      <c r="E30" s="1089"/>
      <c r="F30" s="1089"/>
      <c r="G30" s="1911"/>
      <c r="H30" s="447"/>
      <c r="I30" s="1911"/>
      <c r="J30" s="447"/>
      <c r="K30" s="1089"/>
      <c r="L30" s="1089"/>
      <c r="M30" s="1089"/>
      <c r="N30" s="1089"/>
      <c r="O30" s="1089"/>
      <c r="P30" s="1089"/>
      <c r="Q30" s="1089"/>
      <c r="R30" s="1089"/>
      <c r="S30" s="1906"/>
    </row>
    <row r="31" spans="2:21" x14ac:dyDescent="0.2">
      <c r="B31" s="1089"/>
      <c r="E31" s="1090" t="s">
        <v>1160</v>
      </c>
      <c r="F31" s="1090"/>
      <c r="G31" s="1090"/>
      <c r="H31" s="1090"/>
      <c r="I31" s="1911"/>
      <c r="J31" s="1911"/>
      <c r="K31" s="1911"/>
      <c r="L31" s="1911"/>
      <c r="M31" s="1090" t="s">
        <v>4519</v>
      </c>
      <c r="N31" s="1090"/>
      <c r="O31" s="1090" t="s">
        <v>1160</v>
      </c>
      <c r="P31" s="1090"/>
      <c r="Q31" s="1919"/>
      <c r="R31" s="1089"/>
      <c r="S31" s="1906"/>
    </row>
    <row r="32" spans="2:21" ht="12" customHeight="1" x14ac:dyDescent="0.2">
      <c r="B32" s="1089"/>
      <c r="E32" s="1920">
        <v>44378</v>
      </c>
      <c r="F32" s="1913"/>
      <c r="G32" s="1913" t="s">
        <v>4520</v>
      </c>
      <c r="H32" s="1913"/>
      <c r="I32" s="1921" t="s">
        <v>1050</v>
      </c>
      <c r="J32" s="1921"/>
      <c r="K32" s="1921" t="s">
        <v>4521</v>
      </c>
      <c r="L32" s="1921"/>
      <c r="M32" s="1913" t="s">
        <v>4522</v>
      </c>
      <c r="N32" s="1913"/>
      <c r="O32" s="1920">
        <v>44742</v>
      </c>
      <c r="P32" s="1922"/>
      <c r="Q32" s="1922"/>
      <c r="R32" s="1089"/>
      <c r="S32" s="1906"/>
      <c r="T32" s="1444" t="str">
        <f>IF(ISNUMBER(G34),"Worksheet 430G must be completed"," ")</f>
        <v xml:space="preserve"> </v>
      </c>
    </row>
    <row r="33" spans="2:20" ht="12" customHeight="1" x14ac:dyDescent="0.2">
      <c r="B33" s="1089"/>
      <c r="E33" s="1919"/>
      <c r="F33" s="1090"/>
      <c r="G33" s="1090"/>
      <c r="H33" s="1090"/>
      <c r="I33" s="1911"/>
      <c r="J33" s="1911"/>
      <c r="K33" s="1911"/>
      <c r="L33" s="1911"/>
      <c r="M33" s="1090"/>
      <c r="N33" s="1090"/>
      <c r="O33" s="1090"/>
      <c r="P33" s="1922"/>
      <c r="Q33" s="1922"/>
      <c r="R33" s="1089"/>
      <c r="S33" s="1906"/>
      <c r="T33" s="1444"/>
    </row>
    <row r="34" spans="2:20" ht="12" customHeight="1" x14ac:dyDescent="0.2">
      <c r="B34" s="1089"/>
      <c r="C34" s="1913" t="s">
        <v>950</v>
      </c>
      <c r="E34" s="1923"/>
      <c r="F34" s="1922"/>
      <c r="G34" s="1923"/>
      <c r="H34" s="1922"/>
      <c r="I34" s="1924"/>
      <c r="J34" s="1925"/>
      <c r="K34" s="1924"/>
      <c r="L34" s="1925"/>
      <c r="M34" s="1923">
        <v>0</v>
      </c>
      <c r="N34" s="1922"/>
      <c r="O34" s="1923">
        <f>SUM(E34+G34+I34+K34+M34)</f>
        <v>0</v>
      </c>
      <c r="P34" s="1922"/>
      <c r="Q34" s="1922"/>
      <c r="R34" s="1089"/>
      <c r="S34" s="1906"/>
      <c r="T34" s="1444"/>
    </row>
    <row r="35" spans="2:20" ht="6" customHeight="1" x14ac:dyDescent="0.2">
      <c r="B35" s="1089"/>
      <c r="E35" s="1926"/>
      <c r="F35" s="1922"/>
      <c r="G35" s="1926"/>
      <c r="H35" s="1922"/>
      <c r="I35" s="1927"/>
      <c r="J35" s="1925"/>
      <c r="K35" s="1927"/>
      <c r="L35" s="1925"/>
      <c r="M35" s="1926"/>
      <c r="N35" s="1922"/>
      <c r="O35" s="1926"/>
      <c r="P35" s="1922"/>
      <c r="Q35" s="1922"/>
      <c r="R35" s="1089"/>
      <c r="S35" s="1906"/>
      <c r="T35" s="1444"/>
    </row>
    <row r="36" spans="2:20" ht="12" customHeight="1" x14ac:dyDescent="0.2">
      <c r="B36" s="1089"/>
      <c r="C36" s="1089" t="s">
        <v>4523</v>
      </c>
      <c r="D36" s="1089"/>
      <c r="E36" s="1089"/>
      <c r="F36" s="1928"/>
      <c r="G36" s="1928"/>
      <c r="H36" s="1928"/>
      <c r="I36" s="1928"/>
      <c r="J36" s="1928"/>
      <c r="K36" s="1928"/>
      <c r="L36" s="1928"/>
      <c r="M36" s="1089"/>
      <c r="N36" s="1089"/>
      <c r="O36" s="1089"/>
      <c r="P36" s="1089"/>
      <c r="Q36" s="1089"/>
      <c r="R36" s="1089"/>
      <c r="S36" s="1906"/>
      <c r="T36" s="1444"/>
    </row>
    <row r="37" spans="2:20" ht="12" customHeight="1" x14ac:dyDescent="0.2">
      <c r="B37" s="1089"/>
      <c r="C37" s="1089" t="s">
        <v>4524</v>
      </c>
      <c r="D37" s="1089"/>
      <c r="E37" s="1089"/>
      <c r="F37" s="1928"/>
      <c r="G37" s="1928"/>
      <c r="H37" s="1928"/>
      <c r="I37" s="1928"/>
      <c r="J37" s="1928"/>
      <c r="K37" s="1928"/>
      <c r="L37" s="1928"/>
      <c r="M37" s="1089"/>
      <c r="N37" s="1089"/>
      <c r="O37" s="1089"/>
      <c r="P37" s="1089"/>
      <c r="Q37" s="1089"/>
      <c r="R37" s="1089"/>
      <c r="S37" s="1906"/>
      <c r="T37" s="1444"/>
    </row>
    <row r="38" spans="2:20" ht="6" customHeight="1" x14ac:dyDescent="0.2">
      <c r="B38" s="1089"/>
      <c r="C38" s="1089"/>
      <c r="D38" s="1089"/>
      <c r="E38" s="1089"/>
      <c r="F38" s="1928"/>
      <c r="G38" s="1928"/>
      <c r="H38" s="1928"/>
      <c r="I38" s="1928"/>
      <c r="J38" s="1928"/>
      <c r="K38" s="1928"/>
      <c r="L38" s="1928"/>
      <c r="M38" s="1089"/>
      <c r="N38" s="1089"/>
      <c r="O38" s="1089"/>
      <c r="P38" s="1089"/>
      <c r="Q38" s="1089"/>
      <c r="R38" s="1089"/>
      <c r="S38" s="1906"/>
      <c r="T38" s="1444"/>
    </row>
    <row r="39" spans="2:20" ht="12" customHeight="1" x14ac:dyDescent="0.2">
      <c r="B39" s="1089"/>
      <c r="C39" s="1088" t="s">
        <v>4525</v>
      </c>
      <c r="D39" s="1922"/>
      <c r="E39" s="1926"/>
      <c r="F39" s="1922"/>
      <c r="G39" s="1927"/>
      <c r="H39" s="1925"/>
      <c r="I39" s="1927"/>
      <c r="J39" s="1925"/>
      <c r="L39" s="1922"/>
      <c r="M39" s="1929"/>
      <c r="N39" s="1922"/>
      <c r="O39" s="1926"/>
      <c r="P39" s="1922"/>
      <c r="Q39" s="1922"/>
      <c r="R39" s="1089"/>
      <c r="S39" s="1906"/>
      <c r="T39" s="1444"/>
    </row>
    <row r="40" spans="2:20" ht="12" customHeight="1" x14ac:dyDescent="0.2">
      <c r="B40" s="1089"/>
      <c r="C40" s="1929" t="s">
        <v>4526</v>
      </c>
      <c r="D40" s="1922"/>
      <c r="E40" s="1923"/>
      <c r="F40" s="1930"/>
      <c r="G40" s="1924"/>
      <c r="H40" s="1931"/>
      <c r="I40" s="1924"/>
      <c r="J40" s="1931"/>
      <c r="K40" s="1943"/>
      <c r="L40" s="1922"/>
      <c r="M40" s="1923"/>
      <c r="N40" s="1089"/>
      <c r="O40" s="1089"/>
      <c r="P40" s="1089"/>
      <c r="Q40" s="1089"/>
      <c r="R40" s="1089"/>
      <c r="S40" s="1906"/>
    </row>
    <row r="41" spans="2:20" ht="12" customHeight="1" x14ac:dyDescent="0.2">
      <c r="B41" s="1089"/>
      <c r="C41" s="1926"/>
      <c r="D41" s="1922"/>
      <c r="E41" s="1926"/>
      <c r="F41" s="1922"/>
      <c r="G41" s="1927"/>
      <c r="H41" s="1925"/>
      <c r="I41" s="1927"/>
      <c r="J41" s="1925"/>
      <c r="L41" s="1922"/>
      <c r="M41" s="1926">
        <f>SUM(M34+M40)</f>
        <v>0</v>
      </c>
      <c r="N41" s="1089"/>
      <c r="O41" s="1089"/>
      <c r="P41" s="1089"/>
      <c r="Q41" s="1089"/>
      <c r="R41" s="1089"/>
      <c r="S41" s="1906"/>
      <c r="T41" s="1932">
        <f>IF(M34+M40=0,0,"Out of Bal.")</f>
        <v>0</v>
      </c>
    </row>
    <row r="42" spans="2:20" ht="6" customHeight="1" x14ac:dyDescent="0.2">
      <c r="B42" s="1088"/>
      <c r="R42" s="1089"/>
      <c r="S42" s="1906"/>
    </row>
    <row r="43" spans="2:20" ht="12" customHeight="1" x14ac:dyDescent="0.2">
      <c r="B43" s="1088"/>
      <c r="C43" s="1089" t="s">
        <v>4527</v>
      </c>
      <c r="R43" s="1089"/>
      <c r="S43" s="1906"/>
    </row>
    <row r="44" spans="2:20" ht="16.350000000000001" customHeight="1" x14ac:dyDescent="0.2">
      <c r="B44" s="1089"/>
      <c r="C44" s="1907" t="s">
        <v>85</v>
      </c>
      <c r="D44" s="1089"/>
      <c r="E44" s="1908"/>
      <c r="F44" s="1089"/>
      <c r="G44" s="1912" t="s">
        <v>86</v>
      </c>
      <c r="H44" s="1914"/>
      <c r="I44" s="1918"/>
      <c r="J44" s="1914"/>
      <c r="K44" s="1912" t="s">
        <v>345</v>
      </c>
      <c r="L44" s="447"/>
      <c r="M44" s="1933"/>
      <c r="N44" s="1089"/>
      <c r="O44" s="1089"/>
      <c r="P44" s="1089"/>
      <c r="Q44" s="1089"/>
      <c r="R44" s="1089"/>
      <c r="S44" s="1906"/>
      <c r="T44" s="1443" t="str">
        <f>IF(AND(ISBLANK($E$44),ISBLANK($I$44),ISBLANK($M$44))=TRUE,"Answer Missing"," ")</f>
        <v>Answer Missing</v>
      </c>
    </row>
    <row r="45" spans="2:20" ht="6" customHeight="1" x14ac:dyDescent="0.2">
      <c r="B45" s="1089"/>
      <c r="C45" s="1907"/>
      <c r="D45" s="1089"/>
      <c r="E45" s="1089"/>
      <c r="F45" s="1089"/>
      <c r="G45" s="1912"/>
      <c r="H45" s="1914"/>
      <c r="I45" s="447"/>
      <c r="J45" s="1914"/>
      <c r="K45" s="447"/>
      <c r="L45" s="447"/>
      <c r="M45" s="1089"/>
      <c r="N45" s="1089"/>
      <c r="O45" s="1089"/>
      <c r="P45" s="1089"/>
      <c r="Q45" s="1089"/>
      <c r="R45" s="1089"/>
      <c r="S45" s="1906"/>
    </row>
    <row r="46" spans="2:20" ht="12" customHeight="1" x14ac:dyDescent="0.2">
      <c r="B46" s="1089"/>
      <c r="C46" s="1910" t="s">
        <v>4528</v>
      </c>
      <c r="D46" s="1089"/>
      <c r="E46" s="1089"/>
      <c r="F46" s="1089"/>
      <c r="G46" s="1912"/>
      <c r="H46" s="1914"/>
      <c r="I46" s="447"/>
      <c r="J46" s="1914"/>
      <c r="K46" s="447"/>
      <c r="L46" s="447"/>
      <c r="M46" s="1089"/>
      <c r="N46" s="1089"/>
      <c r="O46" s="1089"/>
      <c r="P46" s="1089"/>
      <c r="Q46" s="1089"/>
      <c r="R46" s="1089"/>
      <c r="S46" s="1906"/>
    </row>
    <row r="47" spans="2:20" ht="12" customHeight="1" x14ac:dyDescent="0.2">
      <c r="B47" s="1089"/>
      <c r="C47" s="2789"/>
      <c r="D47" s="2789"/>
      <c r="E47" s="2789"/>
      <c r="F47" s="2789"/>
      <c r="G47" s="2789"/>
      <c r="H47" s="2789"/>
      <c r="I47" s="2789"/>
      <c r="J47" s="2789"/>
      <c r="K47" s="2789"/>
      <c r="L47" s="2789"/>
      <c r="M47" s="2789"/>
      <c r="N47" s="2789"/>
      <c r="O47" s="2789"/>
      <c r="P47" s="2789"/>
      <c r="Q47" s="2789"/>
      <c r="R47" s="2789"/>
      <c r="S47" s="1906"/>
      <c r="T47" s="1444" t="str">
        <f>IF(ISTEXT(I44),"Response for No needed"," ")</f>
        <v xml:space="preserve"> </v>
      </c>
    </row>
    <row r="48" spans="2:20" ht="12" customHeight="1" x14ac:dyDescent="0.2">
      <c r="B48" s="1089"/>
      <c r="C48" s="1089"/>
      <c r="D48" s="1089"/>
      <c r="E48" s="1089"/>
      <c r="F48" s="1934"/>
      <c r="G48" s="1935"/>
      <c r="H48" s="1914"/>
      <c r="I48" s="1935"/>
      <c r="J48" s="1914"/>
      <c r="K48" s="1935"/>
      <c r="L48" s="1935"/>
      <c r="M48" s="1089"/>
      <c r="N48" s="1089"/>
      <c r="O48" s="1089"/>
      <c r="P48" s="1089"/>
      <c r="Q48" s="1089"/>
      <c r="R48" s="1089"/>
      <c r="S48" s="1906"/>
    </row>
    <row r="49" spans="2:20" ht="12" customHeight="1" x14ac:dyDescent="0.2">
      <c r="B49" s="1088" t="s">
        <v>733</v>
      </c>
      <c r="C49" s="1089" t="s">
        <v>4529</v>
      </c>
      <c r="D49" s="1089"/>
      <c r="E49" s="1089"/>
      <c r="F49" s="1089"/>
      <c r="G49" s="1089"/>
      <c r="H49" s="1089"/>
      <c r="I49" s="1089"/>
      <c r="J49" s="1089"/>
      <c r="K49" s="1907" t="s">
        <v>85</v>
      </c>
      <c r="L49" s="1089"/>
      <c r="M49" s="1908"/>
      <c r="N49" s="1089"/>
      <c r="O49" s="1907" t="s">
        <v>86</v>
      </c>
      <c r="P49" s="1089"/>
      <c r="Q49" s="1908"/>
      <c r="R49" s="1089"/>
      <c r="S49" s="1906"/>
      <c r="T49" s="1443" t="str">
        <f>IF(AND(ISBLANK($M$49),ISBLANK($Q$49))=TRUE,"Answer Missing"," ")</f>
        <v>Answer Missing</v>
      </c>
    </row>
    <row r="50" spans="2:20" ht="12" customHeight="1" x14ac:dyDescent="0.2">
      <c r="B50" s="1088"/>
      <c r="C50" s="1089" t="s">
        <v>4530</v>
      </c>
      <c r="D50" s="1089"/>
      <c r="E50" s="1089"/>
      <c r="F50" s="1089"/>
      <c r="G50" s="1911"/>
      <c r="H50" s="447"/>
      <c r="I50" s="1911"/>
      <c r="J50" s="447"/>
      <c r="K50" s="1089"/>
      <c r="L50" s="1089"/>
      <c r="M50" s="1089"/>
      <c r="N50" s="1089"/>
      <c r="O50" s="1089"/>
      <c r="P50" s="1089"/>
      <c r="Q50" s="1089"/>
      <c r="R50" s="1089"/>
      <c r="S50" s="1906"/>
    </row>
    <row r="51" spans="2:20" ht="6" customHeight="1" x14ac:dyDescent="0.2">
      <c r="B51" s="1088"/>
      <c r="C51" s="1089"/>
      <c r="D51" s="1089"/>
      <c r="E51" s="1089"/>
      <c r="F51" s="1089"/>
      <c r="G51" s="1911"/>
      <c r="H51" s="447"/>
      <c r="I51" s="1911"/>
      <c r="J51" s="447"/>
      <c r="K51" s="1089"/>
      <c r="L51" s="1089"/>
      <c r="M51" s="1089"/>
      <c r="N51" s="1089"/>
      <c r="O51" s="1089"/>
      <c r="P51" s="1089"/>
      <c r="Q51" s="1089"/>
      <c r="R51" s="1089"/>
      <c r="S51" s="1906"/>
    </row>
    <row r="52" spans="2:20" ht="12" customHeight="1" x14ac:dyDescent="0.2">
      <c r="B52" s="1088"/>
      <c r="D52" s="1090"/>
      <c r="E52" s="1090" t="s">
        <v>1160</v>
      </c>
      <c r="F52" s="1090"/>
      <c r="G52" s="1911"/>
      <c r="H52" s="1911"/>
      <c r="I52" s="1911"/>
      <c r="J52" s="1911"/>
      <c r="K52" s="1090"/>
      <c r="L52" s="1090"/>
      <c r="M52" s="1090" t="s">
        <v>4531</v>
      </c>
      <c r="N52" s="1090"/>
      <c r="O52" s="1090" t="s">
        <v>4478</v>
      </c>
      <c r="P52" s="1090"/>
      <c r="R52" s="1089"/>
      <c r="S52" s="1906"/>
    </row>
    <row r="53" spans="2:20" ht="12" customHeight="1" x14ac:dyDescent="0.2">
      <c r="B53" s="1088"/>
      <c r="D53" s="1913"/>
      <c r="E53" s="1920">
        <v>44378</v>
      </c>
      <c r="F53" s="1913"/>
      <c r="G53" s="1921" t="s">
        <v>4520</v>
      </c>
      <c r="H53" s="1921"/>
      <c r="I53" s="1921" t="s">
        <v>1050</v>
      </c>
      <c r="J53" s="1921"/>
      <c r="K53" s="1913" t="s">
        <v>4521</v>
      </c>
      <c r="L53" s="1913"/>
      <c r="M53" s="1913" t="s">
        <v>4532</v>
      </c>
      <c r="N53" s="1913"/>
      <c r="O53" s="1920">
        <v>44742</v>
      </c>
      <c r="P53" s="1913"/>
      <c r="R53" s="1089"/>
      <c r="S53" s="1906"/>
    </row>
    <row r="54" spans="2:20" ht="6" customHeight="1" x14ac:dyDescent="0.2">
      <c r="B54" s="1088"/>
      <c r="C54" s="1919"/>
      <c r="D54" s="1090"/>
      <c r="E54" s="1090"/>
      <c r="F54" s="1090"/>
      <c r="G54" s="1911"/>
      <c r="H54" s="1911"/>
      <c r="I54" s="1911"/>
      <c r="J54" s="1911"/>
      <c r="K54" s="1090"/>
      <c r="L54" s="1090"/>
      <c r="M54" s="1090"/>
      <c r="N54" s="1090"/>
      <c r="O54" s="1919"/>
      <c r="P54" s="1090"/>
      <c r="R54" s="1089"/>
      <c r="S54" s="1906"/>
    </row>
    <row r="55" spans="2:20" ht="12" customHeight="1" x14ac:dyDescent="0.2">
      <c r="B55" s="1089"/>
      <c r="C55" s="1929" t="s">
        <v>4533</v>
      </c>
      <c r="D55" s="1922"/>
      <c r="E55" s="1923"/>
      <c r="F55" s="1922"/>
      <c r="G55" s="1924"/>
      <c r="H55" s="1925"/>
      <c r="I55" s="1924"/>
      <c r="J55" s="1925"/>
      <c r="K55" s="1923"/>
      <c r="L55" s="1922"/>
      <c r="M55" s="1923"/>
      <c r="N55" s="1922"/>
      <c r="O55" s="1930">
        <f>SUM(E55+G55+I55+K55+M55)</f>
        <v>0</v>
      </c>
      <c r="P55" s="1922"/>
      <c r="R55" s="1089"/>
      <c r="S55" s="1906"/>
      <c r="T55" s="1444" t="str">
        <f>IF(ISNUMBER(G55),"Worksheet 430G must be completed"," ")</f>
        <v xml:space="preserve"> </v>
      </c>
    </row>
    <row r="56" spans="2:20" ht="6" customHeight="1" x14ac:dyDescent="0.2">
      <c r="B56" s="1089"/>
      <c r="C56" s="1922"/>
      <c r="D56" s="1922"/>
      <c r="E56" s="1922"/>
      <c r="F56" s="1922"/>
      <c r="G56" s="1936"/>
      <c r="H56" s="1925"/>
      <c r="I56" s="1936"/>
      <c r="J56" s="1925"/>
      <c r="K56" s="1922"/>
      <c r="L56" s="1922"/>
      <c r="M56" s="1922"/>
      <c r="N56" s="1922"/>
      <c r="O56" s="1922"/>
      <c r="P56" s="1922"/>
      <c r="Q56" s="1922"/>
      <c r="R56" s="1089"/>
      <c r="S56" s="1906"/>
    </row>
    <row r="57" spans="2:20" ht="12" customHeight="1" x14ac:dyDescent="0.2">
      <c r="B57" s="1088" t="s">
        <v>553</v>
      </c>
      <c r="C57" s="1922" t="s">
        <v>4534</v>
      </c>
      <c r="D57" s="1922"/>
      <c r="E57" s="1922"/>
      <c r="F57" s="1922"/>
      <c r="G57" s="1936"/>
      <c r="H57" s="1925"/>
      <c r="I57" s="1936"/>
      <c r="J57" s="1925"/>
      <c r="K57" s="1907" t="s">
        <v>85</v>
      </c>
      <c r="L57" s="1089"/>
      <c r="M57" s="1908"/>
      <c r="N57" s="1089"/>
      <c r="O57" s="1907" t="s">
        <v>86</v>
      </c>
      <c r="P57" s="1089"/>
      <c r="Q57" s="1908"/>
      <c r="R57" s="1089"/>
      <c r="S57" s="1906"/>
      <c r="T57" s="1443" t="str">
        <f>IF(AND(ISBLANK($M$57),ISBLANK($Q$57))=TRUE,"Answer Missing"," ")</f>
        <v>Answer Missing</v>
      </c>
    </row>
    <row r="58" spans="2:20" ht="12" customHeight="1" x14ac:dyDescent="0.2">
      <c r="B58" s="1089"/>
      <c r="C58" s="1922" t="s">
        <v>4535</v>
      </c>
      <c r="D58" s="1922"/>
      <c r="E58" s="1922"/>
      <c r="F58" s="1922"/>
      <c r="G58" s="1936"/>
      <c r="H58" s="1925"/>
      <c r="I58" s="1936"/>
      <c r="J58" s="1925"/>
      <c r="K58" s="1922"/>
      <c r="L58" s="1922"/>
      <c r="M58" s="1922"/>
      <c r="N58" s="1922"/>
      <c r="O58" s="1922"/>
      <c r="P58" s="1922"/>
      <c r="Q58" s="1922"/>
      <c r="R58" s="1089"/>
      <c r="S58" s="1906"/>
    </row>
    <row r="59" spans="2:20" ht="12" customHeight="1" x14ac:dyDescent="0.2">
      <c r="B59" s="1089"/>
      <c r="C59" s="1922"/>
      <c r="D59" s="1922"/>
      <c r="E59" s="1922"/>
      <c r="F59" s="1922"/>
      <c r="G59" s="1936"/>
      <c r="H59" s="1925"/>
      <c r="I59" s="1936"/>
      <c r="J59" s="1925"/>
      <c r="K59" s="1922"/>
      <c r="L59" s="1922"/>
      <c r="M59" s="1922"/>
      <c r="N59" s="1922"/>
      <c r="O59" s="1922"/>
      <c r="P59" s="1922"/>
      <c r="Q59" s="1922"/>
      <c r="R59" s="1089"/>
      <c r="S59" s="1906"/>
    </row>
    <row r="60" spans="2:20" ht="12" customHeight="1" x14ac:dyDescent="0.2">
      <c r="B60" s="1088"/>
      <c r="D60" s="1090"/>
      <c r="E60" s="1090" t="s">
        <v>1160</v>
      </c>
      <c r="F60" s="1090"/>
      <c r="G60" s="1911"/>
      <c r="H60" s="1911"/>
      <c r="I60" s="1911"/>
      <c r="J60" s="1911"/>
      <c r="K60" s="1090"/>
      <c r="L60" s="1090"/>
      <c r="M60" s="1090" t="s">
        <v>4531</v>
      </c>
      <c r="N60" s="1090"/>
      <c r="O60" s="1090" t="s">
        <v>4478</v>
      </c>
      <c r="P60" s="1090"/>
      <c r="R60" s="1089"/>
      <c r="S60" s="1906"/>
    </row>
    <row r="61" spans="2:20" ht="12" customHeight="1" x14ac:dyDescent="0.2">
      <c r="B61" s="1088"/>
      <c r="D61" s="1913"/>
      <c r="E61" s="1920">
        <v>44378</v>
      </c>
      <c r="F61" s="1913"/>
      <c r="G61" s="1913" t="s">
        <v>4520</v>
      </c>
      <c r="H61" s="1921"/>
      <c r="I61" s="1921" t="s">
        <v>1050</v>
      </c>
      <c r="J61" s="1921"/>
      <c r="K61" s="1913" t="s">
        <v>4521</v>
      </c>
      <c r="L61" s="1913"/>
      <c r="M61" s="1913" t="s">
        <v>4536</v>
      </c>
      <c r="N61" s="1913"/>
      <c r="O61" s="1920">
        <v>44742</v>
      </c>
      <c r="P61" s="1913"/>
      <c r="R61" s="1089"/>
      <c r="S61" s="1906"/>
    </row>
    <row r="62" spans="2:20" ht="6" customHeight="1" x14ac:dyDescent="0.2">
      <c r="B62" s="1088"/>
      <c r="C62" s="1919"/>
      <c r="D62" s="1090"/>
      <c r="E62" s="1090"/>
      <c r="F62" s="1090"/>
      <c r="G62" s="1911"/>
      <c r="H62" s="1911"/>
      <c r="I62" s="1911"/>
      <c r="J62" s="1911"/>
      <c r="K62" s="1090"/>
      <c r="L62" s="1090"/>
      <c r="M62" s="1090"/>
      <c r="N62" s="1090"/>
      <c r="O62" s="1919"/>
      <c r="P62" s="1090"/>
      <c r="R62" s="1089"/>
      <c r="S62" s="1906"/>
    </row>
    <row r="63" spans="2:20" ht="12" customHeight="1" x14ac:dyDescent="0.2">
      <c r="B63" s="1089"/>
      <c r="C63" s="1929" t="s">
        <v>4536</v>
      </c>
      <c r="D63" s="1922"/>
      <c r="E63" s="1923"/>
      <c r="F63" s="1922"/>
      <c r="G63" s="1924"/>
      <c r="H63" s="1925"/>
      <c r="I63" s="1924"/>
      <c r="J63" s="1925"/>
      <c r="K63" s="1923"/>
      <c r="L63" s="1922"/>
      <c r="M63" s="1923"/>
      <c r="N63" s="1922"/>
      <c r="O63" s="1930">
        <f>SUM(E63+G63+I63+K63+M63)</f>
        <v>0</v>
      </c>
      <c r="P63" s="1922"/>
      <c r="R63" s="1089"/>
      <c r="S63" s="1906"/>
      <c r="T63" s="1444" t="str">
        <f>IF(ISNUMBER(G63),"Worksheet 430G must be completed"," ")</f>
        <v xml:space="preserve"> </v>
      </c>
    </row>
    <row r="64" spans="2:20" ht="12" customHeight="1" x14ac:dyDescent="0.2">
      <c r="B64" s="1089"/>
      <c r="C64" s="1926"/>
      <c r="D64" s="1922"/>
      <c r="E64" s="1926"/>
      <c r="F64" s="1922"/>
      <c r="G64" s="1927"/>
      <c r="H64" s="1925"/>
      <c r="I64" s="1927"/>
      <c r="J64" s="1925"/>
      <c r="K64" s="1926"/>
      <c r="L64" s="1922"/>
      <c r="M64" s="1926"/>
      <c r="N64" s="1922"/>
      <c r="O64" s="1926"/>
      <c r="P64" s="1922"/>
      <c r="Q64" s="1922"/>
      <c r="R64" s="1089"/>
      <c r="S64" s="1906"/>
    </row>
    <row r="65" spans="2:20" ht="12" customHeight="1" x14ac:dyDescent="0.2">
      <c r="B65" s="1088" t="s">
        <v>317</v>
      </c>
      <c r="C65" s="1089" t="s">
        <v>4537</v>
      </c>
      <c r="D65" s="1089"/>
      <c r="E65" s="1089"/>
      <c r="F65" s="1928"/>
      <c r="G65" s="1928"/>
      <c r="H65" s="1928"/>
      <c r="I65" s="1928"/>
      <c r="J65" s="1928"/>
      <c r="K65" s="1928"/>
      <c r="L65" s="1928"/>
      <c r="M65" s="1089"/>
      <c r="N65" s="1089"/>
      <c r="O65" s="1089"/>
      <c r="P65" s="1089"/>
      <c r="Q65" s="1089"/>
      <c r="R65" s="1089"/>
      <c r="S65" s="1906"/>
    </row>
    <row r="66" spans="2:20" ht="12" customHeight="1" x14ac:dyDescent="0.2">
      <c r="B66" s="1088"/>
      <c r="C66" s="1089" t="s">
        <v>4538</v>
      </c>
      <c r="D66" s="1089"/>
      <c r="E66" s="1089"/>
      <c r="F66" s="1928"/>
      <c r="G66" s="1928"/>
      <c r="H66" s="1928"/>
      <c r="I66" s="1928"/>
      <c r="J66" s="1928"/>
      <c r="K66" s="1928"/>
      <c r="L66" s="1928"/>
      <c r="M66" s="1089"/>
      <c r="N66" s="1089"/>
      <c r="O66" s="1089"/>
      <c r="P66" s="1089"/>
      <c r="Q66" s="1089"/>
      <c r="R66" s="1089"/>
      <c r="S66" s="1906"/>
    </row>
    <row r="67" spans="2:20" ht="6" customHeight="1" x14ac:dyDescent="0.2">
      <c r="B67" s="1088"/>
      <c r="D67" s="1089"/>
      <c r="E67" s="1089"/>
      <c r="F67" s="1928"/>
      <c r="G67" s="1928"/>
      <c r="H67" s="1928"/>
      <c r="I67" s="1928"/>
      <c r="J67" s="1928"/>
      <c r="K67" s="1928"/>
      <c r="L67" s="1928"/>
      <c r="M67" s="1089"/>
      <c r="N67" s="1089"/>
      <c r="O67" s="1089"/>
      <c r="P67" s="1089"/>
      <c r="Q67" s="1089"/>
      <c r="R67" s="1089"/>
      <c r="S67" s="1906"/>
    </row>
    <row r="68" spans="2:20" ht="12" customHeight="1" x14ac:dyDescent="0.2">
      <c r="B68" s="1088"/>
      <c r="C68" s="1089" t="s">
        <v>4539</v>
      </c>
      <c r="D68" s="1089"/>
      <c r="E68" s="1089"/>
      <c r="F68" s="1928"/>
      <c r="G68" s="1928"/>
      <c r="H68" s="1928"/>
      <c r="I68" s="1928"/>
      <c r="J68" s="1928"/>
      <c r="K68" s="1928"/>
      <c r="L68" s="1928"/>
      <c r="M68" s="1089"/>
      <c r="N68" s="1089"/>
      <c r="O68" s="1089"/>
      <c r="P68" s="1089"/>
      <c r="Q68" s="1089"/>
      <c r="R68" s="1089"/>
      <c r="S68" s="1906"/>
    </row>
    <row r="69" spans="2:20" ht="15.75" customHeight="1" x14ac:dyDescent="0.2">
      <c r="B69" s="1089"/>
      <c r="C69" s="1907" t="s">
        <v>4510</v>
      </c>
      <c r="D69" s="1089"/>
      <c r="E69" s="1908"/>
      <c r="F69" s="1089"/>
      <c r="G69" s="1912" t="s">
        <v>86</v>
      </c>
      <c r="H69" s="1914"/>
      <c r="I69" s="1918"/>
      <c r="J69" s="1914"/>
      <c r="K69" s="1912" t="s">
        <v>345</v>
      </c>
      <c r="L69" s="447"/>
      <c r="M69" s="1933"/>
      <c r="N69" s="1089"/>
      <c r="O69" s="1089"/>
      <c r="P69" s="1089"/>
      <c r="Q69" s="1089"/>
      <c r="R69" s="1089"/>
      <c r="S69" s="1906"/>
      <c r="T69" s="1443" t="str">
        <f>IF(AND(ISBLANK($E$69),ISBLANK($I$69),ISBLANK($M$69))=TRUE,"Answer Missing"," ")</f>
        <v>Answer Missing</v>
      </c>
    </row>
    <row r="70" spans="2:20" ht="6" customHeight="1" x14ac:dyDescent="0.2">
      <c r="B70" s="1089"/>
      <c r="C70" s="1907"/>
      <c r="D70" s="1089"/>
      <c r="E70" s="1089"/>
      <c r="F70" s="1089"/>
      <c r="G70" s="1912"/>
      <c r="H70" s="1914"/>
      <c r="I70" s="447"/>
      <c r="J70" s="1914"/>
      <c r="K70" s="447"/>
      <c r="L70" s="447"/>
      <c r="M70" s="1089"/>
      <c r="N70" s="1089"/>
      <c r="O70" s="1089"/>
      <c r="P70" s="1089"/>
      <c r="Q70" s="1089"/>
      <c r="R70" s="1089"/>
      <c r="S70" s="1906"/>
    </row>
    <row r="71" spans="2:20" ht="12" customHeight="1" x14ac:dyDescent="0.2">
      <c r="B71" s="1089"/>
      <c r="C71" s="1910" t="s">
        <v>4540</v>
      </c>
      <c r="D71" s="1089"/>
      <c r="E71" s="1089"/>
      <c r="F71" s="1089"/>
      <c r="G71" s="1912"/>
      <c r="H71" s="1914"/>
      <c r="I71" s="447"/>
      <c r="J71" s="1914"/>
      <c r="K71" s="447"/>
      <c r="L71" s="447"/>
      <c r="M71" s="1089"/>
      <c r="N71" s="1089"/>
      <c r="O71" s="1089"/>
      <c r="P71" s="1089"/>
      <c r="Q71" s="1089"/>
      <c r="R71" s="1089"/>
      <c r="S71" s="1906"/>
    </row>
    <row r="72" spans="2:20" ht="12" customHeight="1" x14ac:dyDescent="0.2">
      <c r="B72" s="1089"/>
      <c r="C72" s="2789"/>
      <c r="D72" s="2789"/>
      <c r="E72" s="2789"/>
      <c r="F72" s="2789"/>
      <c r="G72" s="2789"/>
      <c r="H72" s="2789"/>
      <c r="I72" s="2789"/>
      <c r="J72" s="2789"/>
      <c r="K72" s="2789"/>
      <c r="L72" s="2789"/>
      <c r="M72" s="2789"/>
      <c r="N72" s="2789"/>
      <c r="O72" s="2789"/>
      <c r="P72" s="2789"/>
      <c r="Q72" s="2789"/>
      <c r="R72" s="1089"/>
      <c r="S72" s="1906"/>
      <c r="T72" s="1444" t="str">
        <f>IF(ISTEXT(I69),"Response for No needed"," ")</f>
        <v xml:space="preserve"> </v>
      </c>
    </row>
    <row r="73" spans="2:20" ht="12" customHeight="1" x14ac:dyDescent="0.2">
      <c r="B73" s="1089"/>
      <c r="C73" s="1922"/>
      <c r="D73" s="1922"/>
      <c r="E73" s="1922"/>
      <c r="F73" s="1922"/>
      <c r="G73" s="1936"/>
      <c r="H73" s="1925"/>
      <c r="I73" s="1936"/>
      <c r="J73" s="1925"/>
      <c r="K73" s="1922"/>
      <c r="L73" s="1922"/>
      <c r="M73" s="1922"/>
      <c r="N73" s="1922"/>
      <c r="O73" s="1922"/>
      <c r="P73" s="1922"/>
      <c r="Q73" s="1922"/>
      <c r="R73" s="1089"/>
      <c r="S73" s="1906"/>
    </row>
    <row r="74" spans="2:20" ht="12" customHeight="1" x14ac:dyDescent="0.2">
      <c r="B74" s="1089"/>
      <c r="C74" s="1910"/>
      <c r="D74" s="1910"/>
      <c r="E74" s="1910"/>
      <c r="F74" s="1089"/>
      <c r="G74" s="1907"/>
      <c r="H74" s="1089"/>
      <c r="I74" s="1089"/>
      <c r="J74" s="1089"/>
      <c r="K74" s="1089"/>
      <c r="L74" s="1089"/>
      <c r="M74" s="1089"/>
      <c r="N74" s="1089"/>
      <c r="O74" s="1089"/>
      <c r="P74" s="1089"/>
      <c r="Q74" s="1089"/>
      <c r="R74" s="1089"/>
      <c r="S74" s="1906"/>
    </row>
    <row r="75" spans="2:20" ht="6" customHeight="1" x14ac:dyDescent="0.2">
      <c r="B75" s="1089"/>
      <c r="C75" s="1089"/>
      <c r="D75" s="1089"/>
      <c r="E75" s="1089"/>
      <c r="F75" s="1089"/>
      <c r="G75" s="1089"/>
      <c r="H75" s="1089"/>
      <c r="I75" s="1089"/>
      <c r="J75" s="1089"/>
      <c r="K75" s="1089"/>
      <c r="L75" s="1089"/>
      <c r="M75" s="1089"/>
      <c r="N75" s="1089"/>
      <c r="O75" s="1089"/>
      <c r="P75" s="1089"/>
      <c r="Q75" s="1089"/>
      <c r="R75" s="1089"/>
    </row>
    <row r="76" spans="2:20" ht="12" customHeight="1" x14ac:dyDescent="0.2">
      <c r="B76" s="1089"/>
      <c r="C76" s="1089"/>
      <c r="D76" s="1089"/>
      <c r="E76" s="1089"/>
      <c r="F76" s="1089"/>
      <c r="G76" s="1089"/>
      <c r="H76" s="1914"/>
      <c r="I76" s="1935"/>
      <c r="J76" s="1914"/>
      <c r="K76" s="1935"/>
      <c r="L76" s="1935"/>
      <c r="M76" s="1089"/>
      <c r="N76" s="1089"/>
      <c r="O76" s="1089"/>
      <c r="P76" s="1089"/>
      <c r="Q76" s="1089"/>
      <c r="R76" s="1089"/>
    </row>
    <row r="77" spans="2:20" ht="12" customHeight="1" x14ac:dyDescent="0.2">
      <c r="B77" s="1089"/>
      <c r="C77" s="1089"/>
      <c r="D77" s="1089"/>
      <c r="E77" s="1089"/>
      <c r="F77" s="1089"/>
      <c r="G77" s="1089"/>
      <c r="H77" s="1089"/>
      <c r="I77" s="1089"/>
      <c r="J77" s="1089"/>
      <c r="K77" s="1089"/>
      <c r="L77" s="1089"/>
      <c r="M77" s="1089"/>
      <c r="N77" s="1089"/>
      <c r="O77" s="1089"/>
      <c r="P77" s="1089"/>
      <c r="Q77" s="1089"/>
      <c r="R77" s="1089"/>
    </row>
    <row r="78" spans="2:20" ht="12" customHeight="1" x14ac:dyDescent="0.2">
      <c r="B78" s="1089"/>
      <c r="C78" s="1928"/>
      <c r="D78" s="1928"/>
      <c r="E78" s="1928"/>
      <c r="F78" s="1928"/>
      <c r="G78" s="1928"/>
      <c r="H78" s="1928"/>
      <c r="I78" s="1928"/>
      <c r="J78" s="1928"/>
      <c r="K78" s="1928"/>
      <c r="L78" s="1928"/>
      <c r="M78" s="1089"/>
      <c r="N78" s="1089"/>
      <c r="O78" s="1089"/>
      <c r="P78" s="1089"/>
      <c r="Q78" s="1089"/>
      <c r="R78" s="1089"/>
    </row>
    <row r="79" spans="2:20" ht="12" customHeight="1" x14ac:dyDescent="0.2">
      <c r="B79" s="1089"/>
      <c r="C79" s="1928"/>
      <c r="D79" s="1928"/>
      <c r="E79" s="1928"/>
      <c r="F79" s="1928"/>
      <c r="G79" s="1928"/>
      <c r="H79" s="1928"/>
      <c r="I79" s="1928"/>
      <c r="J79" s="1928"/>
      <c r="K79" s="1928"/>
      <c r="L79" s="1928"/>
      <c r="M79" s="1089"/>
      <c r="N79" s="1089"/>
      <c r="O79" s="1089"/>
      <c r="P79" s="1089"/>
      <c r="Q79" s="1089"/>
      <c r="R79" s="1089"/>
    </row>
    <row r="80" spans="2:20" ht="8.1" customHeight="1" x14ac:dyDescent="0.2">
      <c r="B80" s="1089"/>
      <c r="C80" s="1089"/>
      <c r="D80" s="1089"/>
      <c r="E80" s="1089"/>
      <c r="F80" s="1089"/>
      <c r="G80" s="1089"/>
      <c r="H80" s="1089"/>
      <c r="I80" s="1089"/>
      <c r="J80" s="1089"/>
      <c r="K80" s="1089"/>
      <c r="L80" s="1089"/>
      <c r="M80" s="1089"/>
      <c r="N80" s="1089"/>
      <c r="O80" s="1089"/>
      <c r="P80" s="1089"/>
      <c r="Q80" s="1089"/>
      <c r="R80" s="1089"/>
    </row>
    <row r="81" spans="1:18" ht="12" customHeight="1" x14ac:dyDescent="0.2">
      <c r="C81" s="1089"/>
      <c r="D81" s="1089"/>
      <c r="E81" s="1089"/>
      <c r="F81" s="1089"/>
      <c r="G81" s="1089"/>
      <c r="H81" s="1089"/>
      <c r="I81" s="1089"/>
      <c r="J81" s="1089"/>
      <c r="K81" s="1089"/>
      <c r="L81" s="1089"/>
      <c r="M81" s="1089"/>
      <c r="N81" s="1089"/>
      <c r="O81" s="1089"/>
      <c r="P81" s="1089"/>
      <c r="Q81" s="1089"/>
      <c r="R81" s="1089"/>
    </row>
    <row r="82" spans="1:18" ht="12" customHeight="1" x14ac:dyDescent="0.2">
      <c r="B82" s="1089"/>
      <c r="C82" s="1089"/>
      <c r="D82" s="1089"/>
      <c r="E82" s="1089"/>
      <c r="F82" s="1089"/>
      <c r="G82" s="1089"/>
      <c r="H82" s="1089"/>
      <c r="I82" s="1089"/>
      <c r="J82" s="1089"/>
      <c r="K82" s="1089"/>
      <c r="L82" s="1089"/>
      <c r="M82" s="1089"/>
      <c r="N82" s="1089"/>
      <c r="O82" s="1089"/>
      <c r="P82" s="1089"/>
      <c r="Q82" s="1089"/>
      <c r="R82" s="1089"/>
    </row>
    <row r="83" spans="1:18" ht="12" customHeight="1" x14ac:dyDescent="0.2">
      <c r="B83" s="1089"/>
      <c r="C83" s="1089"/>
      <c r="D83" s="1089"/>
      <c r="E83" s="1089"/>
      <c r="F83" s="1089"/>
      <c r="G83" s="1089"/>
      <c r="H83" s="1089"/>
      <c r="I83" s="1089"/>
      <c r="J83" s="1089"/>
      <c r="K83" s="1089"/>
      <c r="L83" s="1089"/>
      <c r="M83" s="1089"/>
      <c r="N83" s="1089"/>
      <c r="O83" s="1089"/>
      <c r="P83" s="1089"/>
      <c r="Q83" s="1089"/>
      <c r="R83" s="1089"/>
    </row>
    <row r="84" spans="1:18" ht="12" customHeight="1" x14ac:dyDescent="0.2">
      <c r="B84" s="1089"/>
      <c r="C84" s="1089"/>
      <c r="D84" s="1089"/>
      <c r="E84" s="1089"/>
      <c r="F84" s="1089"/>
      <c r="G84" s="1089"/>
      <c r="H84" s="1914"/>
      <c r="I84" s="1935"/>
      <c r="J84" s="1914"/>
      <c r="K84" s="1492"/>
      <c r="L84" s="1492"/>
      <c r="M84" s="1089"/>
      <c r="N84" s="1089"/>
      <c r="O84" s="1089"/>
      <c r="P84" s="1089"/>
      <c r="Q84" s="1089"/>
      <c r="R84" s="1089"/>
    </row>
    <row r="85" spans="1:18" ht="12" customHeight="1" x14ac:dyDescent="0.2">
      <c r="B85" s="1089"/>
      <c r="C85" s="1089"/>
      <c r="D85" s="1089"/>
      <c r="E85" s="1089"/>
      <c r="F85" s="1934"/>
      <c r="G85" s="1492"/>
      <c r="H85" s="1914"/>
      <c r="I85" s="1935"/>
      <c r="J85" s="1914"/>
      <c r="K85" s="1492"/>
      <c r="L85" s="1492"/>
      <c r="M85" s="1089"/>
      <c r="N85" s="1089"/>
      <c r="O85" s="1089"/>
      <c r="P85" s="1089"/>
      <c r="Q85" s="1089"/>
      <c r="R85" s="1089"/>
    </row>
    <row r="86" spans="1:18" ht="8.1" customHeight="1" x14ac:dyDescent="0.2">
      <c r="C86" s="1089"/>
      <c r="D86" s="1089"/>
      <c r="E86" s="1089"/>
      <c r="F86" s="1089"/>
      <c r="G86" s="1089"/>
      <c r="H86" s="1089"/>
      <c r="I86" s="1089"/>
      <c r="J86" s="1089"/>
      <c r="K86" s="1089"/>
      <c r="L86" s="1089"/>
      <c r="M86" s="1089"/>
      <c r="N86" s="1089"/>
      <c r="O86" s="1089"/>
      <c r="P86" s="1089"/>
      <c r="Q86" s="1089"/>
      <c r="R86" s="1089"/>
    </row>
    <row r="87" spans="1:18" ht="12" customHeight="1" x14ac:dyDescent="0.2">
      <c r="B87" s="1088"/>
      <c r="C87" s="1089"/>
      <c r="D87" s="1089"/>
      <c r="E87" s="1089"/>
      <c r="F87" s="1089"/>
      <c r="G87" s="1089"/>
      <c r="H87" s="1089"/>
      <c r="I87" s="1089"/>
      <c r="J87" s="1089"/>
      <c r="K87" s="1089"/>
      <c r="L87" s="1089"/>
      <c r="M87" s="1089"/>
      <c r="N87" s="1089"/>
      <c r="O87" s="1089"/>
      <c r="P87" s="1089"/>
      <c r="Q87" s="1089"/>
      <c r="R87" s="1089"/>
    </row>
    <row r="88" spans="1:18" x14ac:dyDescent="0.2">
      <c r="C88" s="1089"/>
      <c r="D88" s="1089"/>
      <c r="E88" s="1089"/>
      <c r="F88" s="1089"/>
      <c r="G88" s="1089"/>
      <c r="H88" s="1914"/>
      <c r="I88" s="1935"/>
      <c r="J88" s="1914"/>
      <c r="K88" s="1492"/>
      <c r="L88" s="1492"/>
      <c r="M88" s="1089"/>
      <c r="N88" s="1089"/>
      <c r="O88" s="1089"/>
      <c r="P88" s="1089"/>
      <c r="Q88" s="1089"/>
      <c r="R88" s="1089"/>
    </row>
    <row r="89" spans="1:18" x14ac:dyDescent="0.2">
      <c r="C89" s="1089"/>
      <c r="D89" s="1089"/>
      <c r="E89" s="1089"/>
      <c r="F89" s="1089"/>
      <c r="G89" s="1089"/>
      <c r="H89" s="1914"/>
      <c r="I89" s="1935"/>
      <c r="J89" s="1914"/>
      <c r="K89" s="1492"/>
      <c r="L89" s="1492"/>
      <c r="M89" s="1089"/>
      <c r="N89" s="1089"/>
      <c r="O89" s="1089"/>
      <c r="P89" s="1089"/>
      <c r="Q89" s="1089"/>
      <c r="R89" s="1089"/>
    </row>
    <row r="90" spans="1:18" ht="16.5" customHeight="1" x14ac:dyDescent="0.2">
      <c r="C90" s="1089"/>
      <c r="D90" s="1089"/>
      <c r="E90" s="1089"/>
      <c r="F90" s="1928"/>
      <c r="G90" s="1928"/>
      <c r="H90" s="1928"/>
      <c r="I90" s="1928"/>
      <c r="J90" s="1928"/>
      <c r="K90" s="1928"/>
      <c r="L90" s="1928"/>
      <c r="M90" s="1089"/>
      <c r="N90" s="1089"/>
      <c r="O90" s="1089"/>
      <c r="P90" s="1089"/>
      <c r="Q90" s="1089"/>
      <c r="R90" s="1089"/>
    </row>
    <row r="91" spans="1:18" x14ac:dyDescent="0.2">
      <c r="C91" s="1089"/>
      <c r="D91" s="1089"/>
      <c r="E91" s="1089"/>
      <c r="F91" s="1089"/>
      <c r="G91" s="1089"/>
      <c r="H91" s="1089"/>
      <c r="I91" s="1089"/>
      <c r="J91" s="1089"/>
      <c r="K91" s="1089"/>
      <c r="L91" s="1089"/>
      <c r="M91" s="1089"/>
      <c r="N91" s="1089"/>
      <c r="O91" s="1089"/>
      <c r="P91" s="1089"/>
      <c r="Q91" s="1089"/>
      <c r="R91" s="1089"/>
    </row>
    <row r="92" spans="1:18" x14ac:dyDescent="0.2">
      <c r="C92" s="1089"/>
      <c r="D92" s="1089"/>
      <c r="E92" s="1089"/>
      <c r="F92" s="1089"/>
      <c r="G92" s="1089"/>
      <c r="H92" s="1089"/>
      <c r="I92" s="1089"/>
      <c r="J92" s="1089"/>
      <c r="K92" s="1089"/>
      <c r="L92" s="1089"/>
      <c r="M92" s="1089"/>
      <c r="N92" s="1089"/>
      <c r="O92" s="1089"/>
      <c r="P92" s="1089"/>
      <c r="Q92" s="1089"/>
      <c r="R92" s="1089"/>
    </row>
    <row r="93" spans="1:18" x14ac:dyDescent="0.2">
      <c r="C93" s="1089"/>
      <c r="D93" s="1089"/>
      <c r="E93" s="1089"/>
      <c r="F93" s="1089"/>
      <c r="G93" s="1089"/>
      <c r="H93" s="1089"/>
      <c r="I93" s="1089"/>
      <c r="J93" s="1089"/>
      <c r="K93" s="1089"/>
      <c r="L93" s="1089"/>
      <c r="M93" s="1089"/>
      <c r="N93" s="1089"/>
      <c r="O93" s="1089"/>
      <c r="P93" s="1089"/>
      <c r="Q93" s="1089"/>
      <c r="R93" s="1089"/>
    </row>
    <row r="94" spans="1:18" x14ac:dyDescent="0.2">
      <c r="A94" s="1848" t="s">
        <v>4541</v>
      </c>
      <c r="B94" s="1848"/>
      <c r="O94" s="1089"/>
      <c r="P94" s="1089"/>
      <c r="Q94" s="1089"/>
      <c r="R94" s="1089"/>
    </row>
    <row r="95" spans="1:18" x14ac:dyDescent="0.2">
      <c r="A95" s="1848" t="s">
        <v>446</v>
      </c>
      <c r="B95" s="1848" t="s">
        <v>4128</v>
      </c>
    </row>
    <row r="96" spans="1:18" x14ac:dyDescent="0.2">
      <c r="A96" s="1848" t="s">
        <v>447</v>
      </c>
      <c r="B96" s="1848" t="s">
        <v>4128</v>
      </c>
    </row>
    <row r="97" spans="1:2" x14ac:dyDescent="0.2">
      <c r="A97" s="1848" t="s">
        <v>448</v>
      </c>
      <c r="B97" s="1848" t="s">
        <v>4128</v>
      </c>
    </row>
    <row r="98" spans="1:2" x14ac:dyDescent="0.2">
      <c r="A98" s="1848" t="s">
        <v>450</v>
      </c>
      <c r="B98" s="1848" t="s">
        <v>4128</v>
      </c>
    </row>
    <row r="99" spans="1:2" x14ac:dyDescent="0.2">
      <c r="A99" s="1848" t="s">
        <v>451</v>
      </c>
      <c r="B99" s="1848" t="s">
        <v>4128</v>
      </c>
    </row>
    <row r="100" spans="1:2" x14ac:dyDescent="0.2">
      <c r="A100" s="1848" t="s">
        <v>452</v>
      </c>
      <c r="B100" s="1848" t="s">
        <v>4128</v>
      </c>
    </row>
    <row r="101" spans="1:2" x14ac:dyDescent="0.2">
      <c r="A101" s="1848" t="s">
        <v>453</v>
      </c>
      <c r="B101" s="1848" t="s">
        <v>4128</v>
      </c>
    </row>
    <row r="102" spans="1:2" x14ac:dyDescent="0.2">
      <c r="A102" s="1848" t="s">
        <v>454</v>
      </c>
      <c r="B102" s="1848" t="s">
        <v>4128</v>
      </c>
    </row>
    <row r="103" spans="1:2" x14ac:dyDescent="0.2">
      <c r="A103" s="1848" t="s">
        <v>455</v>
      </c>
      <c r="B103" s="1848" t="s">
        <v>4128</v>
      </c>
    </row>
    <row r="104" spans="1:2" x14ac:dyDescent="0.2">
      <c r="A104" s="1848" t="s">
        <v>456</v>
      </c>
      <c r="B104" s="1848" t="s">
        <v>4128</v>
      </c>
    </row>
  </sheetData>
  <sheetProtection algorithmName="SHA-512" hashValue="f94iQ5ruBAg6+pPwAA240JIwQoym5ndYBgQGHmS1c376Udcs2mCD8cwUs73jnrOtVkBDY8rf8Y+ylGZe8vt+JA==" saltValue="2GG7KAxX5BtI3/A5UvPF7g==" spinCount="100000" sheet="1" objects="1" scenarios="1" autoFilter="0"/>
  <mergeCells count="9">
    <mergeCell ref="G20:I20"/>
    <mergeCell ref="C47:R47"/>
    <mergeCell ref="C72:Q72"/>
    <mergeCell ref="E18:M18"/>
    <mergeCell ref="S1:S3"/>
    <mergeCell ref="O7:Q7"/>
    <mergeCell ref="O8:Q8"/>
    <mergeCell ref="O9:Q9"/>
    <mergeCell ref="O10:Q10"/>
  </mergeCells>
  <conditionalFormatting sqref="S1:T3">
    <cfRule type="cellIs" dxfId="168" priority="13" stopIfTrue="1" operator="equal">
      <formula>"na"</formula>
    </cfRule>
  </conditionalFormatting>
  <conditionalFormatting sqref="T28">
    <cfRule type="containsText" dxfId="167" priority="12" stopIfTrue="1" operator="containsText" text="Answer Missing">
      <formula>NOT(ISERROR(SEARCH("Answer Missing",T28)))</formula>
    </cfRule>
  </conditionalFormatting>
  <conditionalFormatting sqref="T14">
    <cfRule type="containsText" dxfId="166" priority="11" stopIfTrue="1" operator="containsText" text="Answer Missing">
      <formula>NOT(ISERROR(SEARCH("Answer Missing",T14)))</formula>
    </cfRule>
  </conditionalFormatting>
  <conditionalFormatting sqref="T44">
    <cfRule type="containsText" dxfId="165" priority="9" stopIfTrue="1" operator="containsText" text="Answer Missing">
      <formula>NOT(ISERROR(SEARCH("Answer Missing",T44)))</formula>
    </cfRule>
  </conditionalFormatting>
  <conditionalFormatting sqref="T57">
    <cfRule type="containsText" dxfId="164" priority="8" stopIfTrue="1" operator="containsText" text="Answer Missing">
      <formula>NOT(ISERROR(SEARCH("Answer Missing",T57)))</formula>
    </cfRule>
  </conditionalFormatting>
  <conditionalFormatting sqref="T49">
    <cfRule type="containsText" dxfId="163" priority="7" stopIfTrue="1" operator="containsText" text="Answer Missing">
      <formula>NOT(ISERROR(SEARCH("Answer Missing",T49)))</formula>
    </cfRule>
  </conditionalFormatting>
  <conditionalFormatting sqref="T69">
    <cfRule type="containsText" dxfId="162" priority="4" stopIfTrue="1" operator="containsText" text="Answer Missing">
      <formula>NOT(ISERROR(SEARCH("Answer Missing",T69)))</formula>
    </cfRule>
  </conditionalFormatting>
  <conditionalFormatting sqref="T23">
    <cfRule type="containsText" dxfId="161" priority="1" stopIfTrue="1" operator="containsText" text="Answer Missing">
      <formula>NOT(ISERROR(SEARCH("Answer Missing",T23)))</formula>
    </cfRule>
  </conditionalFormatting>
  <hyperlinks>
    <hyperlink ref="B1:K1" location="Index!A1" display="Index!A1" xr:uid="{32D944AE-01DD-4ED4-B58F-552F3BBB9C6A}"/>
  </hyperlinks>
  <pageMargins left="0.75" right="0.5" top="0.5" bottom="0.5" header="0.43" footer="0.25"/>
  <pageSetup scale="64" orientation="portrait" r:id="rId1"/>
  <headerFooter>
    <oddFooter>&amp;R202</oddFooter>
  </headerFooter>
  <ignoredErrors>
    <ignoredError sqref="M41 O34" unlockedFormula="1"/>
  </ignoredError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W169"/>
  <sheetViews>
    <sheetView zoomScaleNormal="100" workbookViewId="0">
      <selection sqref="A1:J1"/>
    </sheetView>
  </sheetViews>
  <sheetFormatPr defaultColWidth="9.42578125" defaultRowHeight="12.75" x14ac:dyDescent="0.2"/>
  <cols>
    <col min="1" max="1" width="3.5703125" style="675" customWidth="1"/>
    <col min="2" max="2" width="9.42578125" style="675"/>
    <col min="3" max="3" width="5.5703125" style="675" customWidth="1"/>
    <col min="4" max="4" width="8" style="675" customWidth="1"/>
    <col min="5" max="6" width="9.42578125" style="675"/>
    <col min="7" max="7" width="5.5703125" style="675" customWidth="1"/>
    <col min="8" max="8" width="1.5703125" style="675" customWidth="1"/>
    <col min="9" max="9" width="7.5703125" style="675" customWidth="1"/>
    <col min="10" max="10" width="22.5703125" style="397" customWidth="1"/>
    <col min="11" max="11" width="21.5703125" style="675" customWidth="1"/>
    <col min="12" max="16384" width="9.42578125" style="675"/>
  </cols>
  <sheetData>
    <row r="1" spans="2:23" ht="15.75" x14ac:dyDescent="0.25">
      <c r="B1" s="2767" t="str">
        <f>+Index!$A$1</f>
        <v xml:space="preserve">                                                               Office of the State Controller                                                                </v>
      </c>
      <c r="C1" s="2767"/>
      <c r="D1" s="2767"/>
      <c r="E1" s="2767"/>
      <c r="F1" s="2767"/>
      <c r="G1" s="2767"/>
      <c r="H1" s="2767"/>
      <c r="I1" s="2767"/>
      <c r="J1" s="2767"/>
      <c r="K1" s="3387" t="str">
        <f>IF(Index!$B$104="na","NA","")</f>
        <v/>
      </c>
      <c r="L1" s="674"/>
      <c r="M1" s="674"/>
      <c r="N1" s="674"/>
      <c r="O1" s="674"/>
      <c r="P1" s="674"/>
      <c r="Q1" s="674"/>
      <c r="R1" s="674"/>
      <c r="S1" s="674"/>
      <c r="T1" s="674"/>
      <c r="U1" s="674"/>
      <c r="V1" s="674"/>
    </row>
    <row r="2" spans="2:23" ht="16.5" x14ac:dyDescent="0.3">
      <c r="B2" s="2749" t="str">
        <f>+Index!$A$2</f>
        <v>2022 ACFR Worksheets</v>
      </c>
      <c r="C2" s="2749"/>
      <c r="D2" s="2749"/>
      <c r="E2" s="2749"/>
      <c r="F2" s="2749"/>
      <c r="G2" s="2749"/>
      <c r="H2" s="2749"/>
      <c r="I2" s="2749"/>
      <c r="J2" s="2749"/>
      <c r="K2" s="3387"/>
      <c r="L2" s="676"/>
      <c r="M2" s="676"/>
      <c r="N2" s="676"/>
      <c r="O2" s="677"/>
      <c r="P2" s="677"/>
      <c r="Q2" s="677"/>
      <c r="R2" s="677"/>
      <c r="S2" s="677"/>
      <c r="T2" s="677"/>
      <c r="U2" s="677"/>
      <c r="V2" s="677"/>
    </row>
    <row r="3" spans="2:23" ht="42.75" customHeight="1" x14ac:dyDescent="0.3">
      <c r="B3" s="3388" t="s">
        <v>3702</v>
      </c>
      <c r="C3" s="3388"/>
      <c r="D3" s="3388"/>
      <c r="E3" s="3388"/>
      <c r="F3" s="3388"/>
      <c r="G3" s="3388"/>
      <c r="H3" s="3388"/>
      <c r="I3" s="3388"/>
      <c r="J3" s="3388"/>
      <c r="K3" s="3387"/>
      <c r="L3" s="676"/>
      <c r="M3" s="676"/>
      <c r="N3" s="676"/>
      <c r="O3" s="677"/>
      <c r="P3" s="677"/>
      <c r="Q3" s="677"/>
      <c r="R3" s="677"/>
      <c r="S3" s="677"/>
      <c r="T3" s="677"/>
      <c r="U3" s="677"/>
      <c r="V3" s="677"/>
    </row>
    <row r="4" spans="2:23" x14ac:dyDescent="0.2">
      <c r="B4"/>
      <c r="C4"/>
      <c r="D4"/>
      <c r="E4"/>
      <c r="F4"/>
      <c r="G4"/>
      <c r="H4"/>
      <c r="I4"/>
      <c r="J4" s="393"/>
    </row>
    <row r="5" spans="2:23" s="678" customFormat="1" ht="15" customHeight="1" x14ac:dyDescent="0.2">
      <c r="B5" s="200" t="s">
        <v>327</v>
      </c>
      <c r="C5" s="200"/>
      <c r="D5" s="636" t="str">
        <f>+Index!$E$10</f>
        <v>01</v>
      </c>
      <c r="E5" s="635"/>
      <c r="F5" s="200" t="s">
        <v>972</v>
      </c>
      <c r="G5" s="200"/>
      <c r="H5" s="3311" t="str">
        <f>+CONCATENATE(Index!$E$12," ",Index!$E$14)</f>
        <v xml:space="preserve"> </v>
      </c>
      <c r="I5" s="3311"/>
      <c r="J5" s="3311"/>
      <c r="O5" s="679"/>
      <c r="W5" s="680"/>
    </row>
    <row r="6" spans="2:23" s="678" customFormat="1" ht="15" customHeight="1" x14ac:dyDescent="0.2">
      <c r="B6" s="200" t="s">
        <v>1154</v>
      </c>
      <c r="C6" s="200"/>
      <c r="D6" s="3326" t="str">
        <f>+Index!$E$11</f>
        <v>North Carolina General Assembly</v>
      </c>
      <c r="E6" s="3326"/>
      <c r="F6" s="3326"/>
      <c r="G6" s="3326"/>
      <c r="H6" s="200"/>
      <c r="I6" s="200"/>
      <c r="J6" s="200"/>
      <c r="O6" s="681"/>
      <c r="P6" s="681"/>
      <c r="Q6" s="681"/>
      <c r="R6" s="681"/>
      <c r="S6" s="681"/>
      <c r="T6" s="681"/>
      <c r="U6" s="681"/>
      <c r="V6" s="682"/>
      <c r="W6" s="680"/>
    </row>
    <row r="7" spans="2:23" s="678" customFormat="1" ht="15" customHeight="1" x14ac:dyDescent="0.2">
      <c r="B7" s="678" t="s">
        <v>477</v>
      </c>
      <c r="D7" s="1066" t="e">
        <f>INDEX(NetAssetsData,MATCH(PriorYr906!$D$5,NetAssetsDataRow,0),4)</f>
        <v>#N/A</v>
      </c>
      <c r="F7" s="813" t="s">
        <v>348</v>
      </c>
      <c r="G7" s="3320">
        <f>+Index!$E$13</f>
        <v>0</v>
      </c>
      <c r="H7" s="3320"/>
      <c r="I7" s="3320"/>
      <c r="J7" s="3320"/>
      <c r="W7" s="680"/>
    </row>
    <row r="8" spans="2:23" s="684" customFormat="1" ht="12" customHeight="1" thickBot="1" x14ac:dyDescent="0.25">
      <c r="B8" s="683"/>
      <c r="C8" s="683"/>
      <c r="D8" s="683"/>
      <c r="E8" s="683"/>
      <c r="F8" s="683"/>
      <c r="G8" s="683"/>
      <c r="H8" s="683"/>
      <c r="I8" s="683"/>
      <c r="J8" s="1251" t="str">
        <f>TEXT(Data!$A$4,"mmmm d,yyyy")</f>
        <v>June 30,2021</v>
      </c>
      <c r="K8" s="1251" t="str">
        <f>TEXT(Data!$A$4,"mmmm d,yyyy")</f>
        <v>June 30,2021</v>
      </c>
    </row>
    <row r="9" spans="2:23" ht="15.75" x14ac:dyDescent="0.25">
      <c r="B9" s="1293" t="s">
        <v>3848</v>
      </c>
      <c r="C9" s="1271"/>
      <c r="D9" s="1271"/>
      <c r="J9" s="1249" t="s">
        <v>1093</v>
      </c>
      <c r="K9" s="1249" t="s">
        <v>149</v>
      </c>
    </row>
    <row r="10" spans="2:23" ht="15.75" x14ac:dyDescent="0.25">
      <c r="B10" s="685" t="s">
        <v>303</v>
      </c>
      <c r="C10" s="686"/>
      <c r="D10" s="686"/>
      <c r="J10" s="1250" t="s">
        <v>148</v>
      </c>
      <c r="K10" s="1250" t="s">
        <v>1020</v>
      </c>
      <c r="L10" s="687"/>
      <c r="M10" s="687"/>
      <c r="N10" s="687"/>
    </row>
    <row r="11" spans="2:23" ht="21" customHeight="1" x14ac:dyDescent="0.2">
      <c r="B11" s="3348" t="s">
        <v>630</v>
      </c>
      <c r="C11" s="3348"/>
      <c r="D11" s="3348"/>
      <c r="E11" s="3348"/>
      <c r="F11" s="3348"/>
      <c r="G11" s="3348"/>
      <c r="H11" s="3348"/>
      <c r="I11" s="3348"/>
      <c r="J11" s="842">
        <v>0</v>
      </c>
      <c r="K11" s="842">
        <v>0</v>
      </c>
      <c r="L11" s="688"/>
      <c r="M11" s="688"/>
      <c r="N11" s="688"/>
    </row>
    <row r="12" spans="2:23" x14ac:dyDescent="0.2">
      <c r="B12" s="567" t="s">
        <v>483</v>
      </c>
      <c r="C12" s="819"/>
      <c r="D12"/>
      <c r="E12"/>
      <c r="F12"/>
      <c r="G12"/>
      <c r="H12"/>
      <c r="I12"/>
      <c r="J12" s="1259"/>
      <c r="K12" s="1259"/>
      <c r="L12" s="690"/>
      <c r="M12" s="690"/>
      <c r="N12" s="690"/>
    </row>
    <row r="13" spans="2:23" x14ac:dyDescent="0.2">
      <c r="B13" s="3348" t="s">
        <v>1219</v>
      </c>
      <c r="C13" s="3348"/>
      <c r="D13" s="3348"/>
      <c r="E13" s="3348"/>
      <c r="F13" s="3348"/>
      <c r="G13" s="3348"/>
      <c r="H13" s="3348"/>
      <c r="I13" s="3348"/>
      <c r="J13" s="393">
        <v>0</v>
      </c>
      <c r="K13" s="393">
        <v>0</v>
      </c>
      <c r="L13" s="690"/>
      <c r="M13" s="690"/>
      <c r="N13" s="690"/>
    </row>
    <row r="14" spans="2:23" x14ac:dyDescent="0.2">
      <c r="B14" s="3348" t="s">
        <v>1217</v>
      </c>
      <c r="C14" s="3348"/>
      <c r="D14" s="3348"/>
      <c r="E14" s="3348"/>
      <c r="F14" s="3348"/>
      <c r="G14" s="3348"/>
      <c r="H14" s="3348"/>
      <c r="I14" s="3348"/>
      <c r="J14" s="393">
        <v>0</v>
      </c>
      <c r="K14" s="393">
        <v>0</v>
      </c>
      <c r="L14" s="690"/>
      <c r="M14" s="690"/>
      <c r="N14" s="690"/>
    </row>
    <row r="15" spans="2:23" x14ac:dyDescent="0.2">
      <c r="B15" s="3348" t="s">
        <v>1218</v>
      </c>
      <c r="C15" s="3348"/>
      <c r="D15" s="3348"/>
      <c r="E15" s="3348"/>
      <c r="F15" s="3348"/>
      <c r="G15" s="3348"/>
      <c r="H15" s="3348"/>
      <c r="I15" s="3348"/>
      <c r="J15" s="393">
        <v>0</v>
      </c>
      <c r="K15" s="393">
        <v>0</v>
      </c>
      <c r="L15" s="690"/>
      <c r="M15" s="690"/>
      <c r="N15" s="690"/>
    </row>
    <row r="16" spans="2:23" x14ac:dyDescent="0.2">
      <c r="B16" s="3348" t="s">
        <v>1220</v>
      </c>
      <c r="C16" s="3348"/>
      <c r="D16" s="3348"/>
      <c r="E16" s="3348"/>
      <c r="F16" s="3348"/>
      <c r="G16" s="3348"/>
      <c r="H16" s="3348"/>
      <c r="I16" s="3348"/>
      <c r="J16" s="393">
        <v>0</v>
      </c>
      <c r="K16" s="393">
        <v>0</v>
      </c>
      <c r="L16" s="690"/>
      <c r="M16" s="690"/>
      <c r="N16" s="690"/>
    </row>
    <row r="17" spans="2:14" x14ac:dyDescent="0.2">
      <c r="B17" s="3348" t="s">
        <v>1215</v>
      </c>
      <c r="C17" s="3348"/>
      <c r="D17" s="3348"/>
      <c r="E17" s="3348"/>
      <c r="F17" s="3348"/>
      <c r="G17" s="3348"/>
      <c r="H17" s="3348"/>
      <c r="I17" s="3348"/>
      <c r="J17" s="393">
        <v>0</v>
      </c>
      <c r="K17" s="393">
        <v>0</v>
      </c>
      <c r="L17" s="691"/>
      <c r="M17" s="691"/>
      <c r="N17" s="691"/>
    </row>
    <row r="18" spans="2:14" x14ac:dyDescent="0.2">
      <c r="B18" s="3348" t="s">
        <v>1566</v>
      </c>
      <c r="C18" s="3348"/>
      <c r="D18" s="3348"/>
      <c r="E18" s="3348"/>
      <c r="F18" s="3348"/>
      <c r="G18" s="3348"/>
      <c r="H18" s="3348"/>
      <c r="I18" s="3348"/>
      <c r="J18" s="393">
        <v>0</v>
      </c>
      <c r="K18" s="393">
        <v>0</v>
      </c>
      <c r="L18" s="691"/>
      <c r="M18" s="691"/>
      <c r="N18" s="691"/>
    </row>
    <row r="19" spans="2:14" x14ac:dyDescent="0.2">
      <c r="B19" s="3348" t="s">
        <v>1216</v>
      </c>
      <c r="C19" s="3348"/>
      <c r="D19" s="3348"/>
      <c r="E19" s="3348"/>
      <c r="F19" s="3348"/>
      <c r="G19" s="3348"/>
      <c r="H19" s="3348"/>
      <c r="I19" s="3348"/>
      <c r="J19" s="393">
        <v>0</v>
      </c>
      <c r="K19" s="393">
        <v>0</v>
      </c>
      <c r="L19" s="691"/>
      <c r="M19" s="691"/>
      <c r="N19" s="691"/>
    </row>
    <row r="20" spans="2:14" x14ac:dyDescent="0.2">
      <c r="B20" s="3348" t="s">
        <v>492</v>
      </c>
      <c r="C20" s="3348"/>
      <c r="D20" s="3348"/>
      <c r="E20" s="3348"/>
      <c r="F20" s="3348"/>
      <c r="G20" s="3348"/>
      <c r="H20" s="3348"/>
      <c r="I20" s="3348"/>
      <c r="J20" s="393">
        <v>0</v>
      </c>
      <c r="K20" s="393">
        <v>0</v>
      </c>
      <c r="L20" s="691"/>
      <c r="M20" s="691"/>
      <c r="N20" s="691"/>
    </row>
    <row r="21" spans="2:14" x14ac:dyDescent="0.2">
      <c r="B21" s="3348" t="s">
        <v>487</v>
      </c>
      <c r="C21" s="3348"/>
      <c r="D21" s="3348"/>
      <c r="E21" s="3348"/>
      <c r="F21" s="3348"/>
      <c r="G21" s="3348"/>
      <c r="H21" s="3348"/>
      <c r="I21" s="3348"/>
      <c r="J21" s="393">
        <v>0</v>
      </c>
      <c r="K21" s="393">
        <v>0</v>
      </c>
      <c r="L21" s="691"/>
      <c r="M21" s="691"/>
      <c r="N21" s="691"/>
    </row>
    <row r="22" spans="2:14" x14ac:dyDescent="0.2">
      <c r="B22" s="3348" t="s">
        <v>491</v>
      </c>
      <c r="C22" s="3348"/>
      <c r="D22" s="3348"/>
      <c r="E22" s="3348"/>
      <c r="F22" s="3348"/>
      <c r="G22" s="3348"/>
      <c r="H22" s="3348"/>
      <c r="I22" s="3348"/>
      <c r="J22" s="393">
        <v>0</v>
      </c>
      <c r="K22" s="393">
        <v>0</v>
      </c>
      <c r="L22" s="691"/>
      <c r="M22" s="691"/>
      <c r="N22" s="691"/>
    </row>
    <row r="23" spans="2:14" x14ac:dyDescent="0.2">
      <c r="B23" s="3348" t="s">
        <v>495</v>
      </c>
      <c r="C23" s="3348"/>
      <c r="D23" s="3348"/>
      <c r="E23" s="3348"/>
      <c r="F23" s="3348"/>
      <c r="G23" s="3348"/>
      <c r="H23" s="3348"/>
      <c r="I23" s="3348"/>
      <c r="J23" s="393">
        <v>0</v>
      </c>
      <c r="K23" s="393">
        <v>0</v>
      </c>
      <c r="L23" s="692"/>
      <c r="M23" s="692"/>
      <c r="N23" s="692"/>
    </row>
    <row r="24" spans="2:14" x14ac:dyDescent="0.2">
      <c r="B24" s="3352" t="s">
        <v>1850</v>
      </c>
      <c r="C24" s="3348"/>
      <c r="D24" s="3348"/>
      <c r="E24" s="3348"/>
      <c r="F24" s="3348"/>
      <c r="G24" s="3348"/>
      <c r="H24" s="3348"/>
      <c r="I24" s="3348"/>
      <c r="J24" s="393">
        <v>7988892.4299999997</v>
      </c>
      <c r="K24" s="1288">
        <v>40136965.57</v>
      </c>
      <c r="L24" s="693"/>
      <c r="M24" s="693"/>
      <c r="N24" s="693"/>
    </row>
    <row r="25" spans="2:14" x14ac:dyDescent="0.2">
      <c r="B25" s="3348" t="s">
        <v>1681</v>
      </c>
      <c r="C25" s="3348"/>
      <c r="D25" s="3348"/>
      <c r="E25" s="3348"/>
      <c r="F25" s="3348"/>
      <c r="G25" s="3348"/>
      <c r="H25" s="3348"/>
      <c r="I25" s="3348"/>
      <c r="J25" s="393">
        <v>0</v>
      </c>
      <c r="K25" s="1288">
        <v>0</v>
      </c>
      <c r="L25" s="693"/>
      <c r="M25" s="693"/>
      <c r="N25" s="693"/>
    </row>
    <row r="26" spans="2:14" x14ac:dyDescent="0.2">
      <c r="B26" s="3348" t="s">
        <v>1691</v>
      </c>
      <c r="C26" s="3348"/>
      <c r="D26" s="3348"/>
      <c r="E26" s="3348"/>
      <c r="F26" s="3348"/>
      <c r="G26" s="3348"/>
      <c r="H26" s="3348"/>
      <c r="I26" s="3348"/>
      <c r="J26" s="393">
        <v>40639376.659999996</v>
      </c>
      <c r="K26" s="1288">
        <v>204176145.34999999</v>
      </c>
      <c r="L26" s="693"/>
      <c r="M26" s="693"/>
      <c r="N26" s="693"/>
    </row>
    <row r="27" spans="2:14" x14ac:dyDescent="0.2">
      <c r="B27" s="3348" t="s">
        <v>1692</v>
      </c>
      <c r="C27" s="3348"/>
      <c r="D27" s="3348"/>
      <c r="E27" s="3348"/>
      <c r="F27" s="3348"/>
      <c r="G27" s="3348"/>
      <c r="H27" s="3348"/>
      <c r="I27" s="3348"/>
      <c r="J27" s="393">
        <v>343463706.67000002</v>
      </c>
      <c r="K27" s="1288">
        <v>1725594767.3099999</v>
      </c>
      <c r="L27" s="693"/>
      <c r="M27" s="693"/>
      <c r="N27" s="693"/>
    </row>
    <row r="28" spans="2:14" x14ac:dyDescent="0.2">
      <c r="B28" s="3348" t="s">
        <v>1401</v>
      </c>
      <c r="C28" s="3348"/>
      <c r="D28" s="3348"/>
      <c r="E28" s="3348"/>
      <c r="F28" s="3348"/>
      <c r="G28" s="3348"/>
      <c r="H28" s="3348"/>
      <c r="I28" s="3348"/>
      <c r="J28" s="393">
        <v>1381533393.1400001</v>
      </c>
      <c r="K28" s="1288">
        <v>10839205191.65</v>
      </c>
      <c r="L28" s="693"/>
      <c r="M28" s="693"/>
      <c r="N28" s="693"/>
    </row>
    <row r="29" spans="2:14" x14ac:dyDescent="0.2">
      <c r="B29" s="3348" t="s">
        <v>1403</v>
      </c>
      <c r="C29" s="3348"/>
      <c r="D29" s="3348"/>
      <c r="E29" s="3348"/>
      <c r="F29" s="3348"/>
      <c r="G29" s="3348"/>
      <c r="H29" s="3348"/>
      <c r="I29" s="3348"/>
      <c r="J29" s="393">
        <v>0</v>
      </c>
      <c r="K29" s="1288">
        <v>0</v>
      </c>
      <c r="L29" s="693"/>
      <c r="M29" s="693"/>
      <c r="N29" s="693"/>
    </row>
    <row r="30" spans="2:14" x14ac:dyDescent="0.2">
      <c r="B30" s="819" t="s">
        <v>198</v>
      </c>
      <c r="C30" s="819"/>
      <c r="D30"/>
      <c r="E30"/>
      <c r="F30"/>
      <c r="G30"/>
      <c r="H30"/>
      <c r="I30"/>
      <c r="J30"/>
      <c r="K30" s="1890"/>
      <c r="L30" s="693"/>
      <c r="M30" s="693"/>
      <c r="N30" s="693"/>
    </row>
    <row r="31" spans="2:14" x14ac:dyDescent="0.2">
      <c r="B31" s="3348" t="s">
        <v>829</v>
      </c>
      <c r="C31" s="3348"/>
      <c r="D31" s="3348"/>
      <c r="E31" s="3348"/>
      <c r="F31" s="3348"/>
      <c r="G31" s="3348"/>
      <c r="H31" s="3348"/>
      <c r="I31" s="3348"/>
      <c r="J31" s="393">
        <v>86.19</v>
      </c>
      <c r="K31" s="1288">
        <v>3854.11</v>
      </c>
      <c r="L31" s="693"/>
      <c r="M31" s="693"/>
      <c r="N31" s="693"/>
    </row>
    <row r="32" spans="2:14" x14ac:dyDescent="0.2">
      <c r="B32" s="3348" t="s">
        <v>830</v>
      </c>
      <c r="C32" s="3348"/>
      <c r="D32" s="3348"/>
      <c r="E32" s="3348"/>
      <c r="F32" s="3348"/>
      <c r="G32" s="3348"/>
      <c r="H32" s="3348"/>
      <c r="I32" s="3348"/>
      <c r="J32" s="393">
        <v>0</v>
      </c>
      <c r="K32" s="1288">
        <v>0</v>
      </c>
      <c r="L32" s="691"/>
      <c r="M32" s="691"/>
      <c r="N32" s="691"/>
    </row>
    <row r="33" spans="2:14" x14ac:dyDescent="0.2">
      <c r="B33" s="3348" t="s">
        <v>831</v>
      </c>
      <c r="C33" s="3348"/>
      <c r="D33" s="3348"/>
      <c r="E33" s="3348"/>
      <c r="F33" s="3348"/>
      <c r="G33" s="3348"/>
      <c r="H33" s="3348"/>
      <c r="I33" s="3348"/>
      <c r="J33" s="393">
        <v>1061351.3999999999</v>
      </c>
      <c r="K33" s="1288">
        <v>9805776.3100000005</v>
      </c>
      <c r="L33" s="691"/>
      <c r="M33" s="691"/>
      <c r="N33" s="691"/>
    </row>
    <row r="34" spans="2:14" x14ac:dyDescent="0.2">
      <c r="B34" s="3348" t="s">
        <v>549</v>
      </c>
      <c r="C34" s="3348"/>
      <c r="D34" s="3348"/>
      <c r="E34" s="3348"/>
      <c r="F34" s="3348"/>
      <c r="G34" s="3348"/>
      <c r="H34" s="3348"/>
      <c r="I34" s="3348"/>
      <c r="J34" s="393">
        <v>21588810.329999998</v>
      </c>
      <c r="K34" s="1288">
        <v>277902600.38999999</v>
      </c>
      <c r="L34" s="691"/>
      <c r="M34" s="691"/>
      <c r="N34" s="691"/>
    </row>
    <row r="35" spans="2:14" x14ac:dyDescent="0.2">
      <c r="B35" s="3348" t="s">
        <v>931</v>
      </c>
      <c r="C35" s="3348"/>
      <c r="D35" s="3348"/>
      <c r="E35" s="3348"/>
      <c r="F35" s="3348"/>
      <c r="G35" s="3348"/>
      <c r="H35" s="3348"/>
      <c r="I35" s="3348"/>
      <c r="J35" s="393">
        <v>0</v>
      </c>
      <c r="K35" s="393"/>
      <c r="L35" s="691"/>
      <c r="M35" s="691"/>
      <c r="N35" s="691"/>
    </row>
    <row r="36" spans="2:14" x14ac:dyDescent="0.2">
      <c r="B36" s="3348" t="s">
        <v>1095</v>
      </c>
      <c r="C36" s="3348"/>
      <c r="D36" s="3348"/>
      <c r="E36" s="3348"/>
      <c r="F36" s="3348"/>
      <c r="G36" s="3348"/>
      <c r="H36" s="3348"/>
      <c r="I36" s="3348"/>
      <c r="J36" s="393">
        <v>0</v>
      </c>
      <c r="K36" s="393">
        <v>0</v>
      </c>
      <c r="L36" s="691"/>
      <c r="M36" s="691"/>
      <c r="N36" s="691"/>
    </row>
    <row r="37" spans="2:14" x14ac:dyDescent="0.2">
      <c r="B37" s="3348" t="s">
        <v>484</v>
      </c>
      <c r="C37" s="3348"/>
      <c r="D37" s="3348"/>
      <c r="E37" s="3348"/>
      <c r="F37" s="3348"/>
      <c r="G37" s="3348"/>
      <c r="H37" s="3348"/>
      <c r="I37" s="3348"/>
      <c r="J37" s="393">
        <v>0</v>
      </c>
      <c r="K37" s="393">
        <v>0</v>
      </c>
      <c r="L37" s="691"/>
      <c r="M37" s="691"/>
      <c r="N37" s="691"/>
    </row>
    <row r="38" spans="2:14" x14ac:dyDescent="0.2">
      <c r="B38" s="3348" t="s">
        <v>485</v>
      </c>
      <c r="C38" s="3348"/>
      <c r="D38" s="3348"/>
      <c r="E38" s="3348"/>
      <c r="F38" s="3348"/>
      <c r="G38" s="3348"/>
      <c r="H38" s="3348"/>
      <c r="I38" s="3348"/>
      <c r="J38" s="843">
        <v>0</v>
      </c>
      <c r="K38" s="843">
        <v>0</v>
      </c>
      <c r="L38" s="692"/>
      <c r="M38" s="692"/>
      <c r="N38" s="692"/>
    </row>
    <row r="39" spans="2:14" x14ac:dyDescent="0.2">
      <c r="B39" s="3390" t="s">
        <v>272</v>
      </c>
      <c r="C39" s="3390"/>
      <c r="D39" s="3390"/>
      <c r="E39" s="3390"/>
      <c r="F39" s="3390"/>
      <c r="G39" s="3390"/>
      <c r="H39" s="3390"/>
      <c r="I39" s="3390"/>
      <c r="J39" s="706">
        <f>SUM(J10:J38)</f>
        <v>1796275616.8199999</v>
      </c>
      <c r="K39" s="706">
        <f>SUM(K10:K38)</f>
        <v>13096825300.690001</v>
      </c>
      <c r="L39" s="688"/>
      <c r="M39" s="688"/>
      <c r="N39" s="688"/>
    </row>
    <row r="40" spans="2:14" x14ac:dyDescent="0.2">
      <c r="B40" s="694"/>
      <c r="C40" s="686"/>
      <c r="J40" s="1260"/>
      <c r="K40" s="1260"/>
      <c r="L40" s="690"/>
      <c r="M40" s="690"/>
      <c r="N40" s="690"/>
    </row>
    <row r="41" spans="2:14" x14ac:dyDescent="0.2">
      <c r="B41" s="685" t="s">
        <v>486</v>
      </c>
      <c r="C41" s="686"/>
      <c r="J41" s="1260"/>
      <c r="K41" s="1260"/>
      <c r="L41" s="690"/>
      <c r="M41" s="690"/>
      <c r="N41" s="690"/>
    </row>
    <row r="42" spans="2:14" x14ac:dyDescent="0.2">
      <c r="B42" s="696" t="s">
        <v>275</v>
      </c>
      <c r="C42" s="686"/>
      <c r="J42" s="1260"/>
      <c r="K42" s="1260"/>
      <c r="L42" s="690"/>
      <c r="M42" s="690"/>
      <c r="N42" s="690"/>
    </row>
    <row r="43" spans="2:14" x14ac:dyDescent="0.2">
      <c r="B43" s="3391" t="s">
        <v>1060</v>
      </c>
      <c r="C43" s="3391"/>
      <c r="D43" s="3391"/>
      <c r="E43" s="3391"/>
      <c r="F43" s="3391"/>
      <c r="G43" s="3391"/>
      <c r="H43" s="3391"/>
      <c r="I43" s="3391"/>
      <c r="J43" s="393">
        <v>248343.51</v>
      </c>
      <c r="K43" s="393">
        <v>1247701.68</v>
      </c>
      <c r="L43" s="690"/>
      <c r="M43" s="690"/>
      <c r="N43" s="690"/>
    </row>
    <row r="44" spans="2:14" x14ac:dyDescent="0.2">
      <c r="B44" s="3391" t="s">
        <v>816</v>
      </c>
      <c r="C44" s="3391"/>
      <c r="D44" s="3391"/>
      <c r="E44" s="3391"/>
      <c r="F44" s="3391"/>
      <c r="G44" s="3391"/>
      <c r="H44" s="3391"/>
      <c r="I44" s="3391"/>
      <c r="J44" s="393">
        <v>0</v>
      </c>
      <c r="K44" s="393">
        <v>0</v>
      </c>
    </row>
    <row r="45" spans="2:14" x14ac:dyDescent="0.2">
      <c r="B45" s="3391" t="s">
        <v>1078</v>
      </c>
      <c r="C45" s="3391"/>
      <c r="D45" s="3391"/>
      <c r="E45" s="3391"/>
      <c r="F45" s="3391"/>
      <c r="G45" s="3391"/>
      <c r="H45" s="3391"/>
      <c r="I45" s="3391"/>
      <c r="J45" s="393">
        <v>0</v>
      </c>
      <c r="K45" s="393">
        <v>0</v>
      </c>
      <c r="L45" s="690"/>
      <c r="M45" s="690"/>
      <c r="N45" s="690"/>
    </row>
    <row r="46" spans="2:14" x14ac:dyDescent="0.2">
      <c r="B46" s="3389" t="s">
        <v>1402</v>
      </c>
      <c r="C46" s="3389"/>
      <c r="D46" s="3389"/>
      <c r="E46" s="3389"/>
      <c r="F46" s="3389"/>
      <c r="G46" s="3389"/>
      <c r="H46" s="3389"/>
      <c r="I46" s="3389"/>
      <c r="J46" s="393">
        <v>0</v>
      </c>
      <c r="K46" s="393">
        <v>0</v>
      </c>
      <c r="L46" s="690"/>
      <c r="M46" s="690"/>
      <c r="N46" s="690"/>
    </row>
    <row r="47" spans="2:14" x14ac:dyDescent="0.2">
      <c r="B47" s="3389" t="s">
        <v>569</v>
      </c>
      <c r="C47" s="3389"/>
      <c r="D47" s="3389"/>
      <c r="E47" s="3389"/>
      <c r="F47" s="3389"/>
      <c r="G47" s="3389"/>
      <c r="H47" s="3389"/>
      <c r="I47" s="3389"/>
      <c r="J47" s="393">
        <v>0</v>
      </c>
      <c r="K47" s="393">
        <v>0</v>
      </c>
      <c r="L47" s="690"/>
      <c r="M47" s="690"/>
      <c r="N47" s="690"/>
    </row>
    <row r="48" spans="2:14" x14ac:dyDescent="0.2">
      <c r="B48" s="3389" t="s">
        <v>739</v>
      </c>
      <c r="C48" s="3389"/>
      <c r="D48" s="3389"/>
      <c r="E48" s="3389"/>
      <c r="F48" s="3389"/>
      <c r="G48" s="3389"/>
      <c r="H48" s="3389"/>
      <c r="I48" s="3389"/>
      <c r="J48" s="393">
        <v>0</v>
      </c>
      <c r="K48" s="393">
        <v>0</v>
      </c>
      <c r="L48" s="690"/>
      <c r="M48" s="690"/>
      <c r="N48" s="690"/>
    </row>
    <row r="49" spans="2:14" x14ac:dyDescent="0.2">
      <c r="B49" s="3390" t="s">
        <v>701</v>
      </c>
      <c r="C49" s="3390"/>
      <c r="D49" s="3390"/>
      <c r="E49" s="3390"/>
      <c r="F49" s="3390"/>
      <c r="G49" s="3390"/>
      <c r="H49" s="3390"/>
      <c r="I49" s="3390"/>
      <c r="J49" s="393">
        <v>0</v>
      </c>
      <c r="K49" s="393">
        <v>0</v>
      </c>
      <c r="L49" s="691"/>
      <c r="M49" s="691"/>
      <c r="N49" s="691"/>
    </row>
    <row r="50" spans="2:14" x14ac:dyDescent="0.2">
      <c r="B50" s="3389" t="s">
        <v>80</v>
      </c>
      <c r="C50" s="3389"/>
      <c r="D50" s="3389"/>
      <c r="E50" s="3389"/>
      <c r="F50" s="3389"/>
      <c r="G50" s="3389"/>
      <c r="H50" s="3389"/>
      <c r="I50" s="3389"/>
      <c r="J50" s="843">
        <v>0</v>
      </c>
      <c r="K50" s="843">
        <v>0</v>
      </c>
      <c r="L50" s="691"/>
      <c r="M50" s="691"/>
      <c r="N50" s="691"/>
    </row>
    <row r="51" spans="2:14" x14ac:dyDescent="0.2">
      <c r="B51" s="3390" t="s">
        <v>791</v>
      </c>
      <c r="C51" s="3390"/>
      <c r="D51" s="3390"/>
      <c r="E51" s="3390"/>
      <c r="F51" s="3390"/>
      <c r="G51" s="3390"/>
      <c r="H51" s="3390"/>
      <c r="I51" s="3390"/>
      <c r="J51" s="706">
        <f>SUM(J42:J50)</f>
        <v>248343.51</v>
      </c>
      <c r="K51" s="706">
        <f>SUM(K42:K50)</f>
        <v>1247701.68</v>
      </c>
      <c r="L51" s="691"/>
      <c r="M51" s="691"/>
      <c r="N51" s="691"/>
    </row>
    <row r="52" spans="2:14" x14ac:dyDescent="0.2">
      <c r="B52" s="697"/>
      <c r="C52" s="697"/>
      <c r="J52" s="1261"/>
      <c r="K52" s="1261"/>
      <c r="L52" s="693"/>
      <c r="M52" s="693"/>
      <c r="N52" s="693"/>
    </row>
    <row r="53" spans="2:14" x14ac:dyDescent="0.2">
      <c r="B53" s="699" t="s">
        <v>1888</v>
      </c>
      <c r="J53" s="393"/>
      <c r="K53" s="393"/>
      <c r="L53" s="693"/>
      <c r="M53" s="693"/>
      <c r="N53" s="693"/>
    </row>
    <row r="54" spans="2:14" x14ac:dyDescent="0.2">
      <c r="B54" s="3393" t="s">
        <v>1079</v>
      </c>
      <c r="C54" s="3393"/>
      <c r="D54" s="3393"/>
      <c r="E54" s="3393"/>
      <c r="F54" s="3393"/>
      <c r="G54" s="3393"/>
      <c r="H54" s="3393"/>
      <c r="I54" s="3393"/>
      <c r="J54" s="393"/>
      <c r="K54" s="393"/>
      <c r="L54" s="693"/>
      <c r="M54" s="693"/>
      <c r="N54" s="693"/>
    </row>
    <row r="55" spans="2:14" x14ac:dyDescent="0.2">
      <c r="B55" s="3389" t="s">
        <v>832</v>
      </c>
      <c r="C55" s="3389"/>
      <c r="D55" s="3389"/>
      <c r="E55" s="3389"/>
      <c r="F55" s="3389"/>
      <c r="G55" s="3389"/>
      <c r="H55" s="3389"/>
      <c r="I55" s="3389"/>
      <c r="J55" s="393">
        <v>1796027273.3099999</v>
      </c>
      <c r="K55" s="393">
        <v>13095577599.01</v>
      </c>
      <c r="L55" s="693"/>
      <c r="M55" s="693"/>
      <c r="N55" s="693"/>
    </row>
    <row r="56" spans="2:14" ht="13.5" thickBot="1" x14ac:dyDescent="0.25">
      <c r="B56" s="3394" t="s">
        <v>1889</v>
      </c>
      <c r="C56" s="3395"/>
      <c r="D56" s="3395"/>
      <c r="E56" s="3395"/>
      <c r="F56" s="3395"/>
      <c r="G56" s="3395"/>
      <c r="H56" s="3395"/>
      <c r="I56" s="3395"/>
      <c r="J56" s="707">
        <f>SUM(J54:J55)</f>
        <v>1796027273.3099999</v>
      </c>
      <c r="K56" s="707">
        <f>SUM(K54:K55)</f>
        <v>13095577599.01</v>
      </c>
      <c r="L56" s="691"/>
      <c r="M56" s="691"/>
      <c r="N56" s="691"/>
    </row>
    <row r="57" spans="2:14" ht="13.5" thickTop="1" x14ac:dyDescent="0.2">
      <c r="B57" s="700"/>
      <c r="C57" s="700"/>
      <c r="D57" s="700"/>
      <c r="E57" s="700"/>
      <c r="F57" s="700"/>
      <c r="G57" s="700"/>
      <c r="H57" s="700"/>
      <c r="I57" s="700"/>
      <c r="J57" s="393"/>
      <c r="K57" s="393"/>
      <c r="L57" s="691"/>
      <c r="M57" s="691"/>
      <c r="N57" s="691"/>
    </row>
    <row r="58" spans="2:14" x14ac:dyDescent="0.2">
      <c r="B58" s="3394" t="s">
        <v>1899</v>
      </c>
      <c r="C58" s="3395"/>
      <c r="D58" s="3395"/>
      <c r="E58" s="3395"/>
      <c r="F58" s="3395"/>
      <c r="G58" s="3395"/>
      <c r="H58" s="3395"/>
      <c r="I58" s="3395"/>
      <c r="J58" s="1258" t="str">
        <f>IF(J39-J51=J56,"In Balance","NOT BALANCED")</f>
        <v>In Balance</v>
      </c>
      <c r="K58" s="1258" t="str">
        <f>IF(K39-K51=K56,"In Balance","NOT BALANCED")</f>
        <v>In Balance</v>
      </c>
      <c r="L58" s="691"/>
      <c r="M58" s="691"/>
      <c r="N58" s="691"/>
    </row>
    <row r="59" spans="2:14" x14ac:dyDescent="0.2">
      <c r="J59" s="393"/>
      <c r="K59" s="393"/>
      <c r="L59" s="691"/>
      <c r="M59" s="691"/>
      <c r="N59" s="691"/>
    </row>
    <row r="60" spans="2:14" x14ac:dyDescent="0.2">
      <c r="B60" s="702" t="s">
        <v>986</v>
      </c>
      <c r="J60" s="792" t="str">
        <f>CONCATENATE("FYE ",+TEXT(Data!$A$4,"mmmm d,yyyy"))</f>
        <v>FYE June 30,2021</v>
      </c>
      <c r="K60" s="792" t="str">
        <f>CONCATENATE("FYE ",+TEXT(Data!$A$4,"mmmm d,yyyy"))</f>
        <v>FYE June 30,2021</v>
      </c>
      <c r="L60" s="691"/>
      <c r="M60" s="691"/>
      <c r="N60" s="691"/>
    </row>
    <row r="61" spans="2:14" x14ac:dyDescent="0.2">
      <c r="B61" s="3392" t="s">
        <v>463</v>
      </c>
      <c r="C61" s="3392"/>
      <c r="D61" s="3392"/>
      <c r="E61" s="3392"/>
      <c r="F61" s="3392"/>
      <c r="G61" s="3392"/>
      <c r="H61" s="3392"/>
      <c r="I61" s="3392"/>
      <c r="J61" s="393"/>
      <c r="K61" s="393"/>
      <c r="L61" s="691"/>
      <c r="M61" s="691"/>
      <c r="N61" s="691"/>
    </row>
    <row r="62" spans="2:14" x14ac:dyDescent="0.2">
      <c r="B62" s="3396" t="s">
        <v>1081</v>
      </c>
      <c r="C62" s="3396"/>
      <c r="D62" s="3396"/>
      <c r="E62" s="3396"/>
      <c r="F62" s="3396"/>
      <c r="G62" s="3396"/>
      <c r="H62" s="3396"/>
      <c r="I62" s="3396"/>
      <c r="J62" s="842">
        <v>4301073.83</v>
      </c>
      <c r="K62" s="842">
        <v>238387145.72999999</v>
      </c>
      <c r="L62" s="691"/>
      <c r="M62" s="691"/>
      <c r="N62" s="691"/>
    </row>
    <row r="63" spans="2:14" x14ac:dyDescent="0.2">
      <c r="B63" s="3396" t="s">
        <v>1082</v>
      </c>
      <c r="C63" s="3396"/>
      <c r="D63" s="3396"/>
      <c r="E63" s="3396"/>
      <c r="F63" s="3396"/>
      <c r="G63" s="3396"/>
      <c r="H63" s="3396"/>
      <c r="I63" s="3396"/>
      <c r="J63" s="393">
        <v>79969153.569999993</v>
      </c>
      <c r="K63" s="393">
        <v>393663845.70999998</v>
      </c>
      <c r="L63" s="690"/>
      <c r="M63" s="690"/>
      <c r="N63" s="690"/>
    </row>
    <row r="64" spans="2:14" x14ac:dyDescent="0.2">
      <c r="B64" s="3397" t="s">
        <v>1083</v>
      </c>
      <c r="C64" s="3397"/>
      <c r="D64" s="3397"/>
      <c r="E64" s="3397"/>
      <c r="F64" s="3397"/>
      <c r="G64" s="3397"/>
      <c r="H64" s="3397"/>
      <c r="I64" s="3397"/>
      <c r="J64" s="393"/>
      <c r="K64" s="393">
        <v>0</v>
      </c>
      <c r="L64" s="690"/>
      <c r="M64" s="690"/>
      <c r="N64" s="690"/>
    </row>
    <row r="65" spans="2:14" x14ac:dyDescent="0.2">
      <c r="B65" s="3396" t="s">
        <v>1084</v>
      </c>
      <c r="C65" s="3396"/>
      <c r="D65" s="3396"/>
      <c r="E65" s="3396"/>
      <c r="F65" s="3396"/>
      <c r="G65" s="3396"/>
      <c r="H65" s="3396"/>
      <c r="I65" s="3396"/>
      <c r="J65" s="843">
        <v>0</v>
      </c>
      <c r="K65" s="843">
        <v>0</v>
      </c>
      <c r="L65" s="690"/>
      <c r="M65" s="690"/>
      <c r="N65" s="690"/>
    </row>
    <row r="66" spans="2:14" x14ac:dyDescent="0.2">
      <c r="B66" s="3396" t="s">
        <v>1080</v>
      </c>
      <c r="C66" s="3396"/>
      <c r="D66" s="3396"/>
      <c r="E66" s="3396"/>
      <c r="F66" s="3396"/>
      <c r="G66" s="3396"/>
      <c r="H66" s="3396"/>
      <c r="I66" s="3396"/>
      <c r="J66" s="706">
        <f>SUM(J62:J65)</f>
        <v>84270227.400000006</v>
      </c>
      <c r="K66" s="706">
        <f>SUM(K62:K65)</f>
        <v>632050991.44000006</v>
      </c>
      <c r="L66" s="690"/>
      <c r="M66" s="690"/>
      <c r="N66" s="690"/>
    </row>
    <row r="67" spans="2:14" x14ac:dyDescent="0.2">
      <c r="B67" s="3392" t="s">
        <v>464</v>
      </c>
      <c r="C67" s="3392"/>
      <c r="D67" s="3392"/>
      <c r="E67" s="3392"/>
      <c r="F67" s="3392"/>
      <c r="G67" s="3392"/>
      <c r="H67" s="3392"/>
      <c r="I67" s="3392"/>
      <c r="J67" s="393"/>
      <c r="K67" s="393"/>
      <c r="L67" s="690"/>
      <c r="M67" s="690"/>
      <c r="N67" s="690"/>
    </row>
    <row r="68" spans="2:14" x14ac:dyDescent="0.2">
      <c r="B68" s="3396" t="s">
        <v>1085</v>
      </c>
      <c r="C68" s="3396"/>
      <c r="D68" s="3396"/>
      <c r="E68" s="3396"/>
      <c r="F68" s="3396"/>
      <c r="G68" s="3396"/>
      <c r="H68" s="3396"/>
      <c r="I68" s="3396"/>
      <c r="J68" s="393">
        <v>207403402.94999999</v>
      </c>
      <c r="K68" s="393">
        <v>1557850091.25</v>
      </c>
    </row>
    <row r="69" spans="2:14" x14ac:dyDescent="0.2">
      <c r="B69" s="3396" t="s">
        <v>1086</v>
      </c>
      <c r="C69" s="3396"/>
      <c r="D69" s="3396"/>
      <c r="E69" s="3396"/>
      <c r="F69" s="3396"/>
      <c r="G69" s="3396"/>
      <c r="H69" s="3396"/>
      <c r="I69" s="3396"/>
      <c r="J69" s="843">
        <v>0</v>
      </c>
      <c r="K69" s="843">
        <v>0</v>
      </c>
      <c r="L69" s="703"/>
      <c r="M69" s="703"/>
      <c r="N69" s="703"/>
    </row>
    <row r="70" spans="2:14" x14ac:dyDescent="0.2">
      <c r="B70" s="3396" t="s">
        <v>1087</v>
      </c>
      <c r="C70" s="3396"/>
      <c r="D70" s="3396"/>
      <c r="E70" s="3396"/>
      <c r="F70" s="3396"/>
      <c r="G70" s="3396"/>
      <c r="H70" s="3396"/>
      <c r="I70" s="3396"/>
      <c r="J70" s="706">
        <f>SUM(J68:J69)</f>
        <v>207403402.94999999</v>
      </c>
      <c r="K70" s="706">
        <f>SUM(K68:K69)</f>
        <v>1557850091.25</v>
      </c>
      <c r="L70" s="703"/>
      <c r="M70" s="703"/>
      <c r="N70" s="703"/>
    </row>
    <row r="71" spans="2:14" x14ac:dyDescent="0.2">
      <c r="B71" s="3392" t="s">
        <v>465</v>
      </c>
      <c r="C71" s="3392"/>
      <c r="D71" s="3392"/>
      <c r="E71" s="3392"/>
      <c r="F71" s="3392"/>
      <c r="G71" s="3392"/>
      <c r="H71" s="3392"/>
      <c r="I71" s="3392"/>
      <c r="J71" s="393"/>
      <c r="K71" s="393"/>
      <c r="L71" s="693"/>
      <c r="M71" s="693"/>
      <c r="N71" s="693"/>
    </row>
    <row r="72" spans="2:14" x14ac:dyDescent="0.2">
      <c r="B72" s="3396" t="s">
        <v>1088</v>
      </c>
      <c r="C72" s="3396"/>
      <c r="D72" s="3396"/>
      <c r="E72" s="3396"/>
      <c r="F72" s="3396"/>
      <c r="G72" s="3396"/>
      <c r="H72" s="3396"/>
      <c r="I72" s="3396"/>
      <c r="J72" s="393">
        <v>0</v>
      </c>
      <c r="K72" s="393">
        <v>0</v>
      </c>
      <c r="L72" s="693"/>
      <c r="M72" s="693"/>
      <c r="N72" s="693"/>
    </row>
    <row r="73" spans="2:14" x14ac:dyDescent="0.2">
      <c r="B73" s="3396" t="s">
        <v>944</v>
      </c>
      <c r="C73" s="3396"/>
      <c r="D73" s="3396"/>
      <c r="E73" s="3396"/>
      <c r="F73" s="3396"/>
      <c r="G73" s="3396"/>
      <c r="H73" s="3396"/>
      <c r="I73" s="3396"/>
      <c r="J73" s="393">
        <v>1247575.3400000001</v>
      </c>
      <c r="K73" s="393">
        <v>16099508.27</v>
      </c>
      <c r="L73" s="693"/>
      <c r="M73" s="693"/>
      <c r="N73" s="693"/>
    </row>
    <row r="74" spans="2:14" x14ac:dyDescent="0.2">
      <c r="B74" s="3396" t="s">
        <v>945</v>
      </c>
      <c r="C74" s="3396"/>
      <c r="D74" s="3396"/>
      <c r="E74" s="3396"/>
      <c r="F74" s="3396"/>
      <c r="G74" s="3396"/>
      <c r="H74" s="3396"/>
      <c r="I74" s="3396"/>
      <c r="J74" s="393">
        <v>24399.67</v>
      </c>
      <c r="K74" s="393">
        <v>159235.10999999999</v>
      </c>
      <c r="L74" s="693"/>
      <c r="M74" s="693"/>
      <c r="N74" s="693"/>
    </row>
    <row r="75" spans="2:14" x14ac:dyDescent="0.2">
      <c r="B75" s="3396" t="s">
        <v>503</v>
      </c>
      <c r="C75" s="3396"/>
      <c r="D75" s="3396"/>
      <c r="E75" s="3396"/>
      <c r="F75" s="3396"/>
      <c r="G75" s="3396"/>
      <c r="H75" s="3396"/>
      <c r="I75" s="3396"/>
      <c r="J75" s="706">
        <f>SUM(J72:J74)</f>
        <v>1271975.01</v>
      </c>
      <c r="K75" s="706">
        <f>SUM(K72:K74)</f>
        <v>16258743.380000001</v>
      </c>
      <c r="L75" s="691"/>
      <c r="M75" s="691"/>
      <c r="N75" s="691"/>
    </row>
    <row r="76" spans="2:14" x14ac:dyDescent="0.2">
      <c r="B76" s="3396" t="s">
        <v>466</v>
      </c>
      <c r="C76" s="3396"/>
      <c r="D76" s="3396"/>
      <c r="E76" s="3396"/>
      <c r="F76" s="3396"/>
      <c r="G76" s="3396"/>
      <c r="H76" s="3396"/>
      <c r="I76" s="3396"/>
      <c r="J76" s="706">
        <f>J66+J70+J75</f>
        <v>292945605.36000001</v>
      </c>
      <c r="K76" s="706">
        <f>K66+K70+K75</f>
        <v>2206159826.0700002</v>
      </c>
      <c r="L76" s="691"/>
      <c r="M76" s="691"/>
      <c r="N76" s="691"/>
    </row>
    <row r="77" spans="2:14" x14ac:dyDescent="0.2">
      <c r="B77" s="690"/>
      <c r="J77" s="393"/>
      <c r="K77" s="393"/>
      <c r="L77" s="691"/>
      <c r="M77" s="691"/>
      <c r="N77" s="691"/>
    </row>
    <row r="78" spans="2:14" x14ac:dyDescent="0.2">
      <c r="B78" s="3398" t="s">
        <v>467</v>
      </c>
      <c r="C78" s="3398"/>
      <c r="D78" s="3398"/>
      <c r="E78" s="3398"/>
      <c r="F78" s="3398"/>
      <c r="G78" s="3398"/>
      <c r="H78" s="3398"/>
      <c r="I78" s="3398"/>
      <c r="J78" s="393"/>
      <c r="K78" s="393"/>
      <c r="L78" s="691"/>
      <c r="M78" s="691"/>
      <c r="N78" s="691"/>
    </row>
    <row r="79" spans="2:14" x14ac:dyDescent="0.2">
      <c r="B79" s="3396" t="s">
        <v>1171</v>
      </c>
      <c r="C79" s="3396"/>
      <c r="D79" s="3396"/>
      <c r="E79" s="3396"/>
      <c r="F79" s="3396"/>
      <c r="G79" s="3396"/>
      <c r="H79" s="3396"/>
      <c r="I79" s="3396"/>
      <c r="J79" s="393">
        <v>81117303.370000005</v>
      </c>
      <c r="K79" s="393">
        <v>803787462.57000005</v>
      </c>
      <c r="L79" s="691"/>
      <c r="M79" s="691"/>
      <c r="N79" s="691"/>
    </row>
    <row r="80" spans="2:14" x14ac:dyDescent="0.2">
      <c r="B80" s="3396" t="s">
        <v>468</v>
      </c>
      <c r="C80" s="3396"/>
      <c r="D80" s="3396"/>
      <c r="E80" s="3396"/>
      <c r="F80" s="3396"/>
      <c r="G80" s="3396"/>
      <c r="H80" s="3396"/>
      <c r="I80" s="3396"/>
      <c r="J80" s="393">
        <v>0</v>
      </c>
      <c r="K80" s="393">
        <v>0</v>
      </c>
      <c r="L80" s="691"/>
      <c r="M80" s="691"/>
      <c r="N80" s="691"/>
    </row>
    <row r="81" spans="2:14" x14ac:dyDescent="0.2">
      <c r="B81" s="3396" t="s">
        <v>469</v>
      </c>
      <c r="C81" s="3396"/>
      <c r="D81" s="3396"/>
      <c r="E81" s="3396"/>
      <c r="F81" s="3396"/>
      <c r="G81" s="3396"/>
      <c r="H81" s="3396"/>
      <c r="I81" s="3396"/>
      <c r="J81" s="393">
        <v>2119514.67</v>
      </c>
      <c r="K81" s="393">
        <v>10336964.42</v>
      </c>
      <c r="L81" s="691"/>
      <c r="M81" s="691"/>
      <c r="N81" s="691"/>
    </row>
    <row r="82" spans="2:14" x14ac:dyDescent="0.2">
      <c r="B82" s="3396" t="s">
        <v>470</v>
      </c>
      <c r="C82" s="3396"/>
      <c r="D82" s="3396"/>
      <c r="E82" s="3396"/>
      <c r="F82" s="3396"/>
      <c r="G82" s="3396"/>
      <c r="H82" s="3396"/>
      <c r="I82" s="3396"/>
      <c r="J82" s="843">
        <v>0</v>
      </c>
      <c r="K82" s="843">
        <v>0</v>
      </c>
      <c r="L82" s="691"/>
      <c r="M82" s="691"/>
      <c r="N82" s="691"/>
    </row>
    <row r="83" spans="2:14" x14ac:dyDescent="0.2">
      <c r="B83" s="3396" t="s">
        <v>504</v>
      </c>
      <c r="C83" s="3396"/>
      <c r="D83" s="3396"/>
      <c r="E83" s="3396"/>
      <c r="F83" s="3396"/>
      <c r="G83" s="3396"/>
      <c r="H83" s="3396"/>
      <c r="I83" s="3396"/>
      <c r="J83" s="706">
        <f>SUM(J79:J82)</f>
        <v>83236818.040000007</v>
      </c>
      <c r="K83" s="706">
        <f>SUM(K79:K82)</f>
        <v>814124426.99000001</v>
      </c>
      <c r="L83" s="691"/>
      <c r="M83" s="691"/>
      <c r="N83" s="691"/>
    </row>
    <row r="84" spans="2:14" x14ac:dyDescent="0.2">
      <c r="B84" s="3400" t="s">
        <v>1900</v>
      </c>
      <c r="C84" s="3396"/>
      <c r="D84" s="3396"/>
      <c r="E84" s="3396"/>
      <c r="F84" s="3396"/>
      <c r="G84" s="3396"/>
      <c r="H84" s="3396"/>
      <c r="I84" s="3396"/>
      <c r="J84" s="1064">
        <f>J76-J83</f>
        <v>209708787.31999999</v>
      </c>
      <c r="K84" s="1064">
        <f>K76-K83</f>
        <v>1392035399.0799999</v>
      </c>
      <c r="L84" s="691"/>
      <c r="M84" s="691"/>
      <c r="N84" s="691"/>
    </row>
    <row r="85" spans="2:14" x14ac:dyDescent="0.2">
      <c r="B85" s="3399" t="s">
        <v>3700</v>
      </c>
      <c r="C85" s="3389"/>
      <c r="D85" s="3389"/>
      <c r="E85" s="3389"/>
      <c r="F85" s="3389"/>
      <c r="G85" s="3389"/>
      <c r="H85" s="3389"/>
      <c r="I85" s="3389"/>
      <c r="J85" s="1065">
        <v>1586318485.99</v>
      </c>
      <c r="K85" s="1065">
        <v>11703542199.93</v>
      </c>
      <c r="L85" s="691"/>
      <c r="M85" s="691"/>
      <c r="N85" s="691"/>
    </row>
    <row r="86" spans="2:14" x14ac:dyDescent="0.2">
      <c r="B86" s="3389" t="s">
        <v>645</v>
      </c>
      <c r="C86" s="3389"/>
      <c r="D86" s="3389"/>
      <c r="E86" s="3389"/>
      <c r="F86" s="3389"/>
      <c r="G86" s="3389"/>
      <c r="H86" s="3389"/>
      <c r="I86" s="3389"/>
      <c r="J86" s="843">
        <v>0</v>
      </c>
      <c r="K86" s="843">
        <v>0</v>
      </c>
      <c r="L86" s="691"/>
      <c r="M86" s="691"/>
      <c r="N86" s="691"/>
    </row>
    <row r="87" spans="2:14" ht="13.5" thickBot="1" x14ac:dyDescent="0.25">
      <c r="B87" s="3399" t="s">
        <v>3701</v>
      </c>
      <c r="C87" s="3389"/>
      <c r="D87" s="3389"/>
      <c r="E87" s="3389"/>
      <c r="F87" s="3389"/>
      <c r="G87" s="3389"/>
      <c r="H87" s="3389"/>
      <c r="I87" s="3389"/>
      <c r="J87" s="708">
        <f>SUM(J84:J86)</f>
        <v>1796027273.3099999</v>
      </c>
      <c r="K87" s="708">
        <f>SUM(K84:K86)</f>
        <v>13095577599.01</v>
      </c>
      <c r="L87" s="692"/>
      <c r="M87" s="692"/>
      <c r="N87" s="692"/>
    </row>
    <row r="88" spans="2:14" ht="13.5" thickTop="1" x14ac:dyDescent="0.2">
      <c r="J88" s="393"/>
      <c r="K88" s="393"/>
      <c r="L88" s="704"/>
      <c r="M88" s="704"/>
      <c r="N88" s="704"/>
    </row>
    <row r="89" spans="2:14" x14ac:dyDescent="0.2">
      <c r="J89" s="393"/>
      <c r="K89" s="393"/>
      <c r="L89" s="692"/>
      <c r="M89" s="692"/>
      <c r="N89" s="692"/>
    </row>
    <row r="90" spans="2:14" x14ac:dyDescent="0.2">
      <c r="B90" s="3394" t="s">
        <v>3699</v>
      </c>
      <c r="C90" s="3395"/>
      <c r="D90" s="3395"/>
      <c r="E90" s="3395"/>
      <c r="F90" s="3395"/>
      <c r="G90" s="3395"/>
      <c r="H90" s="3395"/>
      <c r="I90" s="3395"/>
      <c r="J90" s="1258" t="str">
        <f>IF(J56=J87,"In Balance","NOT BALANCED")</f>
        <v>In Balance</v>
      </c>
      <c r="K90" s="1258" t="str">
        <f>IF(K56=K87,"In Balance","NOT BALANCED")</f>
        <v>In Balance</v>
      </c>
      <c r="L90" s="693"/>
      <c r="M90" s="693"/>
      <c r="N90" s="693"/>
    </row>
    <row r="91" spans="2:14" x14ac:dyDescent="0.2">
      <c r="K91" s="693"/>
      <c r="L91" s="693"/>
      <c r="M91" s="693"/>
      <c r="N91" s="693"/>
    </row>
    <row r="92" spans="2:14" x14ac:dyDescent="0.2">
      <c r="K92" s="691"/>
      <c r="L92" s="691"/>
      <c r="M92" s="691"/>
      <c r="N92" s="691"/>
    </row>
    <row r="93" spans="2:14" x14ac:dyDescent="0.2">
      <c r="K93" s="691"/>
      <c r="L93" s="691"/>
      <c r="M93" s="691"/>
      <c r="N93" s="691"/>
    </row>
    <row r="94" spans="2:14" x14ac:dyDescent="0.2">
      <c r="K94" s="691"/>
      <c r="L94" s="691"/>
      <c r="M94" s="691"/>
      <c r="N94" s="691"/>
    </row>
    <row r="95" spans="2:14" x14ac:dyDescent="0.2">
      <c r="K95" s="691"/>
      <c r="L95" s="691"/>
      <c r="M95" s="691"/>
      <c r="N95" s="691"/>
    </row>
    <row r="96" spans="2:14"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9xlbYmScQod6UD9a5VYBkSMgpoVMjPSR/AffvXGx0efOxynSLea2tAin3Tbisc6qDNu0dzR/uDTtlP/9v7x9aw==" saltValue="jDSxu0k3RF/gN+X9bsgioA==" spinCount="100000" sheet="1" objects="1" scenarios="1" autoFilter="0"/>
  <mergeCells count="74">
    <mergeCell ref="B87:I87"/>
    <mergeCell ref="B90:I90"/>
    <mergeCell ref="B81:I81"/>
    <mergeCell ref="B82:I82"/>
    <mergeCell ref="B83:I83"/>
    <mergeCell ref="B84:I84"/>
    <mergeCell ref="B85:I85"/>
    <mergeCell ref="B86:I86"/>
    <mergeCell ref="B80:I80"/>
    <mergeCell ref="B68:I68"/>
    <mergeCell ref="B69:I69"/>
    <mergeCell ref="B70:I70"/>
    <mergeCell ref="B71:I71"/>
    <mergeCell ref="B72:I72"/>
    <mergeCell ref="B73:I73"/>
    <mergeCell ref="B74:I74"/>
    <mergeCell ref="B75:I75"/>
    <mergeCell ref="B76:I76"/>
    <mergeCell ref="B78:I78"/>
    <mergeCell ref="B79:I79"/>
    <mergeCell ref="B67:I67"/>
    <mergeCell ref="B51:I51"/>
    <mergeCell ref="B54:I54"/>
    <mergeCell ref="B55:I55"/>
    <mergeCell ref="B56:I56"/>
    <mergeCell ref="B58:I58"/>
    <mergeCell ref="B61:I61"/>
    <mergeCell ref="B62:I62"/>
    <mergeCell ref="B63:I63"/>
    <mergeCell ref="B64:I64"/>
    <mergeCell ref="B65:I65"/>
    <mergeCell ref="B66:I66"/>
    <mergeCell ref="B50:I50"/>
    <mergeCell ref="B36:I36"/>
    <mergeCell ref="B37:I37"/>
    <mergeCell ref="B38:I38"/>
    <mergeCell ref="B39:I39"/>
    <mergeCell ref="B43:I43"/>
    <mergeCell ref="B44:I44"/>
    <mergeCell ref="B45:I45"/>
    <mergeCell ref="B46:I46"/>
    <mergeCell ref="B47:I47"/>
    <mergeCell ref="B48:I48"/>
    <mergeCell ref="B49:I49"/>
    <mergeCell ref="B35:I35"/>
    <mergeCell ref="B23:I23"/>
    <mergeCell ref="B24:I24"/>
    <mergeCell ref="B25:I25"/>
    <mergeCell ref="B26:I26"/>
    <mergeCell ref="B27:I27"/>
    <mergeCell ref="B28:I28"/>
    <mergeCell ref="B29:I29"/>
    <mergeCell ref="B31:I31"/>
    <mergeCell ref="B32:I32"/>
    <mergeCell ref="B33:I33"/>
    <mergeCell ref="B34:I34"/>
    <mergeCell ref="B22:I22"/>
    <mergeCell ref="G7:J7"/>
    <mergeCell ref="B11:I11"/>
    <mergeCell ref="B13:I13"/>
    <mergeCell ref="B14:I14"/>
    <mergeCell ref="B15:I15"/>
    <mergeCell ref="B16:I16"/>
    <mergeCell ref="B17:I17"/>
    <mergeCell ref="B18:I18"/>
    <mergeCell ref="B19:I19"/>
    <mergeCell ref="B20:I20"/>
    <mergeCell ref="B21:I21"/>
    <mergeCell ref="D6:G6"/>
    <mergeCell ref="B1:J1"/>
    <mergeCell ref="K1:K3"/>
    <mergeCell ref="B2:J2"/>
    <mergeCell ref="B3:J3"/>
    <mergeCell ref="H5:J5"/>
  </mergeCells>
  <conditionalFormatting sqref="K1:K3">
    <cfRule type="cellIs" dxfId="0"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S149"/>
  <sheetViews>
    <sheetView topLeftCell="C1" zoomScaleNormal="100" workbookViewId="0">
      <pane ySplit="2" topLeftCell="A36" activePane="bottomLeft" state="frozen"/>
      <selection sqref="A1:E1"/>
      <selection pane="bottomLeft" activeCell="H57" sqref="H57"/>
    </sheetView>
  </sheetViews>
  <sheetFormatPr defaultColWidth="9.42578125" defaultRowHeight="15.75" x14ac:dyDescent="0.25"/>
  <cols>
    <col min="1" max="1" width="11.42578125" style="390" hidden="1" customWidth="1"/>
    <col min="2" max="2" width="8.5703125" style="390" customWidth="1"/>
    <col min="3" max="3" width="15.5703125" style="390" customWidth="1"/>
    <col min="4" max="4" width="42.42578125" style="390" customWidth="1"/>
    <col min="5" max="6" width="10.5703125" style="390" customWidth="1"/>
    <col min="7" max="7" width="21.5703125" style="841" bestFit="1" customWidth="1"/>
    <col min="8" max="8" width="21.5703125" style="841" customWidth="1"/>
    <col min="9" max="9" width="15.5703125" style="390" customWidth="1"/>
    <col min="10" max="10" width="69.42578125" style="390" customWidth="1"/>
    <col min="11" max="12" width="9.42578125" style="390"/>
    <col min="13" max="19" width="9.42578125" style="841"/>
    <col min="20" max="16384" width="9.42578125" style="390"/>
  </cols>
  <sheetData>
    <row r="1" spans="1:19" ht="31.5" x14ac:dyDescent="0.25">
      <c r="B1" s="391"/>
      <c r="C1" s="1055"/>
      <c r="D1" s="1209" t="s">
        <v>1007</v>
      </c>
      <c r="E1" s="1054"/>
      <c r="F1" s="1059"/>
      <c r="G1" s="1060"/>
      <c r="I1" s="1060" t="s">
        <v>427</v>
      </c>
    </row>
    <row r="2" spans="1:19" ht="33" customHeight="1" x14ac:dyDescent="0.25">
      <c r="A2" s="390" t="s">
        <v>195</v>
      </c>
      <c r="B2" s="391" t="s">
        <v>1173</v>
      </c>
      <c r="C2" s="1056" t="s">
        <v>1466</v>
      </c>
      <c r="D2" s="1057" t="s">
        <v>5341</v>
      </c>
      <c r="E2" s="1058" t="s">
        <v>1467</v>
      </c>
      <c r="F2" s="1060" t="s">
        <v>1468</v>
      </c>
      <c r="G2" s="1060" t="s">
        <v>4965</v>
      </c>
      <c r="H2" s="1060" t="s">
        <v>4966</v>
      </c>
      <c r="I2" s="1060" t="s">
        <v>4967</v>
      </c>
      <c r="J2" s="1059" t="s">
        <v>5646</v>
      </c>
      <c r="M2" s="841" t="s">
        <v>1755</v>
      </c>
      <c r="N2" s="841" t="s">
        <v>5182</v>
      </c>
      <c r="R2" s="841" t="s">
        <v>1130</v>
      </c>
      <c r="S2" s="841" t="s">
        <v>5183</v>
      </c>
    </row>
    <row r="3" spans="1:19" x14ac:dyDescent="0.25">
      <c r="A3" s="390" t="str">
        <f>C3&amp;" "&amp;D3</f>
        <v>01 North Carolina General Assembly</v>
      </c>
      <c r="B3" s="391">
        <v>1</v>
      </c>
      <c r="C3" s="391" t="str">
        <f t="shared" ref="C3:C46" si="0">TEXT(B3,"00")</f>
        <v>01</v>
      </c>
      <c r="D3" s="390" t="s">
        <v>237</v>
      </c>
      <c r="E3" s="390" t="s">
        <v>925</v>
      </c>
      <c r="F3" s="390" t="s">
        <v>1155</v>
      </c>
      <c r="G3" s="2140" t="s">
        <v>4776</v>
      </c>
      <c r="H3" s="841" t="s">
        <v>4777</v>
      </c>
      <c r="I3" s="764"/>
      <c r="M3" s="2413" t="str">
        <f>C3</f>
        <v>01</v>
      </c>
      <c r="N3" s="2414" t="s">
        <v>5184</v>
      </c>
      <c r="R3" s="841" t="s">
        <v>401</v>
      </c>
      <c r="S3" s="841" t="s">
        <v>401</v>
      </c>
    </row>
    <row r="4" spans="1:19" x14ac:dyDescent="0.25">
      <c r="A4" s="390" t="str">
        <f t="shared" ref="A4:A9" si="1">C4&amp;" "&amp;D4</f>
        <v>02 Administrative Office of the Courts</v>
      </c>
      <c r="B4" s="391">
        <v>2</v>
      </c>
      <c r="C4" s="391" t="str">
        <f t="shared" si="0"/>
        <v>02</v>
      </c>
      <c r="D4" s="390" t="s">
        <v>1178</v>
      </c>
      <c r="E4" s="390" t="s">
        <v>925</v>
      </c>
      <c r="F4" s="390" t="s">
        <v>1155</v>
      </c>
      <c r="G4" s="1162" t="s">
        <v>5332</v>
      </c>
      <c r="H4" s="841" t="s">
        <v>5333</v>
      </c>
      <c r="I4" s="764"/>
      <c r="J4" s="841"/>
      <c r="M4" s="2413" t="str">
        <f t="shared" ref="M4:M10" si="2">C4</f>
        <v>02</v>
      </c>
      <c r="N4" s="2414" t="s">
        <v>5185</v>
      </c>
      <c r="R4" s="841" t="s">
        <v>402</v>
      </c>
      <c r="S4" s="841" t="s">
        <v>402</v>
      </c>
    </row>
    <row r="5" spans="1:19" x14ac:dyDescent="0.25">
      <c r="A5" s="390" t="str">
        <f t="shared" si="1"/>
        <v>03 Office of the Governor</v>
      </c>
      <c r="B5" s="391">
        <v>3</v>
      </c>
      <c r="C5" s="391" t="str">
        <f t="shared" si="0"/>
        <v>03</v>
      </c>
      <c r="D5" s="390" t="s">
        <v>1179</v>
      </c>
      <c r="E5" s="390" t="s">
        <v>925</v>
      </c>
      <c r="F5" s="390" t="s">
        <v>1155</v>
      </c>
      <c r="G5" s="1162" t="s">
        <v>4492</v>
      </c>
      <c r="H5" s="841" t="s">
        <v>4781</v>
      </c>
      <c r="I5" s="764"/>
      <c r="M5" s="2413" t="str">
        <f t="shared" si="2"/>
        <v>03</v>
      </c>
      <c r="N5" s="2414" t="s">
        <v>5186</v>
      </c>
      <c r="R5" s="841" t="s">
        <v>403</v>
      </c>
      <c r="S5" s="841" t="s">
        <v>403</v>
      </c>
    </row>
    <row r="6" spans="1:19" x14ac:dyDescent="0.25">
      <c r="A6" s="390" t="str">
        <f t="shared" si="1"/>
        <v>04 Office of Lieutenant Governor</v>
      </c>
      <c r="B6" s="391">
        <v>4</v>
      </c>
      <c r="C6" s="391" t="str">
        <f t="shared" si="0"/>
        <v>04</v>
      </c>
      <c r="D6" s="390" t="s">
        <v>1180</v>
      </c>
      <c r="E6" s="390" t="s">
        <v>925</v>
      </c>
      <c r="F6" s="390" t="s">
        <v>1155</v>
      </c>
      <c r="G6" s="1162" t="s">
        <v>5717</v>
      </c>
      <c r="H6" s="841" t="s">
        <v>5718</v>
      </c>
      <c r="I6" s="764"/>
      <c r="M6" s="2413" t="str">
        <f t="shared" si="2"/>
        <v>04</v>
      </c>
      <c r="N6" s="2414" t="s">
        <v>5187</v>
      </c>
      <c r="R6" s="841" t="s">
        <v>404</v>
      </c>
      <c r="S6" s="841" t="s">
        <v>404</v>
      </c>
    </row>
    <row r="7" spans="1:19" x14ac:dyDescent="0.25">
      <c r="A7" s="390" t="str">
        <f t="shared" si="1"/>
        <v>05 Office of the Secretary of State</v>
      </c>
      <c r="B7" s="391">
        <v>5</v>
      </c>
      <c r="C7" s="391" t="str">
        <f t="shared" si="0"/>
        <v>05</v>
      </c>
      <c r="D7" s="390" t="s">
        <v>238</v>
      </c>
      <c r="E7" s="390" t="s">
        <v>925</v>
      </c>
      <c r="F7" s="390" t="s">
        <v>1155</v>
      </c>
      <c r="G7" s="1162" t="s">
        <v>3905</v>
      </c>
      <c r="H7" s="841" t="s">
        <v>4780</v>
      </c>
      <c r="I7" s="764"/>
      <c r="M7" s="2413" t="str">
        <f t="shared" si="2"/>
        <v>05</v>
      </c>
      <c r="N7" s="2414" t="s">
        <v>5188</v>
      </c>
      <c r="R7" s="841" t="s">
        <v>405</v>
      </c>
      <c r="S7" s="841" t="s">
        <v>405</v>
      </c>
    </row>
    <row r="8" spans="1:19" x14ac:dyDescent="0.25">
      <c r="A8" s="390" t="str">
        <f t="shared" si="1"/>
        <v>06 Office of the State Auditor</v>
      </c>
      <c r="B8" s="391">
        <v>6</v>
      </c>
      <c r="C8" s="391" t="str">
        <f t="shared" si="0"/>
        <v>06</v>
      </c>
      <c r="D8" s="390" t="s">
        <v>217</v>
      </c>
      <c r="E8" s="390" t="s">
        <v>925</v>
      </c>
      <c r="F8" s="390" t="s">
        <v>1155</v>
      </c>
      <c r="G8" s="1162" t="s">
        <v>5247</v>
      </c>
      <c r="H8" s="841" t="s">
        <v>5248</v>
      </c>
      <c r="I8" s="764"/>
      <c r="K8" s="390" t="b">
        <f t="shared" ref="K8:L20" si="3">ISTEXT(B8)</f>
        <v>0</v>
      </c>
      <c r="L8" s="390" t="b">
        <f t="shared" si="3"/>
        <v>1</v>
      </c>
      <c r="M8" s="2413" t="str">
        <f t="shared" si="2"/>
        <v>06</v>
      </c>
      <c r="N8" s="2414" t="s">
        <v>5189</v>
      </c>
      <c r="R8" s="841" t="s">
        <v>406</v>
      </c>
      <c r="S8" s="841" t="s">
        <v>406</v>
      </c>
    </row>
    <row r="9" spans="1:19" ht="16.5" customHeight="1" x14ac:dyDescent="0.25">
      <c r="A9" s="390" t="str">
        <f t="shared" si="1"/>
        <v xml:space="preserve">07 Department of the State Treasurer </v>
      </c>
      <c r="B9" s="391">
        <v>7</v>
      </c>
      <c r="C9" s="391" t="str">
        <f t="shared" si="0"/>
        <v>07</v>
      </c>
      <c r="D9" s="390" t="s">
        <v>56</v>
      </c>
      <c r="E9" s="390" t="s">
        <v>925</v>
      </c>
      <c r="F9" s="390" t="s">
        <v>1155</v>
      </c>
      <c r="G9" s="1162" t="s">
        <v>3691</v>
      </c>
      <c r="H9" s="841" t="s">
        <v>4184</v>
      </c>
      <c r="I9" s="765"/>
      <c r="J9" s="1163"/>
      <c r="K9" s="390" t="b">
        <f t="shared" si="3"/>
        <v>0</v>
      </c>
      <c r="L9" s="390" t="b">
        <f t="shared" si="3"/>
        <v>1</v>
      </c>
      <c r="M9" s="2413" t="str">
        <f t="shared" si="2"/>
        <v>07</v>
      </c>
      <c r="N9" s="2414" t="s">
        <v>5190</v>
      </c>
      <c r="R9" s="841" t="s">
        <v>64</v>
      </c>
      <c r="S9" s="841" t="s">
        <v>64</v>
      </c>
    </row>
    <row r="10" spans="1:19" ht="16.5" customHeight="1" x14ac:dyDescent="0.25">
      <c r="A10" s="390" t="str">
        <f t="shared" ref="A10:A41" si="4">C10&amp;" "&amp;D10</f>
        <v>07 State Health Plan</v>
      </c>
      <c r="B10" s="391">
        <v>7</v>
      </c>
      <c r="C10" s="391" t="str">
        <f>TEXT(B10,"00")</f>
        <v>07</v>
      </c>
      <c r="D10" s="1868" t="s">
        <v>4485</v>
      </c>
      <c r="E10" s="841" t="s">
        <v>4486</v>
      </c>
      <c r="F10" s="390" t="s">
        <v>1155</v>
      </c>
      <c r="G10" s="1162" t="s">
        <v>3691</v>
      </c>
      <c r="H10" s="841" t="s">
        <v>4184</v>
      </c>
      <c r="I10" s="764">
        <v>2629</v>
      </c>
      <c r="J10" s="1163"/>
      <c r="K10" s="390" t="b">
        <f>ISTEXT(B10)</f>
        <v>0</v>
      </c>
      <c r="L10" s="390" t="b">
        <f t="shared" si="3"/>
        <v>1</v>
      </c>
      <c r="M10" s="2413" t="str">
        <f t="shared" si="2"/>
        <v>07</v>
      </c>
      <c r="N10" s="2414" t="s">
        <v>5190</v>
      </c>
      <c r="R10" s="841" t="s">
        <v>65</v>
      </c>
      <c r="S10" s="841" t="s">
        <v>65</v>
      </c>
    </row>
    <row r="11" spans="1:19" ht="17.25" customHeight="1" x14ac:dyDescent="0.25">
      <c r="A11" s="390" t="str">
        <f t="shared" si="4"/>
        <v xml:space="preserve">08 Department of Public Instruction </v>
      </c>
      <c r="B11" s="391">
        <v>8</v>
      </c>
      <c r="C11" s="391" t="str">
        <f t="shared" si="0"/>
        <v>08</v>
      </c>
      <c r="D11" s="390" t="s">
        <v>749</v>
      </c>
      <c r="E11" s="390" t="s">
        <v>925</v>
      </c>
      <c r="F11" s="390" t="s">
        <v>1155</v>
      </c>
      <c r="G11" s="1162" t="s">
        <v>3534</v>
      </c>
      <c r="H11" s="841" t="s">
        <v>4638</v>
      </c>
      <c r="I11" s="765"/>
      <c r="K11" s="390" t="b">
        <f t="shared" si="3"/>
        <v>0</v>
      </c>
      <c r="L11" s="390" t="b">
        <f t="shared" ref="L11:L32" si="5">ISTEXT(C11)</f>
        <v>1</v>
      </c>
      <c r="M11" s="2413" t="str">
        <f t="shared" ref="M11:M42" si="6">C11</f>
        <v>08</v>
      </c>
      <c r="N11" s="2414" t="s">
        <v>5191</v>
      </c>
      <c r="R11" s="841" t="s">
        <v>66</v>
      </c>
      <c r="S11" s="841" t="s">
        <v>66</v>
      </c>
    </row>
    <row r="12" spans="1:19" x14ac:dyDescent="0.25">
      <c r="A12" s="390" t="str">
        <f t="shared" si="4"/>
        <v xml:space="preserve">09 Department of Justice </v>
      </c>
      <c r="B12" s="391">
        <v>9</v>
      </c>
      <c r="C12" s="391" t="str">
        <f t="shared" si="0"/>
        <v>09</v>
      </c>
      <c r="D12" s="390" t="s">
        <v>305</v>
      </c>
      <c r="E12" s="390" t="s">
        <v>925</v>
      </c>
      <c r="F12" s="390" t="s">
        <v>1155</v>
      </c>
      <c r="G12" s="1162" t="s">
        <v>4150</v>
      </c>
      <c r="H12" s="1648" t="s">
        <v>4151</v>
      </c>
      <c r="I12" s="764"/>
      <c r="K12" s="390" t="b">
        <f t="shared" si="3"/>
        <v>0</v>
      </c>
      <c r="L12" s="390" t="b">
        <f t="shared" si="5"/>
        <v>1</v>
      </c>
      <c r="M12" s="2413" t="str">
        <f t="shared" si="6"/>
        <v>09</v>
      </c>
      <c r="N12" s="2414" t="s">
        <v>5192</v>
      </c>
      <c r="R12" s="841" t="s">
        <v>67</v>
      </c>
      <c r="S12" s="841" t="s">
        <v>67</v>
      </c>
    </row>
    <row r="13" spans="1:19" x14ac:dyDescent="0.25">
      <c r="A13" s="390" t="str">
        <f t="shared" si="4"/>
        <v>10 Department of Agriculture</v>
      </c>
      <c r="B13" s="391">
        <v>10</v>
      </c>
      <c r="C13" s="391" t="str">
        <f t="shared" si="0"/>
        <v>10</v>
      </c>
      <c r="D13" s="390" t="s">
        <v>306</v>
      </c>
      <c r="E13" s="390" t="s">
        <v>925</v>
      </c>
      <c r="F13" s="390" t="s">
        <v>1155</v>
      </c>
      <c r="G13" s="1162" t="s">
        <v>5760</v>
      </c>
      <c r="H13" s="841" t="s">
        <v>3535</v>
      </c>
      <c r="I13" s="764"/>
      <c r="K13" s="390" t="b">
        <f t="shared" si="3"/>
        <v>0</v>
      </c>
      <c r="L13" s="390" t="b">
        <f t="shared" si="5"/>
        <v>1</v>
      </c>
      <c r="M13" s="2413" t="str">
        <f t="shared" si="6"/>
        <v>10</v>
      </c>
      <c r="N13" s="2414" t="s">
        <v>5193</v>
      </c>
      <c r="R13" s="841" t="s">
        <v>741</v>
      </c>
      <c r="S13" s="841" t="s">
        <v>741</v>
      </c>
    </row>
    <row r="14" spans="1:19" x14ac:dyDescent="0.25">
      <c r="A14" s="390" t="str">
        <f t="shared" si="4"/>
        <v>11 Department of Labor</v>
      </c>
      <c r="B14" s="391">
        <v>11</v>
      </c>
      <c r="C14" s="391" t="str">
        <f t="shared" si="0"/>
        <v>11</v>
      </c>
      <c r="D14" s="390" t="s">
        <v>307</v>
      </c>
      <c r="E14" s="390" t="s">
        <v>925</v>
      </c>
      <c r="F14" s="390" t="s">
        <v>1155</v>
      </c>
      <c r="G14" s="1162" t="s">
        <v>4816</v>
      </c>
      <c r="H14" s="841" t="s">
        <v>4817</v>
      </c>
      <c r="I14" s="764"/>
      <c r="K14" s="390" t="b">
        <f t="shared" si="3"/>
        <v>0</v>
      </c>
      <c r="L14" s="390" t="b">
        <f t="shared" si="5"/>
        <v>1</v>
      </c>
      <c r="M14" s="2413" t="str">
        <f t="shared" si="6"/>
        <v>11</v>
      </c>
      <c r="N14" s="2414" t="s">
        <v>516</v>
      </c>
      <c r="R14" s="841" t="s">
        <v>742</v>
      </c>
      <c r="S14" s="841" t="s">
        <v>742</v>
      </c>
    </row>
    <row r="15" spans="1:19" x14ac:dyDescent="0.25">
      <c r="A15" s="390" t="str">
        <f t="shared" si="4"/>
        <v xml:space="preserve">12 Department of Insurance </v>
      </c>
      <c r="B15" s="391">
        <v>12</v>
      </c>
      <c r="C15" s="391" t="str">
        <f t="shared" si="0"/>
        <v>12</v>
      </c>
      <c r="D15" s="390" t="s">
        <v>308</v>
      </c>
      <c r="E15" s="390" t="s">
        <v>925</v>
      </c>
      <c r="F15" s="390" t="s">
        <v>1155</v>
      </c>
      <c r="G15" s="1162" t="s">
        <v>5761</v>
      </c>
      <c r="H15" s="841" t="s">
        <v>5762</v>
      </c>
      <c r="I15" s="764"/>
      <c r="K15" s="390" t="b">
        <f t="shared" si="3"/>
        <v>0</v>
      </c>
      <c r="L15" s="390" t="b">
        <f t="shared" si="5"/>
        <v>1</v>
      </c>
      <c r="M15" s="2413" t="str">
        <f t="shared" si="6"/>
        <v>12</v>
      </c>
      <c r="N15" s="2414" t="s">
        <v>5194</v>
      </c>
      <c r="R15" s="841" t="s">
        <v>743</v>
      </c>
      <c r="S15" s="841" t="s">
        <v>743</v>
      </c>
    </row>
    <row r="16" spans="1:19" x14ac:dyDescent="0.25">
      <c r="A16" s="390" t="str">
        <f t="shared" si="4"/>
        <v xml:space="preserve">13 Department of Administration </v>
      </c>
      <c r="B16" s="391">
        <v>13</v>
      </c>
      <c r="C16" s="391" t="str">
        <f t="shared" si="0"/>
        <v>13</v>
      </c>
      <c r="D16" s="390" t="s">
        <v>185</v>
      </c>
      <c r="E16" s="390" t="s">
        <v>925</v>
      </c>
      <c r="F16" s="390" t="s">
        <v>1155</v>
      </c>
      <c r="G16" s="1162" t="s">
        <v>5717</v>
      </c>
      <c r="H16" s="841" t="s">
        <v>5718</v>
      </c>
      <c r="I16" s="764"/>
      <c r="K16" s="390" t="b">
        <f t="shared" si="3"/>
        <v>0</v>
      </c>
      <c r="L16" s="390" t="b">
        <f t="shared" si="5"/>
        <v>1</v>
      </c>
      <c r="M16" s="2413" t="str">
        <f t="shared" si="6"/>
        <v>13</v>
      </c>
      <c r="N16" s="2414" t="s">
        <v>5195</v>
      </c>
      <c r="R16" s="841" t="s">
        <v>744</v>
      </c>
      <c r="S16" s="841" t="s">
        <v>744</v>
      </c>
    </row>
    <row r="17" spans="1:19" x14ac:dyDescent="0.25">
      <c r="A17" s="390" t="str">
        <f t="shared" si="4"/>
        <v xml:space="preserve">14 Office of the State Controller </v>
      </c>
      <c r="B17" s="391">
        <v>14</v>
      </c>
      <c r="C17" s="391" t="str">
        <f t="shared" si="0"/>
        <v>14</v>
      </c>
      <c r="D17" s="390" t="s">
        <v>186</v>
      </c>
      <c r="E17" s="390" t="s">
        <v>925</v>
      </c>
      <c r="F17" s="390" t="s">
        <v>1155</v>
      </c>
      <c r="G17" s="1162" t="s">
        <v>5249</v>
      </c>
      <c r="H17" s="2142" t="s">
        <v>3564</v>
      </c>
      <c r="I17" s="764"/>
      <c r="K17" s="390" t="b">
        <f t="shared" si="3"/>
        <v>0</v>
      </c>
      <c r="L17" s="390" t="b">
        <f t="shared" si="5"/>
        <v>1</v>
      </c>
      <c r="M17" s="2413" t="str">
        <f t="shared" si="6"/>
        <v>14</v>
      </c>
      <c r="N17" s="2414" t="s">
        <v>5196</v>
      </c>
      <c r="R17" s="841" t="s">
        <v>745</v>
      </c>
      <c r="S17" s="841" t="s">
        <v>745</v>
      </c>
    </row>
    <row r="18" spans="1:19" x14ac:dyDescent="0.25">
      <c r="A18" s="390" t="str">
        <f t="shared" si="4"/>
        <v>15 Department of Transportation</v>
      </c>
      <c r="B18" s="391">
        <v>15</v>
      </c>
      <c r="C18" s="391" t="str">
        <f t="shared" si="0"/>
        <v>15</v>
      </c>
      <c r="D18" s="390" t="s">
        <v>144</v>
      </c>
      <c r="E18" s="390" t="s">
        <v>925</v>
      </c>
      <c r="F18" s="390" t="s">
        <v>1155</v>
      </c>
      <c r="G18" s="1162" t="s">
        <v>4903</v>
      </c>
      <c r="H18" s="841" t="s">
        <v>3536</v>
      </c>
      <c r="I18" s="764"/>
      <c r="K18" s="390" t="b">
        <f t="shared" si="3"/>
        <v>0</v>
      </c>
      <c r="L18" s="390" t="b">
        <f t="shared" si="5"/>
        <v>1</v>
      </c>
      <c r="M18" s="2413" t="str">
        <f t="shared" si="6"/>
        <v>15</v>
      </c>
      <c r="N18" s="2414" t="s">
        <v>5197</v>
      </c>
      <c r="R18" s="841" t="s">
        <v>746</v>
      </c>
      <c r="S18" s="841" t="s">
        <v>746</v>
      </c>
    </row>
    <row r="19" spans="1:19" x14ac:dyDescent="0.25">
      <c r="A19" s="390" t="str">
        <f t="shared" si="4"/>
        <v>16 Department of Environmental Quality</v>
      </c>
      <c r="B19" s="391">
        <v>16</v>
      </c>
      <c r="C19" s="391" t="str">
        <f t="shared" si="0"/>
        <v>16</v>
      </c>
      <c r="D19" s="841" t="s">
        <v>4053</v>
      </c>
      <c r="E19" s="390" t="s">
        <v>925</v>
      </c>
      <c r="F19" s="390" t="s">
        <v>1155</v>
      </c>
      <c r="G19" s="1162" t="s">
        <v>4571</v>
      </c>
      <c r="H19" s="841" t="s">
        <v>4194</v>
      </c>
      <c r="I19" s="768"/>
      <c r="K19" s="390" t="b">
        <f t="shared" si="3"/>
        <v>0</v>
      </c>
      <c r="L19" s="390" t="b">
        <f t="shared" si="5"/>
        <v>1</v>
      </c>
      <c r="M19" s="2413" t="str">
        <f t="shared" si="6"/>
        <v>16</v>
      </c>
      <c r="N19" s="2414" t="s">
        <v>5198</v>
      </c>
      <c r="R19" s="841" t="s">
        <v>747</v>
      </c>
      <c r="S19" s="841" t="s">
        <v>747</v>
      </c>
    </row>
    <row r="20" spans="1:19" x14ac:dyDescent="0.25">
      <c r="A20" s="390" t="str">
        <f t="shared" si="4"/>
        <v>17 Wildlife Resources Commission</v>
      </c>
      <c r="B20" s="391">
        <v>17</v>
      </c>
      <c r="C20" s="391" t="str">
        <f t="shared" si="0"/>
        <v>17</v>
      </c>
      <c r="D20" s="390" t="s">
        <v>1017</v>
      </c>
      <c r="E20" s="390" t="s">
        <v>925</v>
      </c>
      <c r="F20" s="390" t="s">
        <v>1155</v>
      </c>
      <c r="G20" s="2141" t="s">
        <v>5719</v>
      </c>
      <c r="H20" s="841" t="s">
        <v>5720</v>
      </c>
      <c r="K20" s="390" t="b">
        <f t="shared" si="3"/>
        <v>0</v>
      </c>
      <c r="L20" s="390" t="b">
        <f t="shared" si="5"/>
        <v>1</v>
      </c>
      <c r="M20" s="2413" t="str">
        <f t="shared" si="6"/>
        <v>17</v>
      </c>
      <c r="N20" s="2414" t="s">
        <v>5199</v>
      </c>
      <c r="R20" s="2414" t="s">
        <v>399</v>
      </c>
      <c r="S20" s="841" t="s">
        <v>5243</v>
      </c>
    </row>
    <row r="21" spans="1:19" x14ac:dyDescent="0.25">
      <c r="A21" s="390" t="str">
        <f t="shared" si="4"/>
        <v>19 Dept. of Public Safety</v>
      </c>
      <c r="B21" s="391">
        <v>19</v>
      </c>
      <c r="C21" s="391" t="str">
        <f t="shared" si="0"/>
        <v>19</v>
      </c>
      <c r="D21" s="841" t="s">
        <v>1783</v>
      </c>
      <c r="E21" s="390" t="s">
        <v>925</v>
      </c>
      <c r="F21" s="390" t="s">
        <v>1155</v>
      </c>
      <c r="G21" s="2140" t="s">
        <v>5250</v>
      </c>
      <c r="H21" s="2142" t="s">
        <v>5251</v>
      </c>
      <c r="J21" s="1163"/>
      <c r="K21" s="390" t="b">
        <f t="shared" ref="K21:K33" si="7">ISTEXT(B21)</f>
        <v>0</v>
      </c>
      <c r="L21" s="390" t="b">
        <f t="shared" si="5"/>
        <v>1</v>
      </c>
      <c r="M21" s="2413" t="str">
        <f t="shared" si="6"/>
        <v>19</v>
      </c>
      <c r="N21" s="2414" t="s">
        <v>5200</v>
      </c>
      <c r="R21" s="841" t="s">
        <v>1689</v>
      </c>
      <c r="S21" s="841" t="s">
        <v>1689</v>
      </c>
    </row>
    <row r="22" spans="1:19" x14ac:dyDescent="0.25">
      <c r="A22" s="390" t="str">
        <f t="shared" si="4"/>
        <v>2X Dept. of Health and Human Services</v>
      </c>
      <c r="B22" s="391" t="s">
        <v>1018</v>
      </c>
      <c r="C22" s="391" t="str">
        <f t="shared" si="0"/>
        <v>2X</v>
      </c>
      <c r="D22" s="390" t="s">
        <v>565</v>
      </c>
      <c r="E22" s="390" t="s">
        <v>925</v>
      </c>
      <c r="F22" s="390" t="s">
        <v>1155</v>
      </c>
      <c r="G22" s="1162" t="s">
        <v>3638</v>
      </c>
      <c r="H22" s="841" t="s">
        <v>3639</v>
      </c>
      <c r="J22" s="1163"/>
      <c r="K22" s="390" t="b">
        <f t="shared" si="7"/>
        <v>1</v>
      </c>
      <c r="L22" s="390" t="b">
        <f t="shared" si="5"/>
        <v>1</v>
      </c>
      <c r="M22" s="2413" t="str">
        <f t="shared" si="6"/>
        <v>2X</v>
      </c>
      <c r="N22" s="2414" t="s">
        <v>5659</v>
      </c>
    </row>
    <row r="23" spans="1:19" x14ac:dyDescent="0.25">
      <c r="A23" s="390" t="str">
        <f t="shared" si="4"/>
        <v>3X DHHS - Mental Health</v>
      </c>
      <c r="B23" s="391" t="s">
        <v>432</v>
      </c>
      <c r="C23" s="391" t="str">
        <f t="shared" si="0"/>
        <v>3X</v>
      </c>
      <c r="D23" s="390" t="s">
        <v>1019</v>
      </c>
      <c r="E23" s="390" t="s">
        <v>925</v>
      </c>
      <c r="F23" s="390" t="s">
        <v>1155</v>
      </c>
      <c r="G23" s="1162" t="s">
        <v>4059</v>
      </c>
      <c r="H23" s="841" t="s">
        <v>4572</v>
      </c>
      <c r="J23" s="1163"/>
      <c r="K23" s="390" t="b">
        <f>ISTEXT(B23)</f>
        <v>1</v>
      </c>
      <c r="L23" s="390" t="b">
        <f t="shared" si="5"/>
        <v>1</v>
      </c>
      <c r="M23" s="2413" t="str">
        <f t="shared" si="6"/>
        <v>3X</v>
      </c>
      <c r="N23" s="2414" t="s">
        <v>5660</v>
      </c>
    </row>
    <row r="24" spans="1:19" x14ac:dyDescent="0.25">
      <c r="A24" s="390" t="str">
        <f t="shared" si="4"/>
        <v>40 Department of Military &amp; Veterans Affairs</v>
      </c>
      <c r="B24" s="1666">
        <v>40</v>
      </c>
      <c r="C24" s="391" t="str">
        <f>TEXT(B24,"00")</f>
        <v>40</v>
      </c>
      <c r="D24" s="841" t="s">
        <v>4051</v>
      </c>
      <c r="E24" s="390" t="s">
        <v>925</v>
      </c>
      <c r="F24" s="390" t="s">
        <v>1155</v>
      </c>
      <c r="G24" s="1162" t="s">
        <v>5717</v>
      </c>
      <c r="H24" s="841" t="s">
        <v>5718</v>
      </c>
      <c r="J24" s="841"/>
      <c r="K24" s="390" t="b">
        <f>ISTEXT(B24)</f>
        <v>0</v>
      </c>
      <c r="L24" s="390" t="b">
        <f>ISTEXT(C24)</f>
        <v>1</v>
      </c>
      <c r="M24" s="2413" t="str">
        <f t="shared" si="6"/>
        <v>40</v>
      </c>
      <c r="N24" s="2414" t="s">
        <v>5201</v>
      </c>
    </row>
    <row r="25" spans="1:19" x14ac:dyDescent="0.25">
      <c r="A25" s="390" t="str">
        <f t="shared" si="4"/>
        <v>41 Department of Information Technology</v>
      </c>
      <c r="B25" s="391">
        <v>41</v>
      </c>
      <c r="C25" s="391" t="str">
        <f t="shared" si="0"/>
        <v>41</v>
      </c>
      <c r="D25" s="841" t="s">
        <v>4052</v>
      </c>
      <c r="E25" s="390" t="s">
        <v>925</v>
      </c>
      <c r="F25" s="390" t="s">
        <v>1155</v>
      </c>
      <c r="G25" s="1162" t="s">
        <v>4740</v>
      </c>
      <c r="H25" s="841" t="s">
        <v>4741</v>
      </c>
      <c r="J25" s="841"/>
      <c r="K25" s="390" t="b">
        <f t="shared" si="7"/>
        <v>0</v>
      </c>
      <c r="L25" s="390" t="b">
        <f t="shared" si="5"/>
        <v>1</v>
      </c>
      <c r="M25" s="2413" t="str">
        <f t="shared" si="6"/>
        <v>41</v>
      </c>
      <c r="N25" s="2414" t="s">
        <v>5202</v>
      </c>
    </row>
    <row r="26" spans="1:19" x14ac:dyDescent="0.25">
      <c r="A26" s="390" t="str">
        <f t="shared" si="4"/>
        <v>43 Department of Commerce</v>
      </c>
      <c r="B26" s="391">
        <v>43</v>
      </c>
      <c r="C26" s="391" t="str">
        <f t="shared" si="0"/>
        <v>43</v>
      </c>
      <c r="D26" s="390" t="s">
        <v>433</v>
      </c>
      <c r="E26" s="390" t="s">
        <v>925</v>
      </c>
      <c r="F26" s="390" t="s">
        <v>1155</v>
      </c>
      <c r="G26" s="1162" t="s">
        <v>4498</v>
      </c>
      <c r="H26" s="841" t="s">
        <v>4497</v>
      </c>
      <c r="J26" s="1163"/>
      <c r="K26" s="390" t="b">
        <f t="shared" si="7"/>
        <v>0</v>
      </c>
      <c r="L26" s="390" t="b">
        <f t="shared" si="5"/>
        <v>1</v>
      </c>
      <c r="M26" s="2413" t="str">
        <f t="shared" si="6"/>
        <v>43</v>
      </c>
      <c r="N26" s="2414" t="s">
        <v>5203</v>
      </c>
    </row>
    <row r="27" spans="1:19" x14ac:dyDescent="0.25">
      <c r="A27" s="390" t="str">
        <f t="shared" si="4"/>
        <v>45 Department of Revenue</v>
      </c>
      <c r="B27" s="391">
        <v>45</v>
      </c>
      <c r="C27" s="391" t="str">
        <f t="shared" si="0"/>
        <v>45</v>
      </c>
      <c r="D27" s="390" t="s">
        <v>434</v>
      </c>
      <c r="E27" s="390" t="s">
        <v>925</v>
      </c>
      <c r="F27" s="390" t="s">
        <v>1155</v>
      </c>
      <c r="G27" s="1162" t="s">
        <v>3537</v>
      </c>
      <c r="H27" s="841" t="s">
        <v>3548</v>
      </c>
      <c r="J27" s="1163"/>
      <c r="K27" s="390" t="b">
        <f t="shared" si="7"/>
        <v>0</v>
      </c>
      <c r="L27" s="390" t="b">
        <f t="shared" si="5"/>
        <v>1</v>
      </c>
      <c r="M27" s="2413" t="str">
        <f t="shared" si="6"/>
        <v>45</v>
      </c>
      <c r="N27" s="2414" t="s">
        <v>5204</v>
      </c>
    </row>
    <row r="28" spans="1:19" x14ac:dyDescent="0.25">
      <c r="A28" s="390" t="str">
        <f t="shared" si="4"/>
        <v>46 Department of Natural and Cultural Resources</v>
      </c>
      <c r="B28" s="391">
        <v>46</v>
      </c>
      <c r="C28" s="391" t="str">
        <f t="shared" si="0"/>
        <v>46</v>
      </c>
      <c r="D28" s="841" t="s">
        <v>4054</v>
      </c>
      <c r="E28" s="390" t="s">
        <v>925</v>
      </c>
      <c r="F28" s="390" t="s">
        <v>1155</v>
      </c>
      <c r="G28" s="1162" t="s">
        <v>3897</v>
      </c>
      <c r="H28" s="841" t="s">
        <v>4779</v>
      </c>
      <c r="J28" s="841"/>
      <c r="K28" s="390" t="b">
        <f t="shared" si="7"/>
        <v>0</v>
      </c>
      <c r="L28" s="390" t="b">
        <f t="shared" si="5"/>
        <v>1</v>
      </c>
      <c r="M28" s="2413" t="str">
        <f t="shared" si="6"/>
        <v>46</v>
      </c>
      <c r="N28" s="2414" t="s">
        <v>5205</v>
      </c>
    </row>
    <row r="29" spans="1:19" x14ac:dyDescent="0.25">
      <c r="A29" s="1053" t="str">
        <f t="shared" si="4"/>
        <v>48X UNC Hlth Care Rep Unit (Combined Pkg)</v>
      </c>
      <c r="B29" s="391" t="s">
        <v>1461</v>
      </c>
      <c r="C29" s="391" t="str">
        <f t="shared" si="0"/>
        <v>48X</v>
      </c>
      <c r="D29" s="390" t="s">
        <v>1475</v>
      </c>
      <c r="E29" s="841" t="s">
        <v>821</v>
      </c>
      <c r="F29" s="390" t="s">
        <v>926</v>
      </c>
      <c r="G29" s="1162" t="s">
        <v>4774</v>
      </c>
      <c r="H29" s="841" t="s">
        <v>4775</v>
      </c>
      <c r="I29" s="841" t="s">
        <v>1462</v>
      </c>
      <c r="J29" s="841"/>
      <c r="K29" s="390" t="b">
        <f t="shared" si="7"/>
        <v>1</v>
      </c>
      <c r="L29" s="390" t="b">
        <f t="shared" si="5"/>
        <v>1</v>
      </c>
      <c r="M29" s="2413" t="str">
        <f t="shared" si="6"/>
        <v>48X</v>
      </c>
      <c r="N29" s="2414"/>
    </row>
    <row r="30" spans="1:19" x14ac:dyDescent="0.25">
      <c r="A30" s="390" t="str">
        <f t="shared" si="4"/>
        <v>48 UNC Hospitals</v>
      </c>
      <c r="B30" s="391">
        <v>48</v>
      </c>
      <c r="C30" s="391" t="str">
        <f t="shared" si="0"/>
        <v>48</v>
      </c>
      <c r="D30" s="390" t="s">
        <v>678</v>
      </c>
      <c r="E30" s="390" t="s">
        <v>821</v>
      </c>
      <c r="F30" s="390" t="s">
        <v>926</v>
      </c>
      <c r="G30" s="1162" t="s">
        <v>4652</v>
      </c>
      <c r="H30" s="841" t="s">
        <v>4653</v>
      </c>
      <c r="I30" s="390" t="s">
        <v>428</v>
      </c>
      <c r="J30" s="841"/>
      <c r="K30" s="390" t="b">
        <f t="shared" si="7"/>
        <v>0</v>
      </c>
      <c r="L30" s="390" t="b">
        <f t="shared" si="5"/>
        <v>1</v>
      </c>
      <c r="M30" s="2413" t="str">
        <f t="shared" si="6"/>
        <v>48</v>
      </c>
      <c r="N30" s="2414"/>
    </row>
    <row r="31" spans="1:19" x14ac:dyDescent="0.25">
      <c r="A31" s="390" t="str">
        <f t="shared" si="4"/>
        <v>48E UNC Hospitals - Enterprise Fund</v>
      </c>
      <c r="B31" s="391" t="s">
        <v>896</v>
      </c>
      <c r="C31" s="391" t="str">
        <f t="shared" si="0"/>
        <v>48E</v>
      </c>
      <c r="D31" s="390" t="s">
        <v>897</v>
      </c>
      <c r="E31" s="390" t="s">
        <v>821</v>
      </c>
      <c r="F31" s="390" t="s">
        <v>926</v>
      </c>
      <c r="G31" s="1162" t="s">
        <v>4829</v>
      </c>
      <c r="H31" s="841" t="s">
        <v>4830</v>
      </c>
      <c r="I31" s="764">
        <v>2635</v>
      </c>
      <c r="J31" s="841"/>
      <c r="K31" s="390" t="b">
        <f t="shared" si="7"/>
        <v>1</v>
      </c>
      <c r="L31" s="390" t="b">
        <f t="shared" si="5"/>
        <v>1</v>
      </c>
      <c r="M31" s="2413" t="str">
        <f t="shared" si="6"/>
        <v>48E</v>
      </c>
      <c r="N31" s="2414"/>
    </row>
    <row r="32" spans="1:19" x14ac:dyDescent="0.25">
      <c r="A32" s="390" t="str">
        <f t="shared" si="4"/>
        <v>48L UNC Hospitals - LITF</v>
      </c>
      <c r="B32" s="391" t="s">
        <v>169</v>
      </c>
      <c r="C32" s="391" t="str">
        <f t="shared" si="0"/>
        <v>48L</v>
      </c>
      <c r="D32" s="390" t="s">
        <v>170</v>
      </c>
      <c r="E32" s="390" t="s">
        <v>821</v>
      </c>
      <c r="F32" s="390" t="s">
        <v>926</v>
      </c>
      <c r="G32" s="1162" t="s">
        <v>4055</v>
      </c>
      <c r="H32" s="841" t="s">
        <v>4056</v>
      </c>
      <c r="I32" s="764">
        <v>2632</v>
      </c>
      <c r="J32" s="841"/>
      <c r="K32" s="390" t="b">
        <f t="shared" si="7"/>
        <v>1</v>
      </c>
      <c r="L32" s="390" t="b">
        <f t="shared" si="5"/>
        <v>1</v>
      </c>
      <c r="M32" s="2413" t="str">
        <f t="shared" si="6"/>
        <v>48L</v>
      </c>
      <c r="N32" s="2414"/>
    </row>
    <row r="33" spans="1:15" x14ac:dyDescent="0.25">
      <c r="A33" s="390" t="str">
        <f t="shared" si="4"/>
        <v>48R Rex Healthcare</v>
      </c>
      <c r="B33" s="391" t="s">
        <v>168</v>
      </c>
      <c r="C33" s="391" t="str">
        <f t="shared" si="0"/>
        <v>48R</v>
      </c>
      <c r="D33" s="390" t="s">
        <v>573</v>
      </c>
      <c r="E33" s="390" t="s">
        <v>821</v>
      </c>
      <c r="F33" s="390" t="s">
        <v>926</v>
      </c>
      <c r="G33" s="1162" t="s">
        <v>4654</v>
      </c>
      <c r="H33" s="841" t="s">
        <v>4655</v>
      </c>
      <c r="I33" s="764">
        <v>2637</v>
      </c>
      <c r="J33" s="841"/>
      <c r="K33" s="390" t="b">
        <f t="shared" si="7"/>
        <v>1</v>
      </c>
      <c r="M33" s="2413" t="str">
        <f t="shared" si="6"/>
        <v>48R</v>
      </c>
      <c r="N33" s="2414"/>
    </row>
    <row r="34" spans="1:15" x14ac:dyDescent="0.25">
      <c r="A34" s="390" t="str">
        <f t="shared" si="4"/>
        <v>48C Chatham Hospital</v>
      </c>
      <c r="B34" s="391" t="s">
        <v>1304</v>
      </c>
      <c r="C34" s="391" t="str">
        <f t="shared" si="0"/>
        <v>48C</v>
      </c>
      <c r="D34" s="841" t="s">
        <v>1310</v>
      </c>
      <c r="E34" s="390" t="s">
        <v>821</v>
      </c>
      <c r="F34" s="390" t="s">
        <v>926</v>
      </c>
      <c r="G34" s="1162" t="s">
        <v>4656</v>
      </c>
      <c r="H34" s="841" t="s">
        <v>4657</v>
      </c>
      <c r="I34" s="1162">
        <v>2638</v>
      </c>
      <c r="J34" s="841"/>
      <c r="M34" s="2413" t="str">
        <f t="shared" si="6"/>
        <v>48C</v>
      </c>
      <c r="N34" s="2414"/>
    </row>
    <row r="35" spans="1:15" x14ac:dyDescent="0.25">
      <c r="A35" s="976" t="str">
        <f t="shared" si="4"/>
        <v>48T UNC Physicians Network</v>
      </c>
      <c r="B35" s="391" t="s">
        <v>1399</v>
      </c>
      <c r="C35" s="391" t="str">
        <f t="shared" si="0"/>
        <v>48T</v>
      </c>
      <c r="D35" s="390" t="s">
        <v>4301</v>
      </c>
      <c r="E35" s="390" t="s">
        <v>821</v>
      </c>
      <c r="F35" s="390" t="s">
        <v>926</v>
      </c>
      <c r="G35" s="1162" t="s">
        <v>4831</v>
      </c>
      <c r="H35" s="841" t="s">
        <v>4832</v>
      </c>
      <c r="I35" s="764">
        <v>2639</v>
      </c>
      <c r="J35" s="841"/>
      <c r="M35" s="2413" t="str">
        <f t="shared" si="6"/>
        <v>48T</v>
      </c>
      <c r="N35" s="2414"/>
    </row>
    <row r="36" spans="1:15" x14ac:dyDescent="0.25">
      <c r="A36" s="976" t="str">
        <f t="shared" si="4"/>
        <v>48RH UNC Rockingham Health Care</v>
      </c>
      <c r="B36" s="1967" t="s">
        <v>4590</v>
      </c>
      <c r="C36" s="391" t="str">
        <f t="shared" si="0"/>
        <v>48RH</v>
      </c>
      <c r="D36" s="390" t="s">
        <v>4593</v>
      </c>
      <c r="E36" s="390" t="s">
        <v>821</v>
      </c>
      <c r="F36" s="390" t="s">
        <v>926</v>
      </c>
      <c r="G36" s="1162" t="s">
        <v>4652</v>
      </c>
      <c r="H36" s="841" t="s">
        <v>4653</v>
      </c>
      <c r="I36" s="1162" t="s">
        <v>1462</v>
      </c>
      <c r="J36" s="841"/>
      <c r="M36" s="2413" t="str">
        <f t="shared" si="6"/>
        <v>48RH</v>
      </c>
      <c r="N36" s="2414"/>
    </row>
    <row r="37" spans="1:15" x14ac:dyDescent="0.25">
      <c r="A37" s="976" t="str">
        <f t="shared" si="4"/>
        <v>48CW Caldwell Memorial Hospital</v>
      </c>
      <c r="B37" s="391" t="s">
        <v>3525</v>
      </c>
      <c r="C37" s="391" t="str">
        <f t="shared" si="0"/>
        <v>48CW</v>
      </c>
      <c r="D37" s="390" t="s">
        <v>3526</v>
      </c>
      <c r="E37" s="390" t="s">
        <v>821</v>
      </c>
      <c r="F37" s="390" t="s">
        <v>926</v>
      </c>
      <c r="G37" s="1162" t="s">
        <v>4656</v>
      </c>
      <c r="H37" s="841" t="s">
        <v>4657</v>
      </c>
      <c r="I37" s="1162" t="s">
        <v>1462</v>
      </c>
      <c r="J37" s="976"/>
      <c r="M37" s="2413" t="str">
        <f t="shared" si="6"/>
        <v>48CW</v>
      </c>
      <c r="N37" s="2414"/>
    </row>
    <row r="38" spans="1:15" x14ac:dyDescent="0.25">
      <c r="A38" s="390" t="str">
        <f t="shared" si="4"/>
        <v>50 Community College System Office</v>
      </c>
      <c r="B38" s="391">
        <v>50</v>
      </c>
      <c r="C38" s="391" t="str">
        <f t="shared" si="0"/>
        <v>50</v>
      </c>
      <c r="D38" s="390" t="s">
        <v>47</v>
      </c>
      <c r="E38" s="390" t="s">
        <v>925</v>
      </c>
      <c r="F38" s="390" t="s">
        <v>1155</v>
      </c>
      <c r="G38" s="2140" t="s">
        <v>4778</v>
      </c>
      <c r="H38" s="1601" t="s">
        <v>4377</v>
      </c>
      <c r="M38" s="2413" t="str">
        <f t="shared" si="6"/>
        <v>50</v>
      </c>
      <c r="N38" s="2414" t="s">
        <v>5206</v>
      </c>
    </row>
    <row r="39" spans="1:15" x14ac:dyDescent="0.25">
      <c r="A39" s="390" t="str">
        <f t="shared" si="4"/>
        <v>60 State Board of Elections</v>
      </c>
      <c r="B39" s="391">
        <v>60</v>
      </c>
      <c r="C39" s="391" t="str">
        <f t="shared" si="0"/>
        <v>60</v>
      </c>
      <c r="D39" s="390" t="s">
        <v>48</v>
      </c>
      <c r="E39" s="390" t="s">
        <v>925</v>
      </c>
      <c r="F39" s="390" t="s">
        <v>1155</v>
      </c>
      <c r="G39" s="1162" t="s">
        <v>5717</v>
      </c>
      <c r="H39" s="841" t="s">
        <v>5718</v>
      </c>
      <c r="M39" s="2413" t="str">
        <f t="shared" si="6"/>
        <v>60</v>
      </c>
      <c r="N39" s="2414" t="s">
        <v>5207</v>
      </c>
    </row>
    <row r="40" spans="1:15" x14ac:dyDescent="0.25">
      <c r="A40" s="390" t="str">
        <f t="shared" si="4"/>
        <v>61 NC Education Lottery</v>
      </c>
      <c r="B40" s="391" t="s">
        <v>908</v>
      </c>
      <c r="C40" s="391" t="str">
        <f t="shared" si="0"/>
        <v>61</v>
      </c>
      <c r="D40" s="390" t="s">
        <v>574</v>
      </c>
      <c r="E40" s="390" t="s">
        <v>925</v>
      </c>
      <c r="F40" s="390" t="s">
        <v>1155</v>
      </c>
      <c r="G40" s="1162" t="s">
        <v>3551</v>
      </c>
      <c r="H40" s="841" t="s">
        <v>3552</v>
      </c>
      <c r="M40" s="2413" t="str">
        <f t="shared" si="6"/>
        <v>61</v>
      </c>
      <c r="N40" s="2414" t="s">
        <v>5208</v>
      </c>
    </row>
    <row r="41" spans="1:15" x14ac:dyDescent="0.25">
      <c r="A41" s="390" t="str">
        <f t="shared" si="4"/>
        <v>67 Office of Administrative Hearings</v>
      </c>
      <c r="B41" s="391">
        <v>67</v>
      </c>
      <c r="C41" s="391" t="str">
        <f t="shared" si="0"/>
        <v>67</v>
      </c>
      <c r="D41" s="390" t="s">
        <v>190</v>
      </c>
      <c r="E41" s="390" t="s">
        <v>925</v>
      </c>
      <c r="F41" s="390" t="s">
        <v>1155</v>
      </c>
      <c r="G41" s="1162" t="s">
        <v>4371</v>
      </c>
      <c r="H41" s="841" t="s">
        <v>4867</v>
      </c>
      <c r="M41" s="2413" t="str">
        <f t="shared" si="6"/>
        <v>67</v>
      </c>
      <c r="N41" s="2414" t="s">
        <v>5209</v>
      </c>
    </row>
    <row r="42" spans="1:15" x14ac:dyDescent="0.25">
      <c r="A42" s="390" t="str">
        <f t="shared" ref="A42:A66" si="8">C42&amp;" "&amp;D42</f>
        <v>69 USS North Carolina Battleship Comm.</v>
      </c>
      <c r="B42" s="391" t="s">
        <v>399</v>
      </c>
      <c r="C42" s="391" t="str">
        <f t="shared" si="0"/>
        <v>69</v>
      </c>
      <c r="D42" s="390" t="s">
        <v>724</v>
      </c>
      <c r="E42" s="390" t="s">
        <v>925</v>
      </c>
      <c r="F42" s="390" t="s">
        <v>926</v>
      </c>
      <c r="G42" s="1162" t="s">
        <v>4366</v>
      </c>
      <c r="H42" s="841" t="s">
        <v>4687</v>
      </c>
      <c r="M42" s="2413" t="str">
        <f t="shared" si="6"/>
        <v>69</v>
      </c>
      <c r="N42" s="2414" t="s">
        <v>5210</v>
      </c>
    </row>
    <row r="43" spans="1:15" x14ac:dyDescent="0.25">
      <c r="A43" s="390" t="str">
        <f t="shared" si="8"/>
        <v>6BC Deferred Comp &amp; NC 401(k)-Combined Pkg</v>
      </c>
      <c r="B43" s="391" t="s">
        <v>1964</v>
      </c>
      <c r="C43" s="391" t="str">
        <f t="shared" si="0"/>
        <v>6BC</v>
      </c>
      <c r="D43" s="976" t="s">
        <v>1939</v>
      </c>
      <c r="E43" s="390" t="s">
        <v>925</v>
      </c>
      <c r="F43" s="390" t="s">
        <v>926</v>
      </c>
      <c r="G43" s="1162" t="s">
        <v>3691</v>
      </c>
      <c r="H43" s="841" t="s">
        <v>4184</v>
      </c>
      <c r="J43" s="1053"/>
      <c r="M43" s="2413" t="str">
        <f t="shared" ref="M43:M65" si="9">C43</f>
        <v>6BC</v>
      </c>
      <c r="N43" s="2414"/>
    </row>
    <row r="44" spans="1:15" x14ac:dyDescent="0.25">
      <c r="A44" s="390" t="str">
        <f t="shared" si="8"/>
        <v>87 NC School of Science &amp; Mathematics</v>
      </c>
      <c r="B44" s="391">
        <v>87</v>
      </c>
      <c r="C44" s="391" t="str">
        <f t="shared" si="0"/>
        <v>87</v>
      </c>
      <c r="D44" s="841" t="s">
        <v>1286</v>
      </c>
      <c r="E44" s="390" t="s">
        <v>821</v>
      </c>
      <c r="F44" s="390" t="s">
        <v>1155</v>
      </c>
      <c r="G44" s="1162" t="s">
        <v>3682</v>
      </c>
      <c r="H44" s="841" t="s">
        <v>4243</v>
      </c>
      <c r="I44" s="390" t="s">
        <v>351</v>
      </c>
      <c r="J44" s="1163" t="s">
        <v>1750</v>
      </c>
      <c r="M44" s="2413" t="str">
        <f t="shared" si="9"/>
        <v>87</v>
      </c>
      <c r="N44" s="2414" t="s">
        <v>5211</v>
      </c>
    </row>
    <row r="45" spans="1:15" x14ac:dyDescent="0.25">
      <c r="A45" s="390" t="str">
        <f t="shared" si="8"/>
        <v>90 General Fund - OSC</v>
      </c>
      <c r="B45" s="391" t="s">
        <v>1166</v>
      </c>
      <c r="C45" s="391" t="str">
        <f t="shared" si="0"/>
        <v>90</v>
      </c>
      <c r="D45" s="390" t="s">
        <v>1167</v>
      </c>
      <c r="E45" s="390" t="s">
        <v>925</v>
      </c>
      <c r="F45" s="390" t="s">
        <v>1155</v>
      </c>
      <c r="G45" s="1162" t="s">
        <v>5325</v>
      </c>
      <c r="H45" s="841" t="s">
        <v>5326</v>
      </c>
      <c r="M45" s="2413" t="str">
        <f t="shared" si="9"/>
        <v>90</v>
      </c>
      <c r="N45" s="2414" t="s">
        <v>5212</v>
      </c>
    </row>
    <row r="46" spans="1:15" x14ac:dyDescent="0.25">
      <c r="A46" s="390" t="str">
        <f t="shared" si="8"/>
        <v>99 General Fund - DOR</v>
      </c>
      <c r="B46" s="391" t="s">
        <v>1169</v>
      </c>
      <c r="C46" s="391" t="str">
        <f t="shared" si="0"/>
        <v>99</v>
      </c>
      <c r="D46" s="390" t="s">
        <v>1168</v>
      </c>
      <c r="E46" s="390" t="s">
        <v>925</v>
      </c>
      <c r="F46" s="390" t="s">
        <v>1155</v>
      </c>
      <c r="G46" s="1162" t="s">
        <v>3549</v>
      </c>
      <c r="H46" s="841" t="s">
        <v>3550</v>
      </c>
      <c r="M46" s="2413" t="str">
        <f t="shared" si="9"/>
        <v>99</v>
      </c>
      <c r="N46" s="2414" t="s">
        <v>5213</v>
      </c>
    </row>
    <row r="47" spans="1:15" x14ac:dyDescent="0.25">
      <c r="A47" s="390" t="str">
        <f t="shared" si="8"/>
        <v>RX OSC-Central Accounts</v>
      </c>
      <c r="B47" s="391" t="s">
        <v>49</v>
      </c>
      <c r="C47" s="391" t="str">
        <f t="shared" ref="C47:C74" si="10">B47</f>
        <v>RX</v>
      </c>
      <c r="D47" s="390" t="s">
        <v>502</v>
      </c>
      <c r="E47" s="390" t="s">
        <v>925</v>
      </c>
      <c r="F47" s="390" t="s">
        <v>1155</v>
      </c>
      <c r="G47" s="1162" t="s">
        <v>4782</v>
      </c>
      <c r="H47" s="841" t="s">
        <v>4783</v>
      </c>
      <c r="M47" s="2413" t="str">
        <f t="shared" si="9"/>
        <v>RX</v>
      </c>
      <c r="N47" s="2414" t="s">
        <v>5214</v>
      </c>
    </row>
    <row r="48" spans="1:15" ht="18.75" x14ac:dyDescent="0.3">
      <c r="A48" s="390" t="str">
        <f t="shared" si="8"/>
        <v>U10 UNC-System Office</v>
      </c>
      <c r="B48" s="391" t="s">
        <v>401</v>
      </c>
      <c r="C48" s="391" t="str">
        <f t="shared" si="10"/>
        <v>U10</v>
      </c>
      <c r="D48" s="841" t="s">
        <v>4622</v>
      </c>
      <c r="E48" s="390" t="s">
        <v>821</v>
      </c>
      <c r="F48" s="390" t="s">
        <v>1469</v>
      </c>
      <c r="G48" s="1162" t="s">
        <v>4625</v>
      </c>
      <c r="H48" s="841" t="s">
        <v>4626</v>
      </c>
      <c r="I48" s="390" t="s">
        <v>351</v>
      </c>
      <c r="J48" s="2263" t="s">
        <v>4968</v>
      </c>
      <c r="M48" s="2413" t="str">
        <f t="shared" si="9"/>
        <v>U10</v>
      </c>
      <c r="N48" s="2414" t="s">
        <v>5215</v>
      </c>
      <c r="O48" s="841" t="s">
        <v>401</v>
      </c>
    </row>
    <row r="49" spans="1:15" ht="18.75" x14ac:dyDescent="0.3">
      <c r="A49" s="390" t="str">
        <f t="shared" si="8"/>
        <v>U20 UNC at Chapel Hill</v>
      </c>
      <c r="B49" s="391" t="s">
        <v>402</v>
      </c>
      <c r="C49" s="391" t="str">
        <f t="shared" si="10"/>
        <v>U20</v>
      </c>
      <c r="D49" s="390" t="s">
        <v>725</v>
      </c>
      <c r="E49" s="390" t="s">
        <v>821</v>
      </c>
      <c r="F49" s="390" t="s">
        <v>1469</v>
      </c>
      <c r="G49" s="1162" t="s">
        <v>4469</v>
      </c>
      <c r="H49" s="841" t="s">
        <v>4470</v>
      </c>
      <c r="I49" s="390" t="s">
        <v>351</v>
      </c>
      <c r="J49" s="976"/>
      <c r="M49" s="2413" t="str">
        <f t="shared" si="9"/>
        <v>U20</v>
      </c>
      <c r="N49" s="2414" t="s">
        <v>5216</v>
      </c>
      <c r="O49" s="841" t="s">
        <v>402</v>
      </c>
    </row>
    <row r="50" spans="1:15" ht="18.75" x14ac:dyDescent="0.3">
      <c r="A50" s="390" t="str">
        <f t="shared" si="8"/>
        <v>U30 North Carolina State University</v>
      </c>
      <c r="B50" s="391" t="s">
        <v>403</v>
      </c>
      <c r="C50" s="391" t="str">
        <f t="shared" si="10"/>
        <v>U30</v>
      </c>
      <c r="D50" s="390" t="s">
        <v>171</v>
      </c>
      <c r="E50" s="390" t="s">
        <v>821</v>
      </c>
      <c r="F50" s="841" t="s">
        <v>1469</v>
      </c>
      <c r="G50" s="1162" t="s">
        <v>4623</v>
      </c>
      <c r="H50" s="841" t="s">
        <v>4624</v>
      </c>
      <c r="I50" s="390" t="s">
        <v>351</v>
      </c>
      <c r="J50" s="976"/>
      <c r="M50" s="2413" t="str">
        <f t="shared" si="9"/>
        <v>U30</v>
      </c>
      <c r="N50" s="2414" t="s">
        <v>5217</v>
      </c>
      <c r="O50" s="841" t="s">
        <v>403</v>
      </c>
    </row>
    <row r="51" spans="1:15" ht="18.75" x14ac:dyDescent="0.3">
      <c r="A51" s="390" t="str">
        <f t="shared" si="8"/>
        <v>U40 UNC at Greensboro</v>
      </c>
      <c r="B51" s="391" t="s">
        <v>404</v>
      </c>
      <c r="C51" s="391" t="str">
        <f t="shared" si="10"/>
        <v>U40</v>
      </c>
      <c r="D51" s="390" t="s">
        <v>726</v>
      </c>
      <c r="E51" s="390" t="s">
        <v>821</v>
      </c>
      <c r="F51" s="841" t="s">
        <v>1469</v>
      </c>
      <c r="G51" s="1162" t="s">
        <v>5709</v>
      </c>
      <c r="H51" s="841" t="s">
        <v>5710</v>
      </c>
      <c r="I51" s="390" t="s">
        <v>351</v>
      </c>
      <c r="M51" s="2413" t="str">
        <f t="shared" si="9"/>
        <v>U40</v>
      </c>
      <c r="N51" s="2414" t="s">
        <v>5218</v>
      </c>
      <c r="O51" s="841" t="s">
        <v>404</v>
      </c>
    </row>
    <row r="52" spans="1:15" ht="18.75" x14ac:dyDescent="0.3">
      <c r="A52" s="390" t="str">
        <f t="shared" si="8"/>
        <v>U50 UNC at Charlotte</v>
      </c>
      <c r="B52" s="391" t="s">
        <v>405</v>
      </c>
      <c r="C52" s="391" t="str">
        <f t="shared" si="10"/>
        <v>U50</v>
      </c>
      <c r="D52" s="390" t="s">
        <v>178</v>
      </c>
      <c r="E52" s="390" t="s">
        <v>821</v>
      </c>
      <c r="F52" s="841" t="s">
        <v>1469</v>
      </c>
      <c r="G52" s="2140" t="s">
        <v>5342</v>
      </c>
      <c r="H52" s="2142" t="s">
        <v>3553</v>
      </c>
      <c r="I52" s="390" t="s">
        <v>351</v>
      </c>
      <c r="M52" s="2413" t="str">
        <f t="shared" si="9"/>
        <v>U50</v>
      </c>
      <c r="N52" s="2414" t="s">
        <v>5219</v>
      </c>
      <c r="O52" s="841" t="s">
        <v>405</v>
      </c>
    </row>
    <row r="53" spans="1:15" ht="18.75" x14ac:dyDescent="0.3">
      <c r="A53" s="390" t="str">
        <f t="shared" si="8"/>
        <v>U55 UNC at Asheville</v>
      </c>
      <c r="B53" s="391" t="s">
        <v>406</v>
      </c>
      <c r="C53" s="391" t="str">
        <f t="shared" si="10"/>
        <v>U55</v>
      </c>
      <c r="D53" s="390" t="s">
        <v>179</v>
      </c>
      <c r="E53" s="390" t="s">
        <v>821</v>
      </c>
      <c r="F53" s="841" t="s">
        <v>1469</v>
      </c>
      <c r="G53" s="1162" t="s">
        <v>4066</v>
      </c>
      <c r="H53" s="841" t="s">
        <v>3538</v>
      </c>
      <c r="I53" s="390" t="s">
        <v>351</v>
      </c>
      <c r="M53" s="2413" t="str">
        <f t="shared" si="9"/>
        <v>U55</v>
      </c>
      <c r="N53" s="2414" t="s">
        <v>5220</v>
      </c>
      <c r="O53" s="841" t="s">
        <v>406</v>
      </c>
    </row>
    <row r="54" spans="1:15" ht="18.75" x14ac:dyDescent="0.3">
      <c r="A54" s="390" t="str">
        <f t="shared" si="8"/>
        <v>U60 UNC at Wilmington</v>
      </c>
      <c r="B54" s="391" t="s">
        <v>64</v>
      </c>
      <c r="C54" s="391" t="str">
        <f t="shared" si="10"/>
        <v>U60</v>
      </c>
      <c r="D54" s="390" t="s">
        <v>180</v>
      </c>
      <c r="E54" s="390" t="s">
        <v>821</v>
      </c>
      <c r="F54" s="841" t="s">
        <v>1469</v>
      </c>
      <c r="G54" s="1162" t="s">
        <v>4057</v>
      </c>
      <c r="H54" s="841" t="s">
        <v>4058</v>
      </c>
      <c r="I54" s="390" t="s">
        <v>351</v>
      </c>
      <c r="J54" s="976"/>
      <c r="M54" s="2413" t="str">
        <f t="shared" si="9"/>
        <v>U60</v>
      </c>
      <c r="N54" s="2414" t="s">
        <v>5221</v>
      </c>
      <c r="O54" s="841" t="s">
        <v>64</v>
      </c>
    </row>
    <row r="55" spans="1:15" ht="18.75" x14ac:dyDescent="0.3">
      <c r="A55" s="390" t="str">
        <f t="shared" si="8"/>
        <v>U65 East Carolina University</v>
      </c>
      <c r="B55" s="391" t="s">
        <v>65</v>
      </c>
      <c r="C55" s="391" t="str">
        <f t="shared" si="10"/>
        <v>U65</v>
      </c>
      <c r="D55" s="390" t="s">
        <v>6</v>
      </c>
      <c r="E55" s="390" t="s">
        <v>821</v>
      </c>
      <c r="F55" s="841" t="s">
        <v>1469</v>
      </c>
      <c r="G55" s="2140" t="s">
        <v>5715</v>
      </c>
      <c r="H55" s="841" t="s">
        <v>5716</v>
      </c>
      <c r="I55" s="390" t="s">
        <v>351</v>
      </c>
      <c r="J55" s="976"/>
      <c r="M55" s="2413" t="str">
        <f t="shared" si="9"/>
        <v>U65</v>
      </c>
      <c r="N55" s="2414" t="s">
        <v>5222</v>
      </c>
      <c r="O55" s="841" t="s">
        <v>65</v>
      </c>
    </row>
    <row r="56" spans="1:15" ht="18.75" x14ac:dyDescent="0.3">
      <c r="A56" s="390" t="str">
        <f t="shared" si="8"/>
        <v>U70 North Carolina A&amp;T University</v>
      </c>
      <c r="B56" s="391" t="s">
        <v>66</v>
      </c>
      <c r="C56" s="391" t="str">
        <f t="shared" si="10"/>
        <v>U70</v>
      </c>
      <c r="D56" s="841" t="s">
        <v>1285</v>
      </c>
      <c r="E56" s="390" t="s">
        <v>821</v>
      </c>
      <c r="F56" s="841" t="s">
        <v>1469</v>
      </c>
      <c r="G56" s="1162" t="s">
        <v>3896</v>
      </c>
      <c r="H56" s="841" t="s">
        <v>3539</v>
      </c>
      <c r="I56" s="390" t="s">
        <v>351</v>
      </c>
      <c r="J56" s="976"/>
      <c r="M56" s="2413" t="str">
        <f t="shared" si="9"/>
        <v>U70</v>
      </c>
      <c r="N56" s="2414" t="s">
        <v>5223</v>
      </c>
      <c r="O56" s="841" t="s">
        <v>66</v>
      </c>
    </row>
    <row r="57" spans="1:15" ht="18.75" x14ac:dyDescent="0.3">
      <c r="A57" s="390" t="str">
        <f t="shared" si="8"/>
        <v>U75 Western Carolina University</v>
      </c>
      <c r="B57" s="391" t="s">
        <v>67</v>
      </c>
      <c r="C57" s="391" t="str">
        <f t="shared" si="10"/>
        <v>U75</v>
      </c>
      <c r="D57" s="390" t="s">
        <v>173</v>
      </c>
      <c r="E57" s="390" t="s">
        <v>821</v>
      </c>
      <c r="F57" s="841" t="s">
        <v>1469</v>
      </c>
      <c r="G57" s="1162" t="s">
        <v>5763</v>
      </c>
      <c r="H57" s="841" t="s">
        <v>5764</v>
      </c>
      <c r="I57" s="390" t="s">
        <v>351</v>
      </c>
      <c r="M57" s="2413" t="str">
        <f t="shared" si="9"/>
        <v>U75</v>
      </c>
      <c r="N57" s="2414" t="s">
        <v>5224</v>
      </c>
      <c r="O57" s="841" t="s">
        <v>67</v>
      </c>
    </row>
    <row r="58" spans="1:15" ht="18.75" x14ac:dyDescent="0.3">
      <c r="A58" s="390" t="str">
        <f t="shared" si="8"/>
        <v>U80 Appalachian State University</v>
      </c>
      <c r="B58" s="391" t="s">
        <v>741</v>
      </c>
      <c r="C58" s="391" t="str">
        <f t="shared" si="10"/>
        <v>U80</v>
      </c>
      <c r="D58" s="390" t="s">
        <v>172</v>
      </c>
      <c r="E58" s="390" t="s">
        <v>821</v>
      </c>
      <c r="F58" s="841" t="s">
        <v>1469</v>
      </c>
      <c r="G58" s="1162" t="s">
        <v>3565</v>
      </c>
      <c r="H58" s="841" t="s">
        <v>3566</v>
      </c>
      <c r="I58" s="390" t="s">
        <v>351</v>
      </c>
      <c r="M58" s="2413" t="str">
        <f t="shared" si="9"/>
        <v>U80</v>
      </c>
      <c r="N58" s="2414" t="s">
        <v>5225</v>
      </c>
      <c r="O58" s="841" t="s">
        <v>741</v>
      </c>
    </row>
    <row r="59" spans="1:15" ht="18.75" x14ac:dyDescent="0.3">
      <c r="A59" s="390" t="str">
        <f t="shared" si="8"/>
        <v>U82 UNC at Pembroke</v>
      </c>
      <c r="B59" s="391" t="s">
        <v>742</v>
      </c>
      <c r="C59" s="391" t="str">
        <f t="shared" si="10"/>
        <v>U82</v>
      </c>
      <c r="D59" s="390" t="s">
        <v>181</v>
      </c>
      <c r="E59" s="390" t="s">
        <v>821</v>
      </c>
      <c r="F59" s="841" t="s">
        <v>1469</v>
      </c>
      <c r="G59" s="1162" t="s">
        <v>5343</v>
      </c>
      <c r="H59" s="841" t="s">
        <v>5344</v>
      </c>
      <c r="I59" s="390" t="s">
        <v>351</v>
      </c>
      <c r="M59" s="2413" t="str">
        <f t="shared" si="9"/>
        <v>U82</v>
      </c>
      <c r="N59" s="2414" t="s">
        <v>5226</v>
      </c>
      <c r="O59" s="841" t="s">
        <v>742</v>
      </c>
    </row>
    <row r="60" spans="1:15" ht="18.75" x14ac:dyDescent="0.3">
      <c r="A60" s="390" t="str">
        <f t="shared" si="8"/>
        <v>U84 Winston-Salem State University</v>
      </c>
      <c r="B60" s="391" t="s">
        <v>743</v>
      </c>
      <c r="C60" s="391" t="str">
        <f t="shared" si="10"/>
        <v>U84</v>
      </c>
      <c r="D60" s="390" t="s">
        <v>174</v>
      </c>
      <c r="E60" s="390" t="s">
        <v>821</v>
      </c>
      <c r="F60" s="841" t="s">
        <v>1469</v>
      </c>
      <c r="G60" s="1162" t="s">
        <v>5547</v>
      </c>
      <c r="H60" s="841" t="s">
        <v>5548</v>
      </c>
      <c r="I60" s="390" t="s">
        <v>351</v>
      </c>
      <c r="M60" s="2413" t="str">
        <f t="shared" si="9"/>
        <v>U84</v>
      </c>
      <c r="N60" s="2414" t="s">
        <v>5227</v>
      </c>
      <c r="O60" s="841" t="s">
        <v>743</v>
      </c>
    </row>
    <row r="61" spans="1:15" ht="18.75" x14ac:dyDescent="0.3">
      <c r="A61" s="390" t="str">
        <f t="shared" si="8"/>
        <v>U86 Elizabeth City State University</v>
      </c>
      <c r="B61" s="391" t="s">
        <v>744</v>
      </c>
      <c r="C61" s="391" t="str">
        <f t="shared" si="10"/>
        <v>U86</v>
      </c>
      <c r="D61" s="390" t="s">
        <v>68</v>
      </c>
      <c r="E61" s="390" t="s">
        <v>821</v>
      </c>
      <c r="F61" s="841" t="s">
        <v>1469</v>
      </c>
      <c r="G61" s="1162" t="s">
        <v>3633</v>
      </c>
      <c r="H61" s="841" t="s">
        <v>3634</v>
      </c>
      <c r="I61" s="390" t="s">
        <v>351</v>
      </c>
      <c r="M61" s="2413" t="str">
        <f t="shared" si="9"/>
        <v>U86</v>
      </c>
      <c r="N61" s="2414" t="s">
        <v>5228</v>
      </c>
      <c r="O61" s="841" t="s">
        <v>744</v>
      </c>
    </row>
    <row r="62" spans="1:15" ht="18.75" x14ac:dyDescent="0.3">
      <c r="A62" s="390" t="str">
        <f t="shared" si="8"/>
        <v>U88 Fayetteville State University</v>
      </c>
      <c r="B62" s="391" t="s">
        <v>745</v>
      </c>
      <c r="C62" s="391" t="str">
        <f t="shared" si="10"/>
        <v>U88</v>
      </c>
      <c r="D62" s="390" t="s">
        <v>69</v>
      </c>
      <c r="E62" s="390" t="s">
        <v>821</v>
      </c>
      <c r="F62" s="841" t="s">
        <v>1469</v>
      </c>
      <c r="G62" s="1162" t="s">
        <v>3935</v>
      </c>
      <c r="H62" s="841" t="s">
        <v>3936</v>
      </c>
      <c r="I62" s="390" t="s">
        <v>351</v>
      </c>
      <c r="M62" s="2413" t="str">
        <f t="shared" si="9"/>
        <v>U88</v>
      </c>
      <c r="N62" s="2414" t="s">
        <v>5229</v>
      </c>
      <c r="O62" s="841" t="s">
        <v>745</v>
      </c>
    </row>
    <row r="63" spans="1:15" ht="18.75" x14ac:dyDescent="0.3">
      <c r="A63" s="390" t="str">
        <f t="shared" si="8"/>
        <v>U90 North Carolina Central University</v>
      </c>
      <c r="B63" s="391" t="s">
        <v>746</v>
      </c>
      <c r="C63" s="391" t="str">
        <f t="shared" si="10"/>
        <v>U90</v>
      </c>
      <c r="D63" s="390" t="s">
        <v>7</v>
      </c>
      <c r="E63" s="390" t="s">
        <v>821</v>
      </c>
      <c r="F63" s="841" t="s">
        <v>1469</v>
      </c>
      <c r="G63" s="1162" t="s">
        <v>4868</v>
      </c>
      <c r="H63" s="841" t="s">
        <v>4869</v>
      </c>
      <c r="I63" s="390" t="s">
        <v>351</v>
      </c>
      <c r="M63" s="2413" t="str">
        <f t="shared" si="9"/>
        <v>U90</v>
      </c>
      <c r="N63" s="2414" t="s">
        <v>5230</v>
      </c>
      <c r="O63" s="841" t="s">
        <v>746</v>
      </c>
    </row>
    <row r="64" spans="1:15" ht="18.75" x14ac:dyDescent="0.3">
      <c r="A64" s="390" t="str">
        <f t="shared" si="8"/>
        <v>U92 UNC School of the Arts</v>
      </c>
      <c r="B64" s="391" t="s">
        <v>747</v>
      </c>
      <c r="C64" s="391" t="str">
        <f t="shared" si="10"/>
        <v>U92</v>
      </c>
      <c r="D64" s="841" t="s">
        <v>1284</v>
      </c>
      <c r="E64" s="390" t="s">
        <v>821</v>
      </c>
      <c r="F64" s="841" t="s">
        <v>1469</v>
      </c>
      <c r="G64" s="1162" t="s">
        <v>5711</v>
      </c>
      <c r="H64" s="841" t="s">
        <v>5712</v>
      </c>
      <c r="I64" s="390" t="s">
        <v>351</v>
      </c>
      <c r="M64" s="2413" t="str">
        <f t="shared" si="9"/>
        <v>U92</v>
      </c>
      <c r="N64" s="2414" t="s">
        <v>5231</v>
      </c>
      <c r="O64" s="841" t="s">
        <v>747</v>
      </c>
    </row>
    <row r="65" spans="1:14" x14ac:dyDescent="0.25">
      <c r="A65" s="390" t="str">
        <f t="shared" si="8"/>
        <v>0A North Carolina Housing Finance Ag.</v>
      </c>
      <c r="B65" s="391" t="s">
        <v>150</v>
      </c>
      <c r="C65" s="391" t="str">
        <f>TEXT(B65,"00")</f>
        <v>0A</v>
      </c>
      <c r="D65" s="390" t="s">
        <v>182</v>
      </c>
      <c r="E65" s="841" t="s">
        <v>823</v>
      </c>
      <c r="F65" s="390" t="s">
        <v>926</v>
      </c>
      <c r="G65" s="2140" t="s">
        <v>4917</v>
      </c>
      <c r="H65" s="2142" t="s">
        <v>4918</v>
      </c>
      <c r="I65" s="764">
        <v>2611</v>
      </c>
      <c r="J65" s="976" t="s">
        <v>4969</v>
      </c>
      <c r="M65" s="2413" t="str">
        <f t="shared" si="9"/>
        <v>0A</v>
      </c>
      <c r="N65" s="2414" t="s">
        <v>5232</v>
      </c>
    </row>
    <row r="66" spans="1:14" x14ac:dyDescent="0.25">
      <c r="A66" s="390" t="str">
        <f t="shared" si="8"/>
        <v>Z2 NC Biotechnology Center</v>
      </c>
      <c r="B66" s="391" t="s">
        <v>1311</v>
      </c>
      <c r="C66" s="391" t="str">
        <f>B66</f>
        <v>Z2</v>
      </c>
      <c r="D66" s="841" t="s">
        <v>1312</v>
      </c>
      <c r="E66" s="390" t="s">
        <v>823</v>
      </c>
      <c r="F66" s="390" t="s">
        <v>926</v>
      </c>
      <c r="G66" s="1162" t="s">
        <v>4493</v>
      </c>
      <c r="H66" s="841" t="s">
        <v>4494</v>
      </c>
      <c r="I66" s="764">
        <v>2618</v>
      </c>
      <c r="M66" s="2413" t="str">
        <f t="shared" ref="M66:M76" si="11">C66</f>
        <v>Z2</v>
      </c>
      <c r="N66" s="2414" t="s">
        <v>5233</v>
      </c>
    </row>
    <row r="67" spans="1:14" x14ac:dyDescent="0.25">
      <c r="A67" s="390" t="str">
        <f t="shared" ref="A67:A130" si="12">C67&amp;" "&amp;D67</f>
        <v>Z3 NC Global TransPark Authority</v>
      </c>
      <c r="B67" s="391" t="s">
        <v>623</v>
      </c>
      <c r="C67" s="391" t="str">
        <f t="shared" si="10"/>
        <v>Z3</v>
      </c>
      <c r="D67" s="390" t="s">
        <v>576</v>
      </c>
      <c r="E67" s="390" t="s">
        <v>823</v>
      </c>
      <c r="F67" s="841" t="s">
        <v>1064</v>
      </c>
      <c r="G67" s="1162" t="s">
        <v>3894</v>
      </c>
      <c r="H67" s="841" t="s">
        <v>3895</v>
      </c>
      <c r="I67" s="764">
        <v>2615</v>
      </c>
      <c r="J67" s="1163"/>
      <c r="M67" s="2413" t="str">
        <f t="shared" si="11"/>
        <v>Z3</v>
      </c>
      <c r="N67" s="2414" t="s">
        <v>5234</v>
      </c>
    </row>
    <row r="68" spans="1:14" x14ac:dyDescent="0.25">
      <c r="A68" s="390" t="str">
        <f>C68&amp;" "&amp;D68</f>
        <v>Z3F NC Global TransPark Authority Foundation</v>
      </c>
      <c r="B68" s="391" t="s">
        <v>1748</v>
      </c>
      <c r="C68" s="391" t="str">
        <f>B68</f>
        <v>Z3F</v>
      </c>
      <c r="D68" s="841" t="s">
        <v>1749</v>
      </c>
      <c r="E68" s="390" t="s">
        <v>823</v>
      </c>
      <c r="F68" s="390" t="s">
        <v>926</v>
      </c>
      <c r="G68" s="1162" t="s">
        <v>3558</v>
      </c>
      <c r="H68" s="841" t="s">
        <v>3906</v>
      </c>
      <c r="I68" s="764">
        <v>2615</v>
      </c>
      <c r="J68" s="1163" t="s">
        <v>1751</v>
      </c>
      <c r="M68" s="2413" t="str">
        <f t="shared" si="11"/>
        <v>Z3F</v>
      </c>
      <c r="N68" s="2414" t="s">
        <v>5234</v>
      </c>
    </row>
    <row r="69" spans="1:14" x14ac:dyDescent="0.25">
      <c r="A69" s="390" t="str">
        <f t="shared" si="12"/>
        <v>Z7 NC Partnership for Children</v>
      </c>
      <c r="B69" s="391" t="s">
        <v>624</v>
      </c>
      <c r="C69" s="391" t="str">
        <f t="shared" si="10"/>
        <v>Z7</v>
      </c>
      <c r="D69" s="390" t="s">
        <v>577</v>
      </c>
      <c r="E69" s="390" t="s">
        <v>823</v>
      </c>
      <c r="F69" s="390" t="s">
        <v>926</v>
      </c>
      <c r="G69" s="1162" t="s">
        <v>5656</v>
      </c>
      <c r="H69" s="841" t="s">
        <v>4170</v>
      </c>
      <c r="I69" s="764">
        <v>2621</v>
      </c>
      <c r="M69" s="2413" t="str">
        <f t="shared" si="11"/>
        <v>Z7</v>
      </c>
      <c r="N69" s="2414" t="s">
        <v>5235</v>
      </c>
    </row>
    <row r="70" spans="1:14" x14ac:dyDescent="0.25">
      <c r="A70" s="390" t="str">
        <f t="shared" si="12"/>
        <v>ZA NC State Ports Authority</v>
      </c>
      <c r="B70" s="391" t="s">
        <v>622</v>
      </c>
      <c r="C70" s="391" t="str">
        <f t="shared" si="10"/>
        <v>ZA</v>
      </c>
      <c r="D70" s="390" t="s">
        <v>575</v>
      </c>
      <c r="E70" s="390" t="s">
        <v>823</v>
      </c>
      <c r="F70" s="841" t="s">
        <v>1064</v>
      </c>
      <c r="G70" s="1162" t="s">
        <v>3540</v>
      </c>
      <c r="H70" s="841" t="s">
        <v>3541</v>
      </c>
      <c r="I70" s="764">
        <v>2612</v>
      </c>
      <c r="M70" s="2413" t="str">
        <f t="shared" si="11"/>
        <v>ZA</v>
      </c>
      <c r="N70" s="2414" t="s">
        <v>5236</v>
      </c>
    </row>
    <row r="71" spans="1:14" x14ac:dyDescent="0.25">
      <c r="A71" s="390" t="str">
        <f t="shared" si="12"/>
        <v>ZB State Education Assistance Authority</v>
      </c>
      <c r="B71" s="391" t="s">
        <v>400</v>
      </c>
      <c r="C71" s="391" t="str">
        <f t="shared" si="10"/>
        <v>ZB</v>
      </c>
      <c r="D71" s="390" t="s">
        <v>183</v>
      </c>
      <c r="E71" s="841" t="s">
        <v>823</v>
      </c>
      <c r="F71" s="390" t="s">
        <v>926</v>
      </c>
      <c r="G71" s="1162" t="s">
        <v>3686</v>
      </c>
      <c r="H71" s="841" t="s">
        <v>3687</v>
      </c>
      <c r="I71" s="764">
        <v>2620</v>
      </c>
      <c r="J71" s="1163" t="s">
        <v>1968</v>
      </c>
      <c r="M71" s="2413" t="str">
        <f t="shared" si="11"/>
        <v>ZB</v>
      </c>
      <c r="N71" s="2414" t="s">
        <v>5237</v>
      </c>
    </row>
    <row r="72" spans="1:14" x14ac:dyDescent="0.25">
      <c r="A72" s="390" t="str">
        <f>C72&amp;" "&amp;D72</f>
        <v>ZG Centennial Authority</v>
      </c>
      <c r="B72" s="391" t="s">
        <v>1965</v>
      </c>
      <c r="C72" s="391" t="str">
        <f>B72</f>
        <v>ZG</v>
      </c>
      <c r="D72" s="841" t="s">
        <v>1966</v>
      </c>
      <c r="E72" s="390" t="s">
        <v>823</v>
      </c>
      <c r="F72" s="390" t="s">
        <v>926</v>
      </c>
      <c r="G72" s="1162" t="s">
        <v>3688</v>
      </c>
      <c r="H72" s="841" t="s">
        <v>3689</v>
      </c>
      <c r="I72" s="764">
        <v>2626</v>
      </c>
      <c r="J72" s="1163" t="s">
        <v>4970</v>
      </c>
      <c r="M72" s="2413" t="str">
        <f t="shared" si="11"/>
        <v>ZG</v>
      </c>
      <c r="N72" s="2414" t="s">
        <v>5238</v>
      </c>
    </row>
    <row r="73" spans="1:14" x14ac:dyDescent="0.25">
      <c r="A73" s="390" t="str">
        <f t="shared" si="12"/>
        <v>ZH NC Railroad Company</v>
      </c>
      <c r="B73" s="391" t="s">
        <v>625</v>
      </c>
      <c r="C73" s="391" t="str">
        <f t="shared" si="10"/>
        <v>ZH</v>
      </c>
      <c r="D73" s="390" t="s">
        <v>621</v>
      </c>
      <c r="E73" s="390" t="s">
        <v>823</v>
      </c>
      <c r="F73" s="390" t="s">
        <v>926</v>
      </c>
      <c r="G73" s="2140" t="s">
        <v>5345</v>
      </c>
      <c r="H73" s="841" t="s">
        <v>3690</v>
      </c>
      <c r="I73" s="764">
        <v>2627</v>
      </c>
      <c r="M73" s="2413" t="str">
        <f t="shared" si="11"/>
        <v>ZH</v>
      </c>
      <c r="N73" s="2414" t="s">
        <v>5239</v>
      </c>
    </row>
    <row r="74" spans="1:14" x14ac:dyDescent="0.25">
      <c r="A74" s="390" t="str">
        <f t="shared" si="12"/>
        <v>ZI The Golden LEAF, Inc.</v>
      </c>
      <c r="B74" s="391" t="s">
        <v>780</v>
      </c>
      <c r="C74" s="391" t="str">
        <f t="shared" si="10"/>
        <v>ZI</v>
      </c>
      <c r="D74" s="390" t="s">
        <v>184</v>
      </c>
      <c r="E74" s="841" t="s">
        <v>823</v>
      </c>
      <c r="F74" s="390" t="s">
        <v>926</v>
      </c>
      <c r="G74" s="1162" t="s">
        <v>5403</v>
      </c>
      <c r="H74" s="841" t="s">
        <v>781</v>
      </c>
      <c r="I74" s="764">
        <v>2640</v>
      </c>
      <c r="J74" s="1163" t="s">
        <v>1968</v>
      </c>
      <c r="M74" s="2413" t="str">
        <f t="shared" si="11"/>
        <v>ZI</v>
      </c>
      <c r="N74" s="2414" t="s">
        <v>5240</v>
      </c>
    </row>
    <row r="75" spans="1:14" x14ac:dyDescent="0.25">
      <c r="A75" s="390" t="str">
        <f>C75&amp;" "&amp;D75</f>
        <v>ZL Gateway Research Park, Inc.</v>
      </c>
      <c r="B75" s="391" t="s">
        <v>1689</v>
      </c>
      <c r="C75" s="391" t="str">
        <f>B75</f>
        <v>ZL</v>
      </c>
      <c r="D75" s="841" t="s">
        <v>4663</v>
      </c>
      <c r="E75" s="390" t="s">
        <v>821</v>
      </c>
      <c r="F75" s="390" t="s">
        <v>926</v>
      </c>
      <c r="G75" s="1162" t="s">
        <v>4595</v>
      </c>
      <c r="H75" s="841" t="s">
        <v>4596</v>
      </c>
      <c r="I75" s="1162" t="s">
        <v>351</v>
      </c>
      <c r="J75" s="1163" t="s">
        <v>4664</v>
      </c>
      <c r="M75" s="2413" t="str">
        <f t="shared" si="11"/>
        <v>ZL</v>
      </c>
      <c r="N75" s="2414" t="s">
        <v>5241</v>
      </c>
    </row>
    <row r="76" spans="1:14" x14ac:dyDescent="0.25">
      <c r="A76" s="390" t="str">
        <f t="shared" si="12"/>
        <v>ZM Economic Development Partnership of NC</v>
      </c>
      <c r="B76" s="391" t="s">
        <v>3862</v>
      </c>
      <c r="C76" s="391" t="str">
        <f>B76</f>
        <v>ZM</v>
      </c>
      <c r="D76" s="841" t="s">
        <v>3868</v>
      </c>
      <c r="E76" s="390" t="s">
        <v>823</v>
      </c>
      <c r="F76" s="390" t="s">
        <v>926</v>
      </c>
      <c r="G76" s="2140" t="s">
        <v>5713</v>
      </c>
      <c r="H76" s="841" t="s">
        <v>5714</v>
      </c>
      <c r="I76" s="764">
        <v>2644</v>
      </c>
      <c r="J76" s="1163" t="s">
        <v>3869</v>
      </c>
      <c r="M76" s="2413" t="str">
        <f t="shared" si="11"/>
        <v>ZM</v>
      </c>
      <c r="N76" s="2414" t="s">
        <v>5242</v>
      </c>
    </row>
    <row r="77" spans="1:14" x14ac:dyDescent="0.25">
      <c r="A77" s="390" t="str">
        <f t="shared" si="12"/>
        <v>C0 Alamance Community College</v>
      </c>
      <c r="B77" s="391" t="s">
        <v>603</v>
      </c>
      <c r="C77" s="391" t="s">
        <v>603</v>
      </c>
      <c r="D77" s="390" t="s">
        <v>604</v>
      </c>
      <c r="E77" s="390" t="s">
        <v>822</v>
      </c>
      <c r="F77" s="390" t="s">
        <v>926</v>
      </c>
      <c r="G77" s="1162" t="s">
        <v>5365</v>
      </c>
      <c r="H77" s="841" t="s">
        <v>3542</v>
      </c>
      <c r="I77" s="390" t="s">
        <v>351</v>
      </c>
      <c r="M77" s="2413"/>
      <c r="N77" s="2414"/>
    </row>
    <row r="78" spans="1:14" x14ac:dyDescent="0.25">
      <c r="A78" s="390" t="str">
        <f t="shared" si="12"/>
        <v>C2 Asheville-Buncombe Technical Community College</v>
      </c>
      <c r="B78" s="391" t="s">
        <v>605</v>
      </c>
      <c r="C78" s="391" t="s">
        <v>605</v>
      </c>
      <c r="D78" s="841" t="s">
        <v>606</v>
      </c>
      <c r="E78" s="841" t="s">
        <v>822</v>
      </c>
      <c r="F78" s="841" t="s">
        <v>926</v>
      </c>
      <c r="G78" s="1162" t="s">
        <v>5257</v>
      </c>
      <c r="H78" s="841" t="s">
        <v>5258</v>
      </c>
      <c r="I78" s="390" t="s">
        <v>351</v>
      </c>
      <c r="M78" s="2413"/>
      <c r="N78" s="2414"/>
    </row>
    <row r="79" spans="1:14" x14ac:dyDescent="0.25">
      <c r="A79" s="390" t="str">
        <f t="shared" si="12"/>
        <v>C3 Beaufort County Community College</v>
      </c>
      <c r="B79" s="391" t="s">
        <v>607</v>
      </c>
      <c r="C79" s="391" t="s">
        <v>607</v>
      </c>
      <c r="D79" s="841" t="s">
        <v>608</v>
      </c>
      <c r="E79" s="841" t="s">
        <v>822</v>
      </c>
      <c r="F79" s="841" t="s">
        <v>926</v>
      </c>
      <c r="G79" s="1162" t="s">
        <v>5259</v>
      </c>
      <c r="H79" s="841" t="s">
        <v>5260</v>
      </c>
      <c r="I79" s="390" t="s">
        <v>351</v>
      </c>
      <c r="M79" s="2413"/>
      <c r="N79" s="2414"/>
    </row>
    <row r="80" spans="1:14" x14ac:dyDescent="0.25">
      <c r="A80" s="390" t="str">
        <f t="shared" si="12"/>
        <v>C4 Bladen Community College</v>
      </c>
      <c r="B80" s="391" t="s">
        <v>609</v>
      </c>
      <c r="C80" s="391" t="s">
        <v>609</v>
      </c>
      <c r="D80" s="841" t="s">
        <v>610</v>
      </c>
      <c r="E80" s="841" t="s">
        <v>822</v>
      </c>
      <c r="F80" s="841" t="s">
        <v>926</v>
      </c>
      <c r="G80" s="1162" t="s">
        <v>5261</v>
      </c>
      <c r="H80" s="841" t="s">
        <v>5262</v>
      </c>
      <c r="I80" s="390" t="s">
        <v>351</v>
      </c>
      <c r="M80" s="2413"/>
      <c r="N80" s="2414"/>
    </row>
    <row r="81" spans="1:14" x14ac:dyDescent="0.25">
      <c r="A81" s="390" t="str">
        <f t="shared" si="12"/>
        <v>C5 Blue Ridge Community College</v>
      </c>
      <c r="B81" s="391" t="s">
        <v>611</v>
      </c>
      <c r="C81" s="391" t="s">
        <v>611</v>
      </c>
      <c r="D81" s="841" t="s">
        <v>612</v>
      </c>
      <c r="E81" s="841" t="s">
        <v>822</v>
      </c>
      <c r="F81" s="841" t="s">
        <v>926</v>
      </c>
      <c r="G81" s="1162" t="s">
        <v>5263</v>
      </c>
      <c r="H81" s="841" t="s">
        <v>5264</v>
      </c>
      <c r="I81" s="390" t="s">
        <v>351</v>
      </c>
      <c r="M81" s="2413"/>
      <c r="N81" s="2414"/>
    </row>
    <row r="82" spans="1:14" x14ac:dyDescent="0.25">
      <c r="A82" s="390" t="str">
        <f t="shared" si="12"/>
        <v>C6 Brunswick Community College</v>
      </c>
      <c r="B82" s="391" t="s">
        <v>878</v>
      </c>
      <c r="C82" s="391" t="s">
        <v>878</v>
      </c>
      <c r="D82" s="841" t="s">
        <v>879</v>
      </c>
      <c r="E82" s="841" t="s">
        <v>822</v>
      </c>
      <c r="F82" s="841" t="s">
        <v>926</v>
      </c>
      <c r="G82" s="1162" t="s">
        <v>5265</v>
      </c>
      <c r="H82" s="841" t="s">
        <v>5266</v>
      </c>
      <c r="I82" s="390" t="s">
        <v>351</v>
      </c>
      <c r="M82" s="2413"/>
      <c r="N82" s="2414"/>
    </row>
    <row r="83" spans="1:14" x14ac:dyDescent="0.25">
      <c r="A83" s="390" t="str">
        <f t="shared" si="12"/>
        <v>C7 Caldwell Community College and Technical Institute</v>
      </c>
      <c r="B83" s="391" t="s">
        <v>880</v>
      </c>
      <c r="C83" s="391" t="s">
        <v>880</v>
      </c>
      <c r="D83" s="841" t="s">
        <v>881</v>
      </c>
      <c r="E83" s="841" t="s">
        <v>822</v>
      </c>
      <c r="F83" s="841" t="s">
        <v>926</v>
      </c>
      <c r="G83" s="1162" t="s">
        <v>3543</v>
      </c>
      <c r="H83" s="841" t="s">
        <v>4374</v>
      </c>
      <c r="I83" s="390" t="s">
        <v>351</v>
      </c>
      <c r="M83" s="2413"/>
      <c r="N83" s="2414"/>
    </row>
    <row r="84" spans="1:14" x14ac:dyDescent="0.25">
      <c r="A84" s="390" t="str">
        <f t="shared" si="12"/>
        <v>C8 Cape Fear Community College</v>
      </c>
      <c r="B84" s="391" t="s">
        <v>882</v>
      </c>
      <c r="C84" s="391" t="s">
        <v>882</v>
      </c>
      <c r="D84" s="841" t="s">
        <v>883</v>
      </c>
      <c r="E84" s="841" t="s">
        <v>822</v>
      </c>
      <c r="F84" s="841" t="s">
        <v>926</v>
      </c>
      <c r="G84" s="1162" t="s">
        <v>5267</v>
      </c>
      <c r="H84" s="841" t="s">
        <v>3544</v>
      </c>
      <c r="I84" s="390" t="s">
        <v>351</v>
      </c>
      <c r="M84" s="2413"/>
      <c r="N84" s="2414"/>
    </row>
    <row r="85" spans="1:14" x14ac:dyDescent="0.25">
      <c r="A85" s="390" t="str">
        <f t="shared" si="12"/>
        <v>C9 Carteret Community College</v>
      </c>
      <c r="B85" s="391" t="s">
        <v>884</v>
      </c>
      <c r="C85" s="391" t="s">
        <v>884</v>
      </c>
      <c r="D85" s="841" t="s">
        <v>885</v>
      </c>
      <c r="E85" s="841" t="s">
        <v>822</v>
      </c>
      <c r="F85" s="841" t="s">
        <v>926</v>
      </c>
      <c r="G85" s="1162" t="s">
        <v>5268</v>
      </c>
      <c r="H85" s="841" t="s">
        <v>5269</v>
      </c>
      <c r="I85" s="390" t="s">
        <v>351</v>
      </c>
      <c r="M85" s="2413"/>
      <c r="N85" s="2414"/>
    </row>
    <row r="86" spans="1:14" x14ac:dyDescent="0.25">
      <c r="A86" s="390" t="str">
        <f t="shared" si="12"/>
        <v>CA Catawba Valley Community College</v>
      </c>
      <c r="B86" s="391" t="s">
        <v>886</v>
      </c>
      <c r="C86" s="391" t="s">
        <v>886</v>
      </c>
      <c r="D86" s="841" t="s">
        <v>887</v>
      </c>
      <c r="E86" s="841" t="s">
        <v>822</v>
      </c>
      <c r="F86" s="841" t="s">
        <v>926</v>
      </c>
      <c r="G86" s="1162" t="s">
        <v>5270</v>
      </c>
      <c r="H86" s="841" t="s">
        <v>5271</v>
      </c>
      <c r="I86" s="390" t="s">
        <v>351</v>
      </c>
      <c r="M86" s="2413"/>
      <c r="N86" s="2414"/>
    </row>
    <row r="87" spans="1:14" x14ac:dyDescent="0.25">
      <c r="A87" s="390" t="str">
        <f t="shared" si="12"/>
        <v>CB Central Carolina Community College</v>
      </c>
      <c r="B87" s="391" t="s">
        <v>888</v>
      </c>
      <c r="C87" s="391" t="s">
        <v>888</v>
      </c>
      <c r="D87" s="841" t="s">
        <v>889</v>
      </c>
      <c r="E87" s="841" t="s">
        <v>822</v>
      </c>
      <c r="F87" s="841" t="s">
        <v>926</v>
      </c>
      <c r="G87" s="1162" t="s">
        <v>5272</v>
      </c>
      <c r="H87" s="841" t="s">
        <v>3545</v>
      </c>
      <c r="I87" s="390" t="s">
        <v>351</v>
      </c>
      <c r="M87" s="2413"/>
      <c r="N87" s="2414"/>
    </row>
    <row r="88" spans="1:14" x14ac:dyDescent="0.25">
      <c r="A88" s="390" t="str">
        <f t="shared" si="12"/>
        <v>CC Central Piedmont Community College</v>
      </c>
      <c r="B88" s="391" t="s">
        <v>890</v>
      </c>
      <c r="C88" s="391" t="s">
        <v>890</v>
      </c>
      <c r="D88" s="841" t="s">
        <v>891</v>
      </c>
      <c r="E88" s="841" t="s">
        <v>822</v>
      </c>
      <c r="F88" s="841" t="s">
        <v>926</v>
      </c>
      <c r="G88" s="1162" t="s">
        <v>5273</v>
      </c>
      <c r="H88" s="841" t="s">
        <v>5274</v>
      </c>
      <c r="I88" s="390" t="s">
        <v>351</v>
      </c>
      <c r="M88" s="2413"/>
      <c r="N88" s="2414"/>
    </row>
    <row r="89" spans="1:14" x14ac:dyDescent="0.25">
      <c r="A89" s="390" t="str">
        <f t="shared" si="12"/>
        <v>CD Cleveland Community College</v>
      </c>
      <c r="B89" s="391" t="s">
        <v>892</v>
      </c>
      <c r="C89" s="391" t="s">
        <v>892</v>
      </c>
      <c r="D89" s="841" t="s">
        <v>893</v>
      </c>
      <c r="E89" s="841" t="s">
        <v>822</v>
      </c>
      <c r="F89" s="841" t="s">
        <v>926</v>
      </c>
      <c r="G89" s="1162" t="s">
        <v>5275</v>
      </c>
      <c r="H89" s="841" t="s">
        <v>5276</v>
      </c>
      <c r="I89" s="390" t="s">
        <v>351</v>
      </c>
      <c r="M89" s="2413"/>
      <c r="N89" s="2414"/>
    </row>
    <row r="90" spans="1:14" x14ac:dyDescent="0.25">
      <c r="A90" s="390" t="str">
        <f t="shared" si="12"/>
        <v>CE Coastal Carolina Community College</v>
      </c>
      <c r="B90" s="391" t="s">
        <v>894</v>
      </c>
      <c r="C90" s="391" t="s">
        <v>894</v>
      </c>
      <c r="D90" s="841" t="s">
        <v>895</v>
      </c>
      <c r="E90" s="841" t="s">
        <v>822</v>
      </c>
      <c r="F90" s="841" t="s">
        <v>926</v>
      </c>
      <c r="G90" s="1162" t="s">
        <v>3546</v>
      </c>
      <c r="H90" s="841" t="s">
        <v>3547</v>
      </c>
      <c r="I90" s="390" t="s">
        <v>351</v>
      </c>
      <c r="M90" s="2413"/>
      <c r="N90" s="2414"/>
    </row>
    <row r="91" spans="1:14" x14ac:dyDescent="0.25">
      <c r="A91" s="390" t="str">
        <f t="shared" si="12"/>
        <v>CF College of the Albemarle</v>
      </c>
      <c r="B91" s="391" t="s">
        <v>442</v>
      </c>
      <c r="C91" s="391" t="s">
        <v>442</v>
      </c>
      <c r="D91" s="841" t="s">
        <v>443</v>
      </c>
      <c r="E91" s="841" t="s">
        <v>822</v>
      </c>
      <c r="F91" s="841" t="s">
        <v>926</v>
      </c>
      <c r="G91" s="1162" t="s">
        <v>5277</v>
      </c>
      <c r="H91" s="841" t="s">
        <v>5278</v>
      </c>
      <c r="I91" s="390" t="s">
        <v>351</v>
      </c>
      <c r="M91" s="2413"/>
      <c r="N91" s="2414"/>
    </row>
    <row r="92" spans="1:14" x14ac:dyDescent="0.25">
      <c r="A92" s="390" t="str">
        <f t="shared" si="12"/>
        <v>CG Craven Community College</v>
      </c>
      <c r="B92" s="391" t="s">
        <v>46</v>
      </c>
      <c r="C92" s="391" t="s">
        <v>46</v>
      </c>
      <c r="D92" s="841" t="s">
        <v>661</v>
      </c>
      <c r="E92" s="841" t="s">
        <v>822</v>
      </c>
      <c r="F92" s="841" t="s">
        <v>926</v>
      </c>
      <c r="G92" s="1162" t="s">
        <v>5279</v>
      </c>
      <c r="H92" s="841" t="s">
        <v>5280</v>
      </c>
      <c r="I92" s="390" t="s">
        <v>351</v>
      </c>
      <c r="M92" s="2413"/>
      <c r="N92" s="2414"/>
    </row>
    <row r="93" spans="1:14" x14ac:dyDescent="0.25">
      <c r="A93" s="390" t="str">
        <f t="shared" si="12"/>
        <v>CH Davidson-Davie Community College</v>
      </c>
      <c r="B93" s="391" t="s">
        <v>662</v>
      </c>
      <c r="C93" s="391" t="s">
        <v>662</v>
      </c>
      <c r="D93" s="841" t="s">
        <v>5346</v>
      </c>
      <c r="E93" s="390" t="s">
        <v>822</v>
      </c>
      <c r="F93" s="390" t="s">
        <v>926</v>
      </c>
      <c r="G93" s="1162" t="s">
        <v>5347</v>
      </c>
      <c r="H93" s="841" t="s">
        <v>5348</v>
      </c>
      <c r="I93" s="390" t="s">
        <v>351</v>
      </c>
      <c r="M93" s="2413"/>
      <c r="N93" s="2414"/>
    </row>
    <row r="94" spans="1:14" x14ac:dyDescent="0.25">
      <c r="A94" s="390" t="str">
        <f t="shared" si="12"/>
        <v>CJ Durham Technical Community College</v>
      </c>
      <c r="B94" s="391" t="s">
        <v>664</v>
      </c>
      <c r="C94" s="391" t="s">
        <v>664</v>
      </c>
      <c r="D94" s="841" t="s">
        <v>665</v>
      </c>
      <c r="E94" s="841" t="s">
        <v>822</v>
      </c>
      <c r="F94" s="841" t="s">
        <v>926</v>
      </c>
      <c r="G94" s="1162" t="s">
        <v>5281</v>
      </c>
      <c r="H94" s="841" t="s">
        <v>5282</v>
      </c>
      <c r="I94" s="390" t="s">
        <v>351</v>
      </c>
      <c r="M94" s="2413"/>
      <c r="N94" s="2414"/>
    </row>
    <row r="95" spans="1:14" x14ac:dyDescent="0.25">
      <c r="A95" s="390" t="str">
        <f t="shared" si="12"/>
        <v>CK Edgecombe Community College</v>
      </c>
      <c r="B95" s="391" t="s">
        <v>666</v>
      </c>
      <c r="C95" s="391" t="s">
        <v>666</v>
      </c>
      <c r="D95" s="841" t="s">
        <v>667</v>
      </c>
      <c r="E95" s="841" t="s">
        <v>822</v>
      </c>
      <c r="F95" s="841" t="s">
        <v>926</v>
      </c>
      <c r="G95" s="1162" t="s">
        <v>5283</v>
      </c>
      <c r="H95" s="841" t="s">
        <v>5284</v>
      </c>
      <c r="I95" s="390" t="s">
        <v>351</v>
      </c>
      <c r="M95" s="2413"/>
      <c r="N95" s="2414"/>
    </row>
    <row r="96" spans="1:14" x14ac:dyDescent="0.25">
      <c r="A96" s="390" t="str">
        <f t="shared" si="12"/>
        <v>CL Fayetteville Technical Community College</v>
      </c>
      <c r="B96" s="391" t="s">
        <v>668</v>
      </c>
      <c r="C96" s="391" t="s">
        <v>668</v>
      </c>
      <c r="D96" s="841" t="s">
        <v>669</v>
      </c>
      <c r="E96" s="841" t="s">
        <v>822</v>
      </c>
      <c r="F96" s="841" t="s">
        <v>926</v>
      </c>
      <c r="G96" s="1162" t="s">
        <v>5349</v>
      </c>
      <c r="H96" s="841" t="s">
        <v>5350</v>
      </c>
      <c r="I96" s="390" t="s">
        <v>351</v>
      </c>
      <c r="M96" s="2413"/>
      <c r="N96" s="2414"/>
    </row>
    <row r="97" spans="1:14" x14ac:dyDescent="0.25">
      <c r="A97" s="390" t="str">
        <f t="shared" si="12"/>
        <v>CM Forsyth Technical Community College</v>
      </c>
      <c r="B97" s="391" t="s">
        <v>670</v>
      </c>
      <c r="C97" s="391" t="s">
        <v>670</v>
      </c>
      <c r="D97" s="841" t="s">
        <v>671</v>
      </c>
      <c r="E97" s="841" t="s">
        <v>822</v>
      </c>
      <c r="F97" s="841" t="s">
        <v>926</v>
      </c>
      <c r="G97" s="1162" t="s">
        <v>5285</v>
      </c>
      <c r="H97" s="841" t="s">
        <v>5286</v>
      </c>
      <c r="I97" s="390" t="s">
        <v>351</v>
      </c>
      <c r="M97" s="2413"/>
      <c r="N97" s="2414"/>
    </row>
    <row r="98" spans="1:14" x14ac:dyDescent="0.25">
      <c r="A98" s="390" t="str">
        <f t="shared" si="12"/>
        <v>CN Gaston College</v>
      </c>
      <c r="B98" s="391" t="s">
        <v>672</v>
      </c>
      <c r="C98" s="391" t="s">
        <v>672</v>
      </c>
      <c r="D98" s="841" t="s">
        <v>673</v>
      </c>
      <c r="E98" s="841" t="s">
        <v>822</v>
      </c>
      <c r="F98" s="841" t="s">
        <v>926</v>
      </c>
      <c r="G98" s="1162" t="s">
        <v>5287</v>
      </c>
      <c r="H98" s="841" t="s">
        <v>5288</v>
      </c>
      <c r="I98" s="390" t="s">
        <v>351</v>
      </c>
      <c r="M98" s="2413"/>
      <c r="N98" s="2414"/>
    </row>
    <row r="99" spans="1:14" x14ac:dyDescent="0.25">
      <c r="A99" s="390" t="str">
        <f t="shared" si="12"/>
        <v>CP Guilford Technical Community College</v>
      </c>
      <c r="B99" s="391" t="s">
        <v>674</v>
      </c>
      <c r="C99" s="391" t="s">
        <v>674</v>
      </c>
      <c r="D99" s="841" t="s">
        <v>675</v>
      </c>
      <c r="E99" s="841" t="s">
        <v>822</v>
      </c>
      <c r="F99" s="841" t="s">
        <v>926</v>
      </c>
      <c r="G99" s="1162" t="s">
        <v>5289</v>
      </c>
      <c r="H99" s="841" t="s">
        <v>5290</v>
      </c>
      <c r="I99" s="390" t="s">
        <v>351</v>
      </c>
      <c r="M99" s="2413"/>
      <c r="N99" s="2414"/>
    </row>
    <row r="100" spans="1:14" x14ac:dyDescent="0.25">
      <c r="A100" s="390" t="str">
        <f t="shared" si="12"/>
        <v>CQ Halifax Community College</v>
      </c>
      <c r="B100" s="391" t="s">
        <v>676</v>
      </c>
      <c r="C100" s="391" t="s">
        <v>676</v>
      </c>
      <c r="D100" s="841" t="s">
        <v>677</v>
      </c>
      <c r="E100" s="841" t="s">
        <v>822</v>
      </c>
      <c r="F100" s="841" t="s">
        <v>926</v>
      </c>
      <c r="G100" s="1162" t="s">
        <v>5291</v>
      </c>
      <c r="H100" s="841" t="s">
        <v>5292</v>
      </c>
      <c r="I100" s="390" t="s">
        <v>351</v>
      </c>
      <c r="M100" s="2413"/>
      <c r="N100" s="2414"/>
    </row>
    <row r="101" spans="1:14" x14ac:dyDescent="0.25">
      <c r="A101" s="390" t="str">
        <f t="shared" si="12"/>
        <v>CR Haywood Community College</v>
      </c>
      <c r="B101" s="391" t="s">
        <v>847</v>
      </c>
      <c r="C101" s="391" t="s">
        <v>847</v>
      </c>
      <c r="D101" s="841" t="s">
        <v>848</v>
      </c>
      <c r="E101" s="841" t="s">
        <v>822</v>
      </c>
      <c r="F101" s="841" t="s">
        <v>926</v>
      </c>
      <c r="G101" s="1162" t="s">
        <v>4375</v>
      </c>
      <c r="H101" s="841" t="s">
        <v>4376</v>
      </c>
      <c r="I101" s="390" t="s">
        <v>351</v>
      </c>
      <c r="M101" s="2413"/>
      <c r="N101" s="2414"/>
    </row>
    <row r="102" spans="1:14" x14ac:dyDescent="0.25">
      <c r="A102" s="390" t="str">
        <f t="shared" si="12"/>
        <v>CS Isothermal Community College</v>
      </c>
      <c r="B102" s="391" t="s">
        <v>849</v>
      </c>
      <c r="C102" s="391" t="s">
        <v>849</v>
      </c>
      <c r="D102" s="841" t="s">
        <v>850</v>
      </c>
      <c r="E102" s="841" t="s">
        <v>822</v>
      </c>
      <c r="F102" s="841" t="s">
        <v>926</v>
      </c>
      <c r="G102" s="1162" t="s">
        <v>3671</v>
      </c>
      <c r="H102" s="841" t="s">
        <v>5293</v>
      </c>
      <c r="I102" s="390" t="s">
        <v>351</v>
      </c>
      <c r="M102" s="2413"/>
      <c r="N102" s="2414"/>
    </row>
    <row r="103" spans="1:14" x14ac:dyDescent="0.25">
      <c r="A103" s="390" t="str">
        <f t="shared" si="12"/>
        <v>CT James Sprunt Community College</v>
      </c>
      <c r="B103" s="391" t="s">
        <v>851</v>
      </c>
      <c r="C103" s="391" t="s">
        <v>851</v>
      </c>
      <c r="D103" s="841" t="s">
        <v>852</v>
      </c>
      <c r="E103" s="841" t="s">
        <v>822</v>
      </c>
      <c r="F103" s="841" t="s">
        <v>926</v>
      </c>
      <c r="G103" s="1162" t="s">
        <v>3672</v>
      </c>
      <c r="H103" s="841" t="s">
        <v>5294</v>
      </c>
      <c r="I103" s="390" t="s">
        <v>351</v>
      </c>
      <c r="M103" s="2413"/>
      <c r="N103" s="2414"/>
    </row>
    <row r="104" spans="1:14" x14ac:dyDescent="0.25">
      <c r="A104" s="390" t="str">
        <f t="shared" si="12"/>
        <v>CU Johnston Community College</v>
      </c>
      <c r="B104" s="391" t="s">
        <v>853</v>
      </c>
      <c r="C104" s="391" t="s">
        <v>853</v>
      </c>
      <c r="D104" s="841" t="s">
        <v>854</v>
      </c>
      <c r="E104" s="841" t="s">
        <v>822</v>
      </c>
      <c r="F104" s="841" t="s">
        <v>926</v>
      </c>
      <c r="G104" s="1162" t="s">
        <v>5295</v>
      </c>
      <c r="H104" s="841" t="s">
        <v>3673</v>
      </c>
      <c r="I104" s="390" t="s">
        <v>351</v>
      </c>
      <c r="M104" s="2413"/>
      <c r="N104" s="2414"/>
    </row>
    <row r="105" spans="1:14" x14ac:dyDescent="0.25">
      <c r="A105" s="390" t="str">
        <f t="shared" si="12"/>
        <v>CV Lenoir Community College</v>
      </c>
      <c r="B105" s="391" t="s">
        <v>855</v>
      </c>
      <c r="C105" s="391" t="s">
        <v>855</v>
      </c>
      <c r="D105" s="841" t="s">
        <v>856</v>
      </c>
      <c r="E105" s="841" t="s">
        <v>822</v>
      </c>
      <c r="F105" s="841" t="s">
        <v>926</v>
      </c>
      <c r="G105" s="1162" t="s">
        <v>5296</v>
      </c>
      <c r="H105" s="841" t="s">
        <v>4379</v>
      </c>
      <c r="I105" s="390" t="s">
        <v>351</v>
      </c>
      <c r="M105" s="2413"/>
      <c r="N105" s="2414"/>
    </row>
    <row r="106" spans="1:14" x14ac:dyDescent="0.25">
      <c r="A106" s="390" t="str">
        <f t="shared" si="12"/>
        <v>CW Martin Community College</v>
      </c>
      <c r="B106" s="391" t="s">
        <v>857</v>
      </c>
      <c r="C106" s="391" t="s">
        <v>857</v>
      </c>
      <c r="D106" s="841" t="s">
        <v>858</v>
      </c>
      <c r="E106" s="841" t="s">
        <v>822</v>
      </c>
      <c r="F106" s="841" t="s">
        <v>926</v>
      </c>
      <c r="G106" s="1162" t="s">
        <v>5297</v>
      </c>
      <c r="H106" s="841" t="s">
        <v>5298</v>
      </c>
      <c r="I106" s="390" t="s">
        <v>351</v>
      </c>
      <c r="M106" s="2413"/>
      <c r="N106" s="2414"/>
    </row>
    <row r="107" spans="1:14" x14ac:dyDescent="0.25">
      <c r="A107" s="390" t="str">
        <f t="shared" si="12"/>
        <v>CX Mayland Community College</v>
      </c>
      <c r="B107" s="391" t="s">
        <v>859</v>
      </c>
      <c r="C107" s="391" t="s">
        <v>859</v>
      </c>
      <c r="D107" s="841" t="s">
        <v>860</v>
      </c>
      <c r="E107" s="841" t="s">
        <v>822</v>
      </c>
      <c r="F107" s="841" t="s">
        <v>926</v>
      </c>
      <c r="G107" s="1162" t="s">
        <v>5299</v>
      </c>
      <c r="H107" s="841" t="s">
        <v>5300</v>
      </c>
      <c r="I107" s="390" t="s">
        <v>351</v>
      </c>
      <c r="M107" s="2413"/>
      <c r="N107" s="2414"/>
    </row>
    <row r="108" spans="1:14" x14ac:dyDescent="0.25">
      <c r="A108" s="390" t="str">
        <f t="shared" si="12"/>
        <v>CY McDowell Technical Community College</v>
      </c>
      <c r="B108" s="391" t="s">
        <v>861</v>
      </c>
      <c r="C108" s="391" t="s">
        <v>861</v>
      </c>
      <c r="D108" s="841" t="s">
        <v>862</v>
      </c>
      <c r="E108" s="841" t="s">
        <v>822</v>
      </c>
      <c r="F108" s="841" t="s">
        <v>926</v>
      </c>
      <c r="G108" s="1162" t="s">
        <v>5301</v>
      </c>
      <c r="H108" s="841" t="s">
        <v>5302</v>
      </c>
      <c r="I108" s="390" t="s">
        <v>351</v>
      </c>
      <c r="M108" s="2413"/>
      <c r="N108" s="2414"/>
    </row>
    <row r="109" spans="1:14" x14ac:dyDescent="0.25">
      <c r="A109" s="390" t="str">
        <f t="shared" si="12"/>
        <v>CZ Mitchell Community College</v>
      </c>
      <c r="B109" s="391" t="s">
        <v>863</v>
      </c>
      <c r="C109" s="391" t="s">
        <v>863</v>
      </c>
      <c r="D109" s="841" t="s">
        <v>864</v>
      </c>
      <c r="E109" s="841" t="s">
        <v>822</v>
      </c>
      <c r="F109" s="841" t="s">
        <v>926</v>
      </c>
      <c r="G109" s="1162" t="s">
        <v>5303</v>
      </c>
      <c r="H109" s="841" t="s">
        <v>5304</v>
      </c>
      <c r="I109" s="390" t="s">
        <v>351</v>
      </c>
      <c r="M109" s="2413"/>
      <c r="N109" s="2414"/>
    </row>
    <row r="110" spans="1:14" x14ac:dyDescent="0.25">
      <c r="A110" s="390" t="str">
        <f t="shared" si="12"/>
        <v>D0 Montgomery Community College</v>
      </c>
      <c r="B110" s="391" t="s">
        <v>865</v>
      </c>
      <c r="C110" s="391" t="s">
        <v>865</v>
      </c>
      <c r="D110" s="841" t="s">
        <v>1065</v>
      </c>
      <c r="E110" s="841" t="s">
        <v>822</v>
      </c>
      <c r="F110" s="841" t="s">
        <v>926</v>
      </c>
      <c r="G110" s="1162" t="s">
        <v>5305</v>
      </c>
      <c r="H110" s="841" t="s">
        <v>5306</v>
      </c>
      <c r="I110" s="390" t="s">
        <v>351</v>
      </c>
      <c r="M110" s="2413"/>
      <c r="N110" s="2414"/>
    </row>
    <row r="111" spans="1:14" x14ac:dyDescent="0.25">
      <c r="A111" s="390" t="str">
        <f t="shared" si="12"/>
        <v>D1 Nash Community College</v>
      </c>
      <c r="B111" s="391" t="s">
        <v>1066</v>
      </c>
      <c r="C111" s="391" t="s">
        <v>1066</v>
      </c>
      <c r="D111" s="841" t="s">
        <v>1067</v>
      </c>
      <c r="E111" s="841" t="s">
        <v>822</v>
      </c>
      <c r="F111" s="841" t="s">
        <v>926</v>
      </c>
      <c r="G111" s="1162" t="s">
        <v>5351</v>
      </c>
      <c r="H111" s="841" t="s">
        <v>5352</v>
      </c>
      <c r="I111" s="390" t="s">
        <v>351</v>
      </c>
      <c r="M111" s="2413"/>
      <c r="N111" s="2414"/>
    </row>
    <row r="112" spans="1:14" x14ac:dyDescent="0.25">
      <c r="A112" s="390" t="str">
        <f t="shared" si="12"/>
        <v>D2 Pamlico Community College</v>
      </c>
      <c r="B112" s="391" t="s">
        <v>1068</v>
      </c>
      <c r="C112" s="391" t="s">
        <v>1068</v>
      </c>
      <c r="D112" s="841" t="s">
        <v>1069</v>
      </c>
      <c r="E112" s="841" t="s">
        <v>822</v>
      </c>
      <c r="F112" s="841" t="s">
        <v>926</v>
      </c>
      <c r="G112" s="1162" t="s">
        <v>4378</v>
      </c>
      <c r="H112" s="841" t="s">
        <v>5307</v>
      </c>
      <c r="I112" s="390" t="s">
        <v>351</v>
      </c>
      <c r="M112" s="2413"/>
      <c r="N112" s="2414"/>
    </row>
    <row r="113" spans="1:14" x14ac:dyDescent="0.25">
      <c r="A113" s="390" t="str">
        <f t="shared" si="12"/>
        <v>D3 Piedmont Community College</v>
      </c>
      <c r="B113" s="391" t="s">
        <v>1070</v>
      </c>
      <c r="C113" s="391" t="s">
        <v>1070</v>
      </c>
      <c r="D113" s="841" t="s">
        <v>1071</v>
      </c>
      <c r="E113" s="841" t="s">
        <v>822</v>
      </c>
      <c r="F113" s="841" t="s">
        <v>926</v>
      </c>
      <c r="G113" s="1162" t="s">
        <v>5366</v>
      </c>
      <c r="H113" s="841" t="s">
        <v>5367</v>
      </c>
      <c r="I113" s="390" t="s">
        <v>351</v>
      </c>
      <c r="M113" s="2413"/>
      <c r="N113" s="2414"/>
    </row>
    <row r="114" spans="1:14" x14ac:dyDescent="0.25">
      <c r="A114" s="390" t="str">
        <f t="shared" si="12"/>
        <v>D4 Pitt Community College</v>
      </c>
      <c r="B114" s="391" t="s">
        <v>1072</v>
      </c>
      <c r="C114" s="391" t="s">
        <v>1072</v>
      </c>
      <c r="D114" s="841" t="s">
        <v>1073</v>
      </c>
      <c r="E114" s="841" t="s">
        <v>822</v>
      </c>
      <c r="F114" s="841" t="s">
        <v>926</v>
      </c>
      <c r="G114" s="1162" t="s">
        <v>5308</v>
      </c>
      <c r="H114" s="841" t="s">
        <v>5309</v>
      </c>
      <c r="I114" s="390" t="s">
        <v>351</v>
      </c>
      <c r="M114" s="2413"/>
      <c r="N114" s="2414"/>
    </row>
    <row r="115" spans="1:14" x14ac:dyDescent="0.25">
      <c r="A115" s="390" t="str">
        <f t="shared" si="12"/>
        <v>D5 Randolph Community College</v>
      </c>
      <c r="B115" s="391" t="s">
        <v>1074</v>
      </c>
      <c r="C115" s="391" t="s">
        <v>1074</v>
      </c>
      <c r="D115" s="841" t="s">
        <v>866</v>
      </c>
      <c r="E115" s="841" t="s">
        <v>822</v>
      </c>
      <c r="F115" s="841" t="s">
        <v>926</v>
      </c>
      <c r="G115" s="1162" t="s">
        <v>5353</v>
      </c>
      <c r="H115" s="841" t="s">
        <v>5310</v>
      </c>
      <c r="I115" s="390" t="s">
        <v>351</v>
      </c>
      <c r="M115" s="2413"/>
      <c r="N115" s="2414"/>
    </row>
    <row r="116" spans="1:14" x14ac:dyDescent="0.25">
      <c r="A116" s="390" t="str">
        <f t="shared" si="12"/>
        <v>D6 Richmond Community College</v>
      </c>
      <c r="B116" s="391" t="s">
        <v>867</v>
      </c>
      <c r="C116" s="391" t="s">
        <v>867</v>
      </c>
      <c r="D116" s="841" t="s">
        <v>868</v>
      </c>
      <c r="E116" s="841" t="s">
        <v>822</v>
      </c>
      <c r="F116" s="841" t="s">
        <v>926</v>
      </c>
      <c r="G116" s="1162" t="s">
        <v>3674</v>
      </c>
      <c r="H116" s="841" t="s">
        <v>3675</v>
      </c>
      <c r="I116" s="390" t="s">
        <v>351</v>
      </c>
      <c r="M116" s="2413"/>
      <c r="N116" s="2414"/>
    </row>
    <row r="117" spans="1:14" x14ac:dyDescent="0.25">
      <c r="A117" s="390" t="str">
        <f t="shared" si="12"/>
        <v>D7 Roanoke-Chowan Community College</v>
      </c>
      <c r="B117" s="391" t="s">
        <v>869</v>
      </c>
      <c r="C117" s="391" t="s">
        <v>869</v>
      </c>
      <c r="D117" s="841" t="s">
        <v>870</v>
      </c>
      <c r="E117" s="841" t="s">
        <v>822</v>
      </c>
      <c r="F117" s="841" t="s">
        <v>926</v>
      </c>
      <c r="G117" s="1162" t="s">
        <v>5368</v>
      </c>
      <c r="H117" s="841" t="s">
        <v>5369</v>
      </c>
      <c r="I117" s="390" t="s">
        <v>351</v>
      </c>
      <c r="M117" s="2413"/>
      <c r="N117" s="2414"/>
    </row>
    <row r="118" spans="1:14" x14ac:dyDescent="0.25">
      <c r="A118" s="390" t="str">
        <f t="shared" si="12"/>
        <v>D8 Robeson Community College</v>
      </c>
      <c r="B118" s="391" t="s">
        <v>871</v>
      </c>
      <c r="C118" s="391" t="s">
        <v>871</v>
      </c>
      <c r="D118" s="841" t="s">
        <v>872</v>
      </c>
      <c r="E118" s="841" t="s">
        <v>822</v>
      </c>
      <c r="F118" s="841" t="s">
        <v>926</v>
      </c>
      <c r="G118" s="1162" t="s">
        <v>3676</v>
      </c>
      <c r="H118" s="841" t="s">
        <v>3677</v>
      </c>
      <c r="I118" s="390" t="s">
        <v>351</v>
      </c>
      <c r="M118" s="2413"/>
      <c r="N118" s="2414"/>
    </row>
    <row r="119" spans="1:14" x14ac:dyDescent="0.25">
      <c r="A119" s="390" t="str">
        <f t="shared" si="12"/>
        <v>D9 Rockingham Community College</v>
      </c>
      <c r="B119" s="391" t="s">
        <v>873</v>
      </c>
      <c r="C119" s="391" t="s">
        <v>873</v>
      </c>
      <c r="D119" s="841" t="s">
        <v>874</v>
      </c>
      <c r="E119" s="841" t="s">
        <v>822</v>
      </c>
      <c r="F119" s="841" t="s">
        <v>926</v>
      </c>
      <c r="G119" s="1162" t="s">
        <v>5311</v>
      </c>
      <c r="H119" s="841" t="s">
        <v>3678</v>
      </c>
      <c r="I119" s="390" t="s">
        <v>351</v>
      </c>
      <c r="M119" s="2413"/>
      <c r="N119" s="2414"/>
    </row>
    <row r="120" spans="1:14" x14ac:dyDescent="0.25">
      <c r="A120" s="390" t="str">
        <f t="shared" si="12"/>
        <v>DA Rowan-Cabarrus Community College</v>
      </c>
      <c r="B120" s="391" t="s">
        <v>875</v>
      </c>
      <c r="C120" s="391" t="s">
        <v>875</v>
      </c>
      <c r="D120" s="841" t="s">
        <v>876</v>
      </c>
      <c r="E120" s="841" t="s">
        <v>822</v>
      </c>
      <c r="F120" s="841" t="s">
        <v>926</v>
      </c>
      <c r="G120" s="1162" t="s">
        <v>5354</v>
      </c>
      <c r="H120" s="841" t="s">
        <v>3679</v>
      </c>
      <c r="I120" s="390" t="s">
        <v>351</v>
      </c>
      <c r="M120" s="2413"/>
      <c r="N120" s="2414"/>
    </row>
    <row r="121" spans="1:14" x14ac:dyDescent="0.25">
      <c r="A121" s="390" t="str">
        <f t="shared" si="12"/>
        <v>DB Sampson Community College</v>
      </c>
      <c r="B121" s="391" t="s">
        <v>877</v>
      </c>
      <c r="C121" s="391" t="s">
        <v>877</v>
      </c>
      <c r="D121" s="841" t="s">
        <v>121</v>
      </c>
      <c r="E121" s="841" t="s">
        <v>822</v>
      </c>
      <c r="F121" s="841" t="s">
        <v>926</v>
      </c>
      <c r="G121" s="1162" t="s">
        <v>3680</v>
      </c>
      <c r="H121" s="841" t="s">
        <v>5312</v>
      </c>
      <c r="I121" s="390" t="s">
        <v>351</v>
      </c>
      <c r="M121" s="2413"/>
      <c r="N121" s="2414"/>
    </row>
    <row r="122" spans="1:14" x14ac:dyDescent="0.25">
      <c r="A122" s="390" t="str">
        <f t="shared" si="12"/>
        <v>DC Sandhills Community College</v>
      </c>
      <c r="B122" s="391" t="s">
        <v>122</v>
      </c>
      <c r="C122" s="391" t="s">
        <v>122</v>
      </c>
      <c r="D122" s="841" t="s">
        <v>123</v>
      </c>
      <c r="E122" s="841" t="s">
        <v>822</v>
      </c>
      <c r="F122" s="841" t="s">
        <v>926</v>
      </c>
      <c r="G122" s="1162" t="s">
        <v>5355</v>
      </c>
      <c r="H122" s="841" t="s">
        <v>5313</v>
      </c>
      <c r="I122" s="390" t="s">
        <v>351</v>
      </c>
      <c r="M122" s="2413"/>
      <c r="N122" s="2414"/>
    </row>
    <row r="123" spans="1:14" x14ac:dyDescent="0.25">
      <c r="A123" s="390" t="str">
        <f t="shared" si="12"/>
        <v>C1 South Piedmont Community College</v>
      </c>
      <c r="B123" s="391" t="s">
        <v>124</v>
      </c>
      <c r="C123" s="391" t="s">
        <v>124</v>
      </c>
      <c r="D123" s="841" t="s">
        <v>125</v>
      </c>
      <c r="E123" s="841" t="s">
        <v>822</v>
      </c>
      <c r="F123" s="841" t="s">
        <v>926</v>
      </c>
      <c r="G123" s="1162" t="s">
        <v>5314</v>
      </c>
      <c r="H123" s="841" t="s">
        <v>5315</v>
      </c>
      <c r="I123" s="390" t="s">
        <v>351</v>
      </c>
      <c r="M123" s="2413"/>
      <c r="N123" s="2414"/>
    </row>
    <row r="124" spans="1:14" x14ac:dyDescent="0.25">
      <c r="A124" s="390" t="str">
        <f t="shared" si="12"/>
        <v>DD Southeastern Community College</v>
      </c>
      <c r="B124" s="391" t="s">
        <v>126</v>
      </c>
      <c r="C124" s="391" t="s">
        <v>126</v>
      </c>
      <c r="D124" s="841" t="s">
        <v>127</v>
      </c>
      <c r="E124" s="841" t="s">
        <v>822</v>
      </c>
      <c r="F124" s="841" t="s">
        <v>926</v>
      </c>
      <c r="G124" s="1162" t="s">
        <v>5316</v>
      </c>
      <c r="H124" s="841" t="s">
        <v>5356</v>
      </c>
      <c r="I124" s="390" t="s">
        <v>351</v>
      </c>
      <c r="M124" s="2413"/>
      <c r="N124" s="2414"/>
    </row>
    <row r="125" spans="1:14" x14ac:dyDescent="0.25">
      <c r="A125" s="390" t="str">
        <f t="shared" si="12"/>
        <v>DE Southwestern Community College</v>
      </c>
      <c r="B125" s="391" t="s">
        <v>578</v>
      </c>
      <c r="C125" s="391" t="s">
        <v>578</v>
      </c>
      <c r="D125" s="841" t="s">
        <v>1174</v>
      </c>
      <c r="E125" s="841" t="s">
        <v>822</v>
      </c>
      <c r="F125" s="841" t="s">
        <v>926</v>
      </c>
      <c r="G125" s="1162" t="s">
        <v>3681</v>
      </c>
      <c r="H125" s="841" t="s">
        <v>5357</v>
      </c>
      <c r="I125" s="390" t="s">
        <v>351</v>
      </c>
      <c r="M125" s="2413"/>
      <c r="N125" s="2414"/>
    </row>
    <row r="126" spans="1:14" x14ac:dyDescent="0.25">
      <c r="A126" s="390" t="str">
        <f t="shared" si="12"/>
        <v>DF Stanly Community College</v>
      </c>
      <c r="B126" s="391" t="s">
        <v>1175</v>
      </c>
      <c r="C126" s="391" t="s">
        <v>1175</v>
      </c>
      <c r="D126" s="841" t="s">
        <v>1176</v>
      </c>
      <c r="E126" s="841" t="s">
        <v>822</v>
      </c>
      <c r="F126" s="841" t="s">
        <v>926</v>
      </c>
      <c r="G126" s="1162" t="s">
        <v>5358</v>
      </c>
      <c r="H126" s="841" t="s">
        <v>5359</v>
      </c>
      <c r="I126" s="390" t="s">
        <v>351</v>
      </c>
      <c r="M126" s="2413"/>
      <c r="N126" s="2414"/>
    </row>
    <row r="127" spans="1:14" x14ac:dyDescent="0.25">
      <c r="A127" s="390" t="str">
        <f t="shared" si="12"/>
        <v>DG Surry Community College</v>
      </c>
      <c r="B127" s="391" t="s">
        <v>1177</v>
      </c>
      <c r="C127" s="391" t="s">
        <v>1177</v>
      </c>
      <c r="D127" s="841" t="s">
        <v>718</v>
      </c>
      <c r="E127" s="841" t="s">
        <v>822</v>
      </c>
      <c r="F127" s="841" t="s">
        <v>926</v>
      </c>
      <c r="G127" s="1162" t="s">
        <v>5317</v>
      </c>
      <c r="H127" s="841" t="s">
        <v>5318</v>
      </c>
      <c r="I127" s="390" t="s">
        <v>351</v>
      </c>
      <c r="M127" s="2413"/>
      <c r="N127" s="2414"/>
    </row>
    <row r="128" spans="1:14" x14ac:dyDescent="0.25">
      <c r="A128" s="390" t="str">
        <f t="shared" si="12"/>
        <v>DH Tri-County Community College</v>
      </c>
      <c r="B128" s="391" t="s">
        <v>719</v>
      </c>
      <c r="C128" s="391" t="s">
        <v>719</v>
      </c>
      <c r="D128" s="841" t="s">
        <v>935</v>
      </c>
      <c r="E128" s="841" t="s">
        <v>822</v>
      </c>
      <c r="F128" s="841" t="s">
        <v>926</v>
      </c>
      <c r="G128" s="1162" t="s">
        <v>5319</v>
      </c>
      <c r="H128" s="841" t="s">
        <v>5320</v>
      </c>
      <c r="I128" s="390" t="s">
        <v>351</v>
      </c>
      <c r="M128" s="2413"/>
      <c r="N128" s="2414"/>
    </row>
    <row r="129" spans="1:14" x14ac:dyDescent="0.25">
      <c r="A129" s="390" t="str">
        <f t="shared" si="12"/>
        <v>DJ Vance-Granville Community College</v>
      </c>
      <c r="B129" s="391" t="s">
        <v>936</v>
      </c>
      <c r="C129" s="391" t="s">
        <v>936</v>
      </c>
      <c r="D129" s="841" t="s">
        <v>937</v>
      </c>
      <c r="E129" s="841" t="s">
        <v>822</v>
      </c>
      <c r="F129" s="841" t="s">
        <v>926</v>
      </c>
      <c r="G129" s="1162" t="s">
        <v>5360</v>
      </c>
      <c r="H129" s="841" t="s">
        <v>5321</v>
      </c>
      <c r="I129" s="390" t="s">
        <v>351</v>
      </c>
      <c r="M129" s="2413"/>
      <c r="N129" s="2414"/>
    </row>
    <row r="130" spans="1:14" x14ac:dyDescent="0.25">
      <c r="A130" s="390" t="str">
        <f t="shared" si="12"/>
        <v>DK Wake Technical Community College</v>
      </c>
      <c r="B130" s="391" t="s">
        <v>938</v>
      </c>
      <c r="C130" s="391" t="s">
        <v>938</v>
      </c>
      <c r="D130" s="841" t="s">
        <v>939</v>
      </c>
      <c r="E130" s="841" t="s">
        <v>822</v>
      </c>
      <c r="F130" s="841" t="s">
        <v>926</v>
      </c>
      <c r="G130" s="1162" t="s">
        <v>3683</v>
      </c>
      <c r="H130" s="841" t="s">
        <v>5322</v>
      </c>
      <c r="I130" s="390" t="s">
        <v>351</v>
      </c>
      <c r="M130" s="2413"/>
      <c r="N130" s="2414"/>
    </row>
    <row r="131" spans="1:14" x14ac:dyDescent="0.25">
      <c r="A131" s="390" t="str">
        <f>C131&amp;" "&amp;D131</f>
        <v>DL Wayne Community College</v>
      </c>
      <c r="B131" s="391" t="s">
        <v>940</v>
      </c>
      <c r="C131" s="391" t="s">
        <v>940</v>
      </c>
      <c r="D131" s="841" t="s">
        <v>941</v>
      </c>
      <c r="E131" s="841" t="s">
        <v>822</v>
      </c>
      <c r="F131" s="841" t="s">
        <v>926</v>
      </c>
      <c r="G131" s="1162" t="s">
        <v>3684</v>
      </c>
      <c r="H131" s="841" t="s">
        <v>5323</v>
      </c>
      <c r="I131" s="390" t="s">
        <v>351</v>
      </c>
      <c r="M131" s="2413"/>
      <c r="N131" s="2414"/>
    </row>
    <row r="132" spans="1:14" x14ac:dyDescent="0.25">
      <c r="A132" s="390" t="str">
        <f>C132&amp;" "&amp;D132</f>
        <v>DM Western Piedmont Community College</v>
      </c>
      <c r="B132" s="391" t="s">
        <v>942</v>
      </c>
      <c r="C132" s="391" t="s">
        <v>942</v>
      </c>
      <c r="D132" s="841" t="s">
        <v>218</v>
      </c>
      <c r="E132" s="841" t="s">
        <v>822</v>
      </c>
      <c r="F132" s="841" t="s">
        <v>926</v>
      </c>
      <c r="G132" s="1162" t="s">
        <v>5361</v>
      </c>
      <c r="H132" s="841" t="s">
        <v>5362</v>
      </c>
      <c r="I132" s="390" t="s">
        <v>351</v>
      </c>
      <c r="M132" s="2413"/>
      <c r="N132" s="2414"/>
    </row>
    <row r="133" spans="1:14" x14ac:dyDescent="0.25">
      <c r="A133" s="390" t="str">
        <f>C133&amp;" "&amp;D133</f>
        <v>DN Wilkes Community College</v>
      </c>
      <c r="B133" s="391" t="s">
        <v>219</v>
      </c>
      <c r="C133" s="391" t="s">
        <v>219</v>
      </c>
      <c r="D133" s="841" t="s">
        <v>220</v>
      </c>
      <c r="E133" s="841" t="s">
        <v>822</v>
      </c>
      <c r="F133" s="841" t="s">
        <v>926</v>
      </c>
      <c r="G133" s="1162" t="s">
        <v>4380</v>
      </c>
      <c r="H133" s="841" t="s">
        <v>4381</v>
      </c>
      <c r="I133" s="390" t="s">
        <v>351</v>
      </c>
      <c r="M133" s="2413"/>
      <c r="N133" s="2414"/>
    </row>
    <row r="134" spans="1:14" x14ac:dyDescent="0.25">
      <c r="A134" s="390" t="str">
        <f>C134&amp;" "&amp;D134</f>
        <v>DP Wilson Community College</v>
      </c>
      <c r="B134" s="391" t="s">
        <v>221</v>
      </c>
      <c r="C134" s="391" t="s">
        <v>221</v>
      </c>
      <c r="D134" s="841" t="s">
        <v>429</v>
      </c>
      <c r="E134" s="841" t="s">
        <v>822</v>
      </c>
      <c r="F134" s="841" t="s">
        <v>926</v>
      </c>
      <c r="G134" s="1162" t="s">
        <v>3685</v>
      </c>
      <c r="H134" s="841" t="s">
        <v>5324</v>
      </c>
      <c r="I134" s="390" t="s">
        <v>351</v>
      </c>
      <c r="M134" s="2413"/>
      <c r="N134" s="2414"/>
    </row>
    <row r="135" spans="1:14" x14ac:dyDescent="0.25">
      <c r="B135" s="391" t="s">
        <v>748</v>
      </c>
      <c r="C135" s="391"/>
      <c r="M135" s="2413"/>
    </row>
    <row r="137" spans="1:14" x14ac:dyDescent="0.25">
      <c r="C137" s="390" t="s">
        <v>1147</v>
      </c>
    </row>
    <row r="138" spans="1:14" x14ac:dyDescent="0.25">
      <c r="C138" s="390" t="s">
        <v>853</v>
      </c>
      <c r="D138" s="390" t="s">
        <v>1144</v>
      </c>
    </row>
    <row r="139" spans="1:14" x14ac:dyDescent="0.25">
      <c r="C139" s="390" t="s">
        <v>1143</v>
      </c>
      <c r="D139" s="390" t="s">
        <v>1145</v>
      </c>
    </row>
    <row r="140" spans="1:14" x14ac:dyDescent="0.25">
      <c r="C140" s="390" t="s">
        <v>890</v>
      </c>
      <c r="D140" s="390" t="s">
        <v>1146</v>
      </c>
    </row>
    <row r="141" spans="1:14" x14ac:dyDescent="0.25">
      <c r="C141" s="976" t="s">
        <v>1470</v>
      </c>
      <c r="D141" s="841" t="s">
        <v>1967</v>
      </c>
    </row>
    <row r="142" spans="1:14" x14ac:dyDescent="0.25">
      <c r="C142" s="390" t="s">
        <v>1155</v>
      </c>
      <c r="D142" s="815" t="s">
        <v>4971</v>
      </c>
    </row>
    <row r="143" spans="1:14" x14ac:dyDescent="0.25">
      <c r="C143" s="390" t="s">
        <v>926</v>
      </c>
      <c r="D143" s="815" t="s">
        <v>4972</v>
      </c>
    </row>
    <row r="145" spans="1:11" x14ac:dyDescent="0.25">
      <c r="C145" s="841" t="s">
        <v>4973</v>
      </c>
    </row>
    <row r="146" spans="1:11" x14ac:dyDescent="0.25">
      <c r="C146" s="841" t="s">
        <v>4974</v>
      </c>
    </row>
    <row r="147" spans="1:11" x14ac:dyDescent="0.25">
      <c r="C147" s="841"/>
    </row>
    <row r="149" spans="1:11" x14ac:dyDescent="0.25">
      <c r="A149" s="390" t="str">
        <f>C149&amp;" "&amp;D149</f>
        <v xml:space="preserve"> </v>
      </c>
      <c r="B149" s="841">
        <v>40</v>
      </c>
      <c r="C149" s="391"/>
      <c r="D149" s="841"/>
      <c r="E149" s="841"/>
      <c r="G149" s="1162"/>
      <c r="J149" s="841"/>
      <c r="K149" s="390" t="b">
        <f>ISTEXT(B149)</f>
        <v>0</v>
      </c>
    </row>
  </sheetData>
  <sheetProtection algorithmName="SHA-512" hashValue="dRbbDFqd/jtpJ4zL4jSoWsleAZziOLbloSzbiZMKsmHLoasgQuPIfWfXr2dVw0VAdZdTS3JdwE0jCysucmhG3g==" saltValue="n4NFHi4ZGPDpnJYaGCU5pA==" spinCount="100000" sheet="1" objects="1" scenarios="1" autoFilter="0"/>
  <autoFilter ref="A1:L135" xr:uid="{D5EACDEB-6328-405E-9C04-2B41E6186EF1}"/>
  <customSheetViews>
    <customSheetView guid="{B08879A4-635B-4C39-9937-AC7883D562FC}" hiddenColumns="1" topLeftCell="C1">
      <pane ySplit="2" topLeftCell="A3" activePane="bottomLeft" state="frozen"/>
      <selection pane="bottomLeft" activeCell="H3" sqref="H3"/>
      <pageMargins left="0.43" right="0.18" top="1" bottom="1" header="0.5" footer="0.5"/>
      <printOptions gridLines="1"/>
      <pageSetup scale="97" orientation="portrait" r:id="rId1"/>
      <headerFooter alignWithMargins="0"/>
    </customSheetView>
    <customSheetView guid="{9FCFC836-1CA5-48BF-958D-24D2EA94B219}" hiddenColumns="1" topLeftCell="C1">
      <pane ySplit="2" topLeftCell="A3" activePane="bottomLeft" state="frozen"/>
      <selection pane="bottomLeft" activeCell="H3" sqref="H3"/>
      <pageMargins left="0.43" right="0.18" top="1" bottom="1" header="0.5" footer="0.5"/>
      <printOptions gridLines="1"/>
      <pageSetup scale="97" orientation="portrait" r:id="rId2"/>
      <headerFooter alignWithMargins="0"/>
    </customSheetView>
  </customSheetViews>
  <phoneticPr fontId="15" type="noConversion"/>
  <hyperlinks>
    <hyperlink ref="D1" location="Index!A1" display="Office of the State Controller" xr:uid="{00000000-0004-0000-5D00-000000000000}"/>
  </hyperlinks>
  <printOptions headings="1"/>
  <pageMargins left="0.43" right="0.18" top="0.5" bottom="0.5" header="0.5" footer="0.5"/>
  <pageSetup scale="97" orientation="landscape" r:id="rId3"/>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4"/>
  <sheetViews>
    <sheetView workbookViewId="0">
      <selection activeCell="A9" sqref="A9"/>
    </sheetView>
  </sheetViews>
  <sheetFormatPr defaultRowHeight="12.75" x14ac:dyDescent="0.2"/>
  <cols>
    <col min="1" max="1" width="17.42578125" customWidth="1"/>
    <col min="2" max="2" width="15.42578125" bestFit="1" customWidth="1"/>
    <col min="3" max="3" width="28.42578125" bestFit="1" customWidth="1"/>
  </cols>
  <sheetData>
    <row r="1" spans="1:3" ht="15.75" x14ac:dyDescent="0.25">
      <c r="A1" s="1838" t="s">
        <v>1007</v>
      </c>
    </row>
    <row r="2" spans="1:3" ht="15.75" x14ac:dyDescent="0.25">
      <c r="A2" s="1839" t="s">
        <v>4384</v>
      </c>
    </row>
    <row r="4" spans="1:3" ht="15.75" x14ac:dyDescent="0.25">
      <c r="A4" s="1841" t="s">
        <v>4385</v>
      </c>
      <c r="B4" s="1841" t="s">
        <v>4386</v>
      </c>
      <c r="C4" s="1841" t="s">
        <v>4387</v>
      </c>
    </row>
    <row r="5" spans="1:3" s="2416" customFormat="1" ht="15.75" x14ac:dyDescent="0.25">
      <c r="A5" s="1162" t="s">
        <v>4392</v>
      </c>
      <c r="B5" s="1162" t="s">
        <v>4393</v>
      </c>
      <c r="C5" s="1840" t="s">
        <v>4394</v>
      </c>
    </row>
    <row r="6" spans="1:3" ht="15.75" x14ac:dyDescent="0.25">
      <c r="A6" s="1162" t="s">
        <v>4396</v>
      </c>
      <c r="B6" s="1162" t="s">
        <v>4403</v>
      </c>
      <c r="C6" s="1840" t="s">
        <v>4395</v>
      </c>
    </row>
    <row r="7" spans="1:3" ht="15.75" x14ac:dyDescent="0.25">
      <c r="A7" s="1162" t="s">
        <v>4382</v>
      </c>
      <c r="B7" s="1162" t="s">
        <v>4397</v>
      </c>
      <c r="C7" s="1840" t="s">
        <v>4398</v>
      </c>
    </row>
    <row r="8" spans="1:3" ht="15.75" x14ac:dyDescent="0.25">
      <c r="A8" s="1162" t="s">
        <v>4406</v>
      </c>
      <c r="B8" s="1162" t="s">
        <v>4391</v>
      </c>
      <c r="C8" s="1840" t="s">
        <v>4407</v>
      </c>
    </row>
    <row r="9" spans="1:3" ht="15.75" x14ac:dyDescent="0.25">
      <c r="A9" s="1162" t="s">
        <v>5549</v>
      </c>
      <c r="B9" s="1162" t="s">
        <v>5550</v>
      </c>
      <c r="C9" s="1840" t="s">
        <v>5551</v>
      </c>
    </row>
    <row r="10" spans="1:3" ht="15.75" x14ac:dyDescent="0.25">
      <c r="A10" s="1162" t="s">
        <v>4389</v>
      </c>
      <c r="B10" s="1162" t="s">
        <v>4402</v>
      </c>
      <c r="C10" s="1840" t="s">
        <v>4390</v>
      </c>
    </row>
    <row r="11" spans="1:3" ht="15.75" x14ac:dyDescent="0.25">
      <c r="A11" s="1162" t="s">
        <v>4401</v>
      </c>
      <c r="B11" s="1162" t="s">
        <v>4399</v>
      </c>
      <c r="C11" s="1840" t="s">
        <v>4400</v>
      </c>
    </row>
    <row r="12" spans="1:3" ht="15.75" x14ac:dyDescent="0.25">
      <c r="A12" s="1162" t="s">
        <v>4627</v>
      </c>
      <c r="B12" s="1162" t="s">
        <v>4388</v>
      </c>
      <c r="C12" s="1840" t="s">
        <v>4628</v>
      </c>
    </row>
    <row r="13" spans="1:3" ht="15.75" x14ac:dyDescent="0.25">
      <c r="A13" s="1162" t="s">
        <v>5244</v>
      </c>
      <c r="B13" s="1162" t="s">
        <v>5245</v>
      </c>
      <c r="C13" s="2135" t="s">
        <v>5246</v>
      </c>
    </row>
    <row r="14" spans="1:3" ht="15.75" x14ac:dyDescent="0.25">
      <c r="A14" s="1162"/>
      <c r="C14" s="1840"/>
    </row>
  </sheetData>
  <sheetProtection algorithmName="SHA-512" hashValue="LDojoOH0Syus6rik4+ZTfXLNS34qePAOAjgvP66+MdZIvf7+h5CuL8mh80qtILXZrkONNSHSsAmWtqcPVgm7Mw==" saltValue="3QzAjyG2paggo4c/DzhjVA==" spinCount="100000" sheet="1" objects="1" scenarios="1" autoFilter="0"/>
  <sortState xmlns:xlrd2="http://schemas.microsoft.com/office/spreadsheetml/2017/richdata2" ref="A6:C14">
    <sortCondition ref="A6:A14"/>
  </sortState>
  <hyperlinks>
    <hyperlink ref="A1" location="Index!A1" display="Office of the State Controller" xr:uid="{00000000-0004-0000-5E00-000000000000}"/>
    <hyperlink ref="C10" r:id="rId1" display="mailto:ellen.rockefeller@osc.nc.gov" xr:uid="{00000000-0004-0000-5E00-000003000000}"/>
    <hyperlink ref="C8" r:id="rId2" xr:uid="{00000000-0004-0000-5E00-000006000000}"/>
    <hyperlink ref="C5" r:id="rId3" display="mailto:Kim.Battle@osc.nc.gov" xr:uid="{00000000-0004-0000-5E00-000007000000}"/>
    <hyperlink ref="C6" r:id="rId4" display="mailto:Joannie.Burtoft@osc.nc.gov" xr:uid="{00000000-0004-0000-5E00-000009000000}"/>
    <hyperlink ref="C7" r:id="rId5" display="mailto:Joy.darden@osc.nc.gov" xr:uid="{00000000-0004-0000-5E00-00000A000000}"/>
    <hyperlink ref="C11" r:id="rId6" display="mailto:Virginia.Sisson@osc.nc.gov" xr:uid="{00000000-0004-0000-5E00-00000B000000}"/>
    <hyperlink ref="C12" r:id="rId7" xr:uid="{0FFBA45E-DBD1-4011-BF36-9E81C25034DE}"/>
    <hyperlink ref="C13" r:id="rId8" xr:uid="{5B0F9C9C-8AE3-4C28-80CF-A7A91BF8AAC9}"/>
    <hyperlink ref="C9" r:id="rId9" display="mailto:John.Krellner@osc.nc.gov" xr:uid="{0E4418F3-20E4-40DE-9759-5219A974F78F}"/>
  </hyperlinks>
  <pageMargins left="0.7" right="0.7" top="0.75" bottom="0.75" header="0.3" footer="0.3"/>
  <pageSetup orientation="portrait" r:id="rId1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D16" sqref="D16"/>
    </sheetView>
  </sheetViews>
  <sheetFormatPr defaultColWidth="9.42578125" defaultRowHeight="15.75" x14ac:dyDescent="0.25"/>
  <cols>
    <col min="1" max="1" width="10.42578125" style="390" bestFit="1" customWidth="1"/>
    <col min="2" max="16384" width="9.42578125" style="390"/>
  </cols>
  <sheetData>
    <row r="1" spans="1:7" x14ac:dyDescent="0.25">
      <c r="A1" s="711" t="s">
        <v>268</v>
      </c>
    </row>
    <row r="2" spans="1:7" x14ac:dyDescent="0.25">
      <c r="A2" s="712">
        <v>44742</v>
      </c>
      <c r="B2" s="390" t="s">
        <v>269</v>
      </c>
    </row>
    <row r="3" spans="1:7" x14ac:dyDescent="0.25">
      <c r="A3" s="712">
        <v>44378</v>
      </c>
      <c r="B3" s="390" t="s">
        <v>679</v>
      </c>
    </row>
    <row r="4" spans="1:7" x14ac:dyDescent="0.25">
      <c r="A4" s="712">
        <v>44377</v>
      </c>
      <c r="B4" s="390" t="s">
        <v>680</v>
      </c>
    </row>
    <row r="5" spans="1:7" x14ac:dyDescent="0.25">
      <c r="A5" s="712">
        <v>44743</v>
      </c>
      <c r="B5" s="390" t="s">
        <v>194</v>
      </c>
    </row>
    <row r="6" spans="1:7" x14ac:dyDescent="0.25">
      <c r="A6" s="712">
        <v>45107</v>
      </c>
      <c r="B6" s="390" t="s">
        <v>735</v>
      </c>
    </row>
    <row r="8" spans="1:7" x14ac:dyDescent="0.25">
      <c r="A8" s="1212" t="s">
        <v>1752</v>
      </c>
      <c r="B8" s="1213"/>
      <c r="C8" s="1213"/>
      <c r="D8" s="1213"/>
      <c r="E8" s="1213"/>
      <c r="F8" s="1213"/>
      <c r="G8" s="1213"/>
    </row>
    <row r="9" spans="1:7" x14ac:dyDescent="0.25">
      <c r="A9" s="1213" t="s">
        <v>1753</v>
      </c>
      <c r="B9" s="1213"/>
      <c r="C9" s="1213"/>
      <c r="D9" s="1213"/>
      <c r="E9" s="1213"/>
      <c r="F9" s="1213"/>
      <c r="G9" s="1213"/>
    </row>
    <row r="10" spans="1:7" x14ac:dyDescent="0.25">
      <c r="A10" s="1213" t="s">
        <v>1754</v>
      </c>
      <c r="B10" s="1213"/>
      <c r="C10" s="1213"/>
      <c r="D10" s="1213"/>
      <c r="E10" s="1213"/>
      <c r="F10" s="1213"/>
      <c r="G10" s="1213"/>
    </row>
  </sheetData>
  <sheetProtection algorithmName="SHA-512" hashValue="crUyY2IKfO6/L56md6jQjggkjo/0hEgVnzbSmkry6O7TTbMi6JRBmxpKfBhrTVssXqtG731qsIu0FM9y4U2hlg==" saltValue="ePSQLoGwiE6e3IoMSxRSvA==" spinCount="100000" sheet="1" objects="1" scenarios="1" autoFilter="0"/>
  <customSheetViews>
    <customSheetView guid="{B08879A4-635B-4C39-9937-AC7883D562FC}">
      <selection activeCell="A6" sqref="A6"/>
      <pageMargins left="0.75" right="0.75" top="1" bottom="1" header="0.5" footer="0.5"/>
      <headerFooter alignWithMargins="0"/>
    </customSheetView>
    <customSheetView guid="{9FCFC836-1CA5-48BF-958D-24D2EA94B219}">
      <selection activeCell="A6" sqref="A6"/>
      <pageMargins left="0.75" right="0.75" top="1" bottom="1" header="0.5" footer="0.5"/>
      <headerFooter alignWithMargins="0"/>
    </customSheetView>
  </customSheetViews>
  <phoneticPr fontId="15" type="noConversion"/>
  <pageMargins left="0.75" right="0.75" top="1" bottom="1" header="0.5" footer="0.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59" sqref="R59"/>
      <selection pane="bottomLeft" activeCell="M29" sqref="M29"/>
    </sheetView>
  </sheetViews>
  <sheetFormatPr defaultColWidth="9.42578125" defaultRowHeight="15.75" x14ac:dyDescent="0.25"/>
  <cols>
    <col min="1" max="1" width="12.5703125" style="390" bestFit="1" customWidth="1"/>
    <col min="2" max="2" width="13.5703125" style="390" bestFit="1" customWidth="1"/>
    <col min="3" max="3" width="2.42578125" style="390" bestFit="1" customWidth="1"/>
    <col min="4" max="4" width="9.5703125" style="390" bestFit="1" customWidth="1"/>
    <col min="5" max="5" width="5.5703125" style="390" bestFit="1" customWidth="1"/>
    <col min="6" max="6" width="60.42578125" style="390" customWidth="1"/>
    <col min="7" max="7" width="6" style="390" bestFit="1" customWidth="1"/>
    <col min="8" max="8" width="11.42578125" style="390" bestFit="1" customWidth="1"/>
    <col min="9" max="10" width="10.42578125" style="390" bestFit="1" customWidth="1"/>
    <col min="11" max="16" width="10.42578125" style="390" customWidth="1"/>
    <col min="17" max="17" width="0.5703125" style="390" customWidth="1"/>
    <col min="18" max="18" width="9.42578125" style="390"/>
    <col min="19" max="19" width="0.5703125" style="390" customWidth="1"/>
    <col min="20" max="28" width="9.42578125" style="390"/>
    <col min="29" max="29" width="9.42578125" style="523"/>
    <col min="30" max="16384" width="9.42578125" style="390"/>
  </cols>
  <sheetData>
    <row r="1" spans="1:22" s="711" customFormat="1" x14ac:dyDescent="0.25">
      <c r="A1" s="761" t="s">
        <v>53</v>
      </c>
      <c r="B1" s="761" t="s">
        <v>445</v>
      </c>
      <c r="C1" s="761"/>
      <c r="D1" s="761" t="s">
        <v>626</v>
      </c>
      <c r="E1" s="761" t="s">
        <v>457</v>
      </c>
      <c r="F1" s="761" t="s">
        <v>50</v>
      </c>
      <c r="G1" s="761" t="s">
        <v>345</v>
      </c>
      <c r="H1" s="762"/>
      <c r="I1" s="762"/>
      <c r="J1" s="762"/>
      <c r="K1" s="762"/>
      <c r="L1" s="762"/>
      <c r="M1" s="762"/>
      <c r="N1" s="762"/>
      <c r="O1" s="762"/>
      <c r="P1" s="762"/>
      <c r="Q1" s="762"/>
      <c r="R1" s="762"/>
      <c r="S1" s="762"/>
      <c r="T1" s="762"/>
      <c r="U1" s="762"/>
      <c r="V1" s="762"/>
    </row>
    <row r="2" spans="1:22" x14ac:dyDescent="0.25">
      <c r="A2" s="248" t="str">
        <f ca="1">E2&amp;D2</f>
        <v>IndexFALSE</v>
      </c>
      <c r="B2" s="248" t="str">
        <f ca="1">E2&amp;C2&amp;D2</f>
        <v>IndexaFALSE</v>
      </c>
      <c r="C2" s="248" t="s">
        <v>446</v>
      </c>
      <c r="D2" s="248" t="b">
        <f ca="1">+R2</f>
        <v>0</v>
      </c>
      <c r="E2" s="248" t="s">
        <v>594</v>
      </c>
      <c r="F2" s="248" t="s">
        <v>627</v>
      </c>
      <c r="G2" s="248"/>
      <c r="H2" s="248" t="str">
        <f ca="1">MID(CELL("filename"),SEARCH("[",CELL("filename"))+1, SEARCH("]",CELL("filename"))-SEARCH("[",CELL("filename"))-1)</f>
        <v>2022NCASexcl.xlsx</v>
      </c>
      <c r="I2" s="248" t="str">
        <f>Index!E10&amp;"p.xlsx"</f>
        <v>01p.xlsx</v>
      </c>
      <c r="J2" s="248"/>
      <c r="K2" s="248"/>
      <c r="L2" s="248"/>
      <c r="M2" s="248"/>
      <c r="N2" s="248"/>
      <c r="O2" s="248"/>
      <c r="P2" s="248"/>
      <c r="Q2" s="248"/>
      <c r="R2" s="248" t="b">
        <f ca="1">+H2=I2</f>
        <v>0</v>
      </c>
      <c r="S2" s="248"/>
      <c r="T2" s="248"/>
      <c r="U2" s="248"/>
      <c r="V2" s="248"/>
    </row>
    <row r="3" spans="1:22" x14ac:dyDescent="0.25">
      <c r="A3" s="248" t="str">
        <f>E3&amp;D3</f>
        <v>201FALSE</v>
      </c>
      <c r="B3" s="248" t="str">
        <f>E3&amp;C3&amp;D3</f>
        <v>201aFALSE</v>
      </c>
      <c r="C3" s="248" t="s">
        <v>446</v>
      </c>
      <c r="D3" s="248" t="b">
        <f t="shared" ref="D3:D50" si="0">IF(G3="NA",TRUE,+R3)</f>
        <v>0</v>
      </c>
      <c r="E3" s="248">
        <v>201</v>
      </c>
      <c r="F3" s="248" t="s">
        <v>161</v>
      </c>
      <c r="G3" s="248">
        <f t="shared" ref="G3:G25" si="1">INDEX(IdxTable,MATCH($E3,IdxSheetNum,0),2)</f>
        <v>0</v>
      </c>
      <c r="H3" s="248" t="b">
        <f>ISBLANK('201'!D8)</f>
        <v>1</v>
      </c>
      <c r="I3" s="248"/>
      <c r="J3" s="248"/>
      <c r="K3" s="248"/>
      <c r="L3" s="248"/>
      <c r="M3" s="248"/>
      <c r="N3" s="248"/>
      <c r="O3" s="248"/>
      <c r="P3" s="248"/>
      <c r="Q3" s="248"/>
      <c r="R3" s="248" t="b">
        <f>NOT(H3)</f>
        <v>0</v>
      </c>
      <c r="S3" s="248"/>
      <c r="T3" s="248"/>
      <c r="U3" s="248"/>
      <c r="V3" s="248"/>
    </row>
    <row r="4" spans="1:22" x14ac:dyDescent="0.25">
      <c r="A4" s="248" t="str">
        <f>E4&amp;D4</f>
        <v>201TRUE</v>
      </c>
      <c r="B4" s="248" t="str">
        <f>E4&amp;C4&amp;D4</f>
        <v>201bTRUE</v>
      </c>
      <c r="C4" s="248" t="s">
        <v>447</v>
      </c>
      <c r="D4" s="248" t="b">
        <f t="shared" si="0"/>
        <v>1</v>
      </c>
      <c r="E4" s="248">
        <v>201</v>
      </c>
      <c r="F4" s="248" t="s">
        <v>571</v>
      </c>
      <c r="G4" s="248">
        <f t="shared" si="1"/>
        <v>0</v>
      </c>
      <c r="H4" s="248">
        <f>+'201'!R41</f>
        <v>0</v>
      </c>
      <c r="I4" s="248"/>
      <c r="J4" s="248"/>
      <c r="K4" s="248"/>
      <c r="L4" s="248"/>
      <c r="M4" s="248"/>
      <c r="N4" s="248"/>
      <c r="O4" s="248"/>
      <c r="P4" s="248"/>
      <c r="Q4" s="248"/>
      <c r="R4" s="248" t="b">
        <f>H4=0</f>
        <v>1</v>
      </c>
      <c r="S4" s="248"/>
      <c r="T4" s="248"/>
      <c r="U4" s="248"/>
      <c r="V4" s="248"/>
    </row>
    <row r="5" spans="1:22" x14ac:dyDescent="0.25">
      <c r="A5" s="248" t="str">
        <f>E5&amp;D5</f>
        <v>210FALSE</v>
      </c>
      <c r="B5" s="248" t="str">
        <f>E5&amp;C5&amp;D5</f>
        <v>210aFALSE</v>
      </c>
      <c r="C5" s="248" t="s">
        <v>446</v>
      </c>
      <c r="D5" s="248" t="b">
        <f t="shared" si="0"/>
        <v>0</v>
      </c>
      <c r="E5" s="248">
        <v>210</v>
      </c>
      <c r="F5" s="248" t="s">
        <v>161</v>
      </c>
      <c r="G5" s="248">
        <f t="shared" si="1"/>
        <v>0</v>
      </c>
      <c r="H5" s="248" t="b">
        <f>ISBLANK('210'!D7)</f>
        <v>1</v>
      </c>
      <c r="I5" s="248"/>
      <c r="J5" s="248"/>
      <c r="K5" s="248"/>
      <c r="L5" s="248"/>
      <c r="M5" s="248"/>
      <c r="N5" s="248"/>
      <c r="O5" s="248"/>
      <c r="P5" s="248"/>
      <c r="Q5" s="248"/>
      <c r="R5" s="248" t="b">
        <f>NOT(H5)</f>
        <v>0</v>
      </c>
      <c r="S5" s="248"/>
      <c r="T5" s="248"/>
      <c r="U5" s="248"/>
      <c r="V5" s="248"/>
    </row>
    <row r="6" spans="1:22" x14ac:dyDescent="0.25">
      <c r="A6" s="248" t="e">
        <f t="shared" ref="A6:A14" si="2">E6&amp;D6</f>
        <v>#REF!</v>
      </c>
      <c r="B6" s="248" t="e">
        <f t="shared" ref="B6:B14" si="3">E6&amp;C6&amp;D6</f>
        <v>#REF!</v>
      </c>
      <c r="C6" s="248" t="s">
        <v>447</v>
      </c>
      <c r="D6" s="248" t="e">
        <f t="shared" si="0"/>
        <v>#REF!</v>
      </c>
      <c r="E6" s="248">
        <v>301</v>
      </c>
      <c r="F6" s="248" t="s">
        <v>572</v>
      </c>
      <c r="G6" s="248">
        <f t="shared" si="1"/>
        <v>0</v>
      </c>
      <c r="H6" s="248" t="e">
        <f>SUM('301'!#REF!,'301'!G47,'301'!I47,'301'!K47)</f>
        <v>#REF!</v>
      </c>
      <c r="I6" s="248" t="e">
        <f>SUM('301'!#REF!,'301'!#REF!,'301'!#REF!,'301'!#REF!)</f>
        <v>#REF!</v>
      </c>
      <c r="J6" s="248"/>
      <c r="K6" s="248"/>
      <c r="L6" s="248"/>
      <c r="M6" s="248"/>
      <c r="N6" s="248"/>
      <c r="O6" s="248"/>
      <c r="P6" s="248"/>
      <c r="Q6" s="248"/>
      <c r="R6" s="248" t="e">
        <f>NOT(OR(T6,U6))</f>
        <v>#REF!</v>
      </c>
      <c r="S6" s="248"/>
      <c r="T6" s="248" t="e">
        <f>AND(H6&gt;0,I6=0)</f>
        <v>#REF!</v>
      </c>
      <c r="U6" s="248" t="e">
        <f>AND(I6&gt;0,H6=0)</f>
        <v>#REF!</v>
      </c>
      <c r="V6" s="248"/>
    </row>
    <row r="7" spans="1:22" x14ac:dyDescent="0.25">
      <c r="A7" s="248" t="str">
        <f t="shared" si="2"/>
        <v>305TRUE</v>
      </c>
      <c r="B7" s="248" t="str">
        <f t="shared" si="3"/>
        <v>305aTRUE</v>
      </c>
      <c r="C7" s="248" t="s">
        <v>446</v>
      </c>
      <c r="D7" s="248" t="b">
        <f t="shared" si="0"/>
        <v>1</v>
      </c>
      <c r="E7" s="248">
        <v>305</v>
      </c>
      <c r="F7" s="248" t="s">
        <v>1098</v>
      </c>
      <c r="G7" s="248">
        <f t="shared" si="1"/>
        <v>0</v>
      </c>
      <c r="H7" s="248">
        <f>+'305'!E31</f>
        <v>0</v>
      </c>
      <c r="I7" s="248">
        <f>+'305'!M31</f>
        <v>0</v>
      </c>
      <c r="J7" s="248">
        <f>+'305'!I31</f>
        <v>0</v>
      </c>
      <c r="K7" s="248">
        <f>+'305'!K31</f>
        <v>0</v>
      </c>
      <c r="L7" s="248"/>
      <c r="M7" s="248"/>
      <c r="N7" s="248"/>
      <c r="O7" s="248"/>
      <c r="P7" s="248"/>
      <c r="Q7" s="248"/>
      <c r="R7" s="248" t="b">
        <f>IF(T7,TRUE,U7)</f>
        <v>1</v>
      </c>
      <c r="S7" s="248"/>
      <c r="T7" s="248" t="b">
        <f>AND(H7=0,I7=0)</f>
        <v>1</v>
      </c>
      <c r="U7" s="248" t="b">
        <f>IF(OR(H7&lt;&gt;0,I7&lt;&gt;0),AND(J7&lt;&gt;0,K7&lt;&gt;0),FALSE)</f>
        <v>0</v>
      </c>
      <c r="V7" s="248"/>
    </row>
    <row r="8" spans="1:22" x14ac:dyDescent="0.25">
      <c r="A8" s="248" t="str">
        <f>E8&amp;D8</f>
        <v>305TRUE</v>
      </c>
      <c r="B8" s="248" t="str">
        <f>E8&amp;C8&amp;D8</f>
        <v>305bTRUE</v>
      </c>
      <c r="C8" s="248" t="s">
        <v>447</v>
      </c>
      <c r="D8" s="248" t="b">
        <f t="shared" si="0"/>
        <v>1</v>
      </c>
      <c r="E8" s="248">
        <v>305</v>
      </c>
      <c r="F8" s="248" t="s">
        <v>161</v>
      </c>
      <c r="G8" s="248">
        <f t="shared" si="1"/>
        <v>0</v>
      </c>
      <c r="H8" s="248" t="b">
        <f>ISBLANK('305'!D8)</f>
        <v>0</v>
      </c>
      <c r="I8" s="248"/>
      <c r="J8" s="248"/>
      <c r="K8" s="248"/>
      <c r="L8" s="248"/>
      <c r="M8" s="248"/>
      <c r="N8" s="248"/>
      <c r="O8" s="248"/>
      <c r="P8" s="248"/>
      <c r="Q8" s="248"/>
      <c r="R8" s="248" t="b">
        <f>NOT(H8)</f>
        <v>1</v>
      </c>
      <c r="S8" s="248"/>
      <c r="T8" s="248"/>
      <c r="U8" s="248"/>
      <c r="V8" s="248"/>
    </row>
    <row r="9" spans="1:22" x14ac:dyDescent="0.25">
      <c r="A9" s="248" t="str">
        <f t="shared" si="2"/>
        <v>310FALSE</v>
      </c>
      <c r="B9" s="248" t="str">
        <f t="shared" si="3"/>
        <v>310aFALSE</v>
      </c>
      <c r="C9" s="248" t="s">
        <v>446</v>
      </c>
      <c r="D9" s="248" t="b">
        <f t="shared" si="0"/>
        <v>0</v>
      </c>
      <c r="E9" s="248">
        <v>310</v>
      </c>
      <c r="F9" s="248" t="s">
        <v>1098</v>
      </c>
      <c r="G9" s="248">
        <f t="shared" si="1"/>
        <v>0</v>
      </c>
      <c r="H9" s="248" t="str">
        <f>+'310'!E32</f>
        <v/>
      </c>
      <c r="I9" s="248">
        <f>+'310'!M32</f>
        <v>0</v>
      </c>
      <c r="J9" s="248">
        <f>+'310'!I32</f>
        <v>0</v>
      </c>
      <c r="K9" s="248">
        <f>+'310'!K32</f>
        <v>0</v>
      </c>
      <c r="L9" s="248"/>
      <c r="M9" s="248"/>
      <c r="N9" s="248"/>
      <c r="O9" s="248"/>
      <c r="P9" s="248"/>
      <c r="Q9" s="248"/>
      <c r="R9" s="248" t="b">
        <f>IF(T9,TRUE,U9)</f>
        <v>0</v>
      </c>
      <c r="S9" s="248"/>
      <c r="T9" s="248" t="b">
        <f>AND(H9=0,I9=0)</f>
        <v>0</v>
      </c>
      <c r="U9" s="248" t="b">
        <f>IF(OR(H9&lt;&gt;0,I9&lt;&gt;0),AND(J9&lt;&gt;0,K9&lt;&gt;0),FALSE)</f>
        <v>0</v>
      </c>
      <c r="V9" s="248"/>
    </row>
    <row r="10" spans="1:22" x14ac:dyDescent="0.25">
      <c r="A10" s="248" t="str">
        <f t="shared" si="2"/>
        <v>310FALSE</v>
      </c>
      <c r="B10" s="248" t="str">
        <f t="shared" si="3"/>
        <v>310bFALSE</v>
      </c>
      <c r="C10" s="248" t="s">
        <v>447</v>
      </c>
      <c r="D10" s="248" t="b">
        <f t="shared" si="0"/>
        <v>0</v>
      </c>
      <c r="E10" s="248">
        <v>310</v>
      </c>
      <c r="F10" s="248" t="s">
        <v>161</v>
      </c>
      <c r="G10" s="248">
        <f t="shared" si="1"/>
        <v>0</v>
      </c>
      <c r="H10" s="248" t="b">
        <f>ISBLANK('310'!D8)</f>
        <v>1</v>
      </c>
      <c r="I10" s="248"/>
      <c r="J10" s="248"/>
      <c r="K10" s="248"/>
      <c r="L10" s="248"/>
      <c r="M10" s="248"/>
      <c r="N10" s="248"/>
      <c r="O10" s="248"/>
      <c r="P10" s="248"/>
      <c r="Q10" s="248"/>
      <c r="R10" s="248" t="b">
        <f>NOT(H10)</f>
        <v>0</v>
      </c>
      <c r="S10" s="248"/>
      <c r="T10" s="248"/>
      <c r="U10" s="248"/>
      <c r="V10" s="248"/>
    </row>
    <row r="11" spans="1:22" x14ac:dyDescent="0.25">
      <c r="A11" s="248" t="str">
        <f t="shared" si="2"/>
        <v>315TRUE</v>
      </c>
      <c r="B11" s="248" t="str">
        <f t="shared" si="3"/>
        <v>315bTRUE</v>
      </c>
      <c r="C11" s="248" t="s">
        <v>447</v>
      </c>
      <c r="D11" s="248" t="b">
        <f t="shared" si="0"/>
        <v>1</v>
      </c>
      <c r="E11" s="248">
        <v>315</v>
      </c>
      <c r="F11" s="248" t="s">
        <v>51</v>
      </c>
      <c r="G11" s="248">
        <f t="shared" si="1"/>
        <v>0</v>
      </c>
      <c r="H11" s="248">
        <f>+'315'!FROM315</f>
        <v>0</v>
      </c>
      <c r="I11" s="248">
        <f>+'315'!_TO315</f>
        <v>0</v>
      </c>
      <c r="J11" s="248"/>
      <c r="K11" s="248"/>
      <c r="L11" s="248"/>
      <c r="M11" s="248"/>
      <c r="N11" s="248"/>
      <c r="O11" s="248"/>
      <c r="P11" s="248"/>
      <c r="Q11" s="248"/>
      <c r="R11" s="248" t="b">
        <f>H11&lt;=I11</f>
        <v>1</v>
      </c>
      <c r="S11" s="248"/>
      <c r="T11" s="248"/>
      <c r="U11" s="248"/>
      <c r="V11" s="248"/>
    </row>
    <row r="12" spans="1:22" x14ac:dyDescent="0.25">
      <c r="A12" s="248" t="str">
        <f t="shared" si="2"/>
        <v>315TRUE</v>
      </c>
      <c r="B12" s="248" t="str">
        <f t="shared" si="3"/>
        <v>315cTRUE</v>
      </c>
      <c r="C12" s="248" t="s">
        <v>448</v>
      </c>
      <c r="D12" s="248" t="b">
        <f t="shared" si="0"/>
        <v>1</v>
      </c>
      <c r="E12" s="248">
        <v>315</v>
      </c>
      <c r="F12" s="248" t="s">
        <v>52</v>
      </c>
      <c r="G12" s="248">
        <f t="shared" si="1"/>
        <v>0</v>
      </c>
      <c r="H12" s="248">
        <f>+Index!B32</f>
        <v>0</v>
      </c>
      <c r="I12" s="248" t="b">
        <f>ISBLANK('315'!$D15)</f>
        <v>1</v>
      </c>
      <c r="J12" s="248" t="b">
        <f>ISBLANK('315'!$D17)</f>
        <v>1</v>
      </c>
      <c r="K12" s="248" t="b">
        <f>ISBLANK('315'!$D19)</f>
        <v>1</v>
      </c>
      <c r="L12" s="248" t="b">
        <f>ISBLANK('315'!$D21)</f>
        <v>1</v>
      </c>
      <c r="M12" s="248" t="b">
        <f>ISBLANK('315'!$D23)</f>
        <v>1</v>
      </c>
      <c r="N12" s="248" t="b">
        <f>ISBLANK('315'!$D25)</f>
        <v>1</v>
      </c>
      <c r="O12" s="248" t="b">
        <f>ISBLANK('315'!$D27)</f>
        <v>1</v>
      </c>
      <c r="P12" s="248" t="b">
        <f>AND(I12,J12,K12,L12,M12,N12,O12)</f>
        <v>1</v>
      </c>
      <c r="Q12" s="248"/>
      <c r="R12" s="248" t="b">
        <f>IF(OR(H12="NA",T12&gt;5),TRUE,FALSE)</f>
        <v>1</v>
      </c>
      <c r="S12" s="248"/>
      <c r="T12" s="248">
        <f>COUNTIF(I12:O12,TRUE)</f>
        <v>7</v>
      </c>
      <c r="U12" s="248"/>
      <c r="V12" s="248"/>
    </row>
    <row r="13" spans="1:22" x14ac:dyDescent="0.25">
      <c r="A13" s="248" t="str">
        <f t="shared" si="2"/>
        <v>315FALSE</v>
      </c>
      <c r="B13" s="248" t="str">
        <f t="shared" si="3"/>
        <v>315dFALSE</v>
      </c>
      <c r="C13" s="248" t="s">
        <v>450</v>
      </c>
      <c r="D13" s="248" t="b">
        <f t="shared" si="0"/>
        <v>0</v>
      </c>
      <c r="E13" s="248">
        <v>315</v>
      </c>
      <c r="F13" s="248" t="s">
        <v>458</v>
      </c>
      <c r="G13" s="248">
        <f t="shared" si="1"/>
        <v>0</v>
      </c>
      <c r="H13" s="248">
        <f>+Index!$B$32</f>
        <v>0</v>
      </c>
      <c r="I13" s="248" t="b">
        <f>ISBLANK('315'!_OID315)</f>
        <v>1</v>
      </c>
      <c r="J13" s="248"/>
      <c r="K13" s="248"/>
      <c r="L13" s="248"/>
      <c r="M13" s="248"/>
      <c r="N13" s="248"/>
      <c r="O13" s="248"/>
      <c r="P13" s="248"/>
      <c r="Q13" s="248"/>
      <c r="R13" s="248" t="b">
        <f>OR(AND(H13="NA",I13),I13=FALSE)</f>
        <v>0</v>
      </c>
      <c r="S13" s="248"/>
      <c r="T13" s="248"/>
      <c r="U13" s="248"/>
      <c r="V13" s="248"/>
    </row>
    <row r="14" spans="1:22" x14ac:dyDescent="0.25">
      <c r="A14" s="248" t="str">
        <f t="shared" si="2"/>
        <v>315FALSE</v>
      </c>
      <c r="B14" s="248" t="str">
        <f t="shared" si="3"/>
        <v>315eFALSE</v>
      </c>
      <c r="C14" s="248" t="s">
        <v>451</v>
      </c>
      <c r="D14" s="248" t="b">
        <f t="shared" si="0"/>
        <v>0</v>
      </c>
      <c r="E14" s="248">
        <v>315</v>
      </c>
      <c r="F14" s="248" t="s">
        <v>459</v>
      </c>
      <c r="G14" s="248">
        <f t="shared" si="1"/>
        <v>0</v>
      </c>
      <c r="H14" s="248">
        <f>+Index!$B$32</f>
        <v>0</v>
      </c>
      <c r="I14" s="248" t="b">
        <f>ISBLANK('315'!FROM315)</f>
        <v>1</v>
      </c>
      <c r="J14" s="248"/>
      <c r="K14" s="248"/>
      <c r="L14" s="248"/>
      <c r="M14" s="248"/>
      <c r="N14" s="248"/>
      <c r="O14" s="248"/>
      <c r="P14" s="248"/>
      <c r="Q14" s="248"/>
      <c r="R14" s="248" t="b">
        <f>OR(AND(H14="NA",I14),I14=FALSE)</f>
        <v>0</v>
      </c>
      <c r="S14" s="248"/>
      <c r="T14" s="248"/>
      <c r="U14" s="248"/>
      <c r="V14" s="248"/>
    </row>
    <row r="15" spans="1:22" x14ac:dyDescent="0.25">
      <c r="A15" s="248" t="str">
        <f t="shared" ref="A15:A25" si="4">E15&amp;D15</f>
        <v>315FALSE</v>
      </c>
      <c r="B15" s="248" t="str">
        <f t="shared" ref="B15:B25" si="5">E15&amp;C15&amp;D15</f>
        <v>315fFALSE</v>
      </c>
      <c r="C15" s="248" t="s">
        <v>452</v>
      </c>
      <c r="D15" s="248" t="b">
        <f t="shared" si="0"/>
        <v>0</v>
      </c>
      <c r="E15" s="248">
        <v>315</v>
      </c>
      <c r="F15" s="248" t="s">
        <v>460</v>
      </c>
      <c r="G15" s="248">
        <f t="shared" si="1"/>
        <v>0</v>
      </c>
      <c r="H15" s="248">
        <f>+Index!$B$32</f>
        <v>0</v>
      </c>
      <c r="I15" s="248" t="b">
        <f>ISBLANK('315'!_TO315)</f>
        <v>1</v>
      </c>
      <c r="J15" s="248"/>
      <c r="K15" s="248"/>
      <c r="L15" s="248"/>
      <c r="M15" s="248"/>
      <c r="N15" s="248"/>
      <c r="O15" s="248"/>
      <c r="P15" s="248"/>
      <c r="Q15" s="248"/>
      <c r="R15" s="248" t="b">
        <f>OR(AND(H15="NA",I15),I15=FALSE)</f>
        <v>0</v>
      </c>
      <c r="S15" s="248"/>
      <c r="T15" s="248"/>
      <c r="U15" s="248"/>
      <c r="V15" s="248"/>
    </row>
    <row r="16" spans="1:22" x14ac:dyDescent="0.25">
      <c r="A16" s="248" t="str">
        <f t="shared" si="4"/>
        <v>315FALSE</v>
      </c>
      <c r="B16" s="248" t="str">
        <f t="shared" si="5"/>
        <v>315gFALSE</v>
      </c>
      <c r="C16" s="248" t="s">
        <v>453</v>
      </c>
      <c r="D16" s="248" t="b">
        <f t="shared" si="0"/>
        <v>0</v>
      </c>
      <c r="E16" s="248">
        <v>315</v>
      </c>
      <c r="F16" s="248" t="s">
        <v>461</v>
      </c>
      <c r="G16" s="248">
        <f t="shared" si="1"/>
        <v>0</v>
      </c>
      <c r="H16" s="248">
        <f>+Index!$B$32</f>
        <v>0</v>
      </c>
      <c r="I16" s="248" t="b">
        <f>ISBLANK('315'!_FMD315)</f>
        <v>1</v>
      </c>
      <c r="J16" s="248"/>
      <c r="K16" s="248"/>
      <c r="L16" s="248"/>
      <c r="M16" s="248"/>
      <c r="N16" s="248"/>
      <c r="O16" s="248"/>
      <c r="P16" s="248"/>
      <c r="Q16" s="248"/>
      <c r="R16" s="248" t="b">
        <f>OR(AND(H16="NA",I16),I16=FALSE)</f>
        <v>0</v>
      </c>
      <c r="S16" s="248"/>
      <c r="T16" s="248"/>
      <c r="U16" s="248"/>
      <c r="V16" s="248"/>
    </row>
    <row r="17" spans="1:22" x14ac:dyDescent="0.25">
      <c r="A17" s="248" t="str">
        <f t="shared" si="4"/>
        <v>320TRUE</v>
      </c>
      <c r="B17" s="248" t="str">
        <f t="shared" si="5"/>
        <v>320bTRUE</v>
      </c>
      <c r="C17" s="248" t="s">
        <v>447</v>
      </c>
      <c r="D17" s="248" t="b">
        <f t="shared" si="0"/>
        <v>1</v>
      </c>
      <c r="E17" s="248">
        <v>320</v>
      </c>
      <c r="F17" s="248" t="s">
        <v>51</v>
      </c>
      <c r="G17" s="248">
        <f t="shared" si="1"/>
        <v>0</v>
      </c>
      <c r="H17" s="248">
        <f>+[0]!FROM320</f>
        <v>0</v>
      </c>
      <c r="I17" s="248">
        <f>+[0]!__TO320</f>
        <v>0</v>
      </c>
      <c r="J17" s="248"/>
      <c r="K17" s="248"/>
      <c r="L17" s="248"/>
      <c r="M17" s="248"/>
      <c r="N17" s="248"/>
      <c r="O17" s="248"/>
      <c r="P17" s="248"/>
      <c r="Q17" s="248"/>
      <c r="R17" s="248" t="b">
        <f>H17&lt;=I17</f>
        <v>1</v>
      </c>
      <c r="S17" s="248"/>
      <c r="T17" s="248"/>
      <c r="U17" s="248"/>
      <c r="V17" s="248"/>
    </row>
    <row r="18" spans="1:22" x14ac:dyDescent="0.25">
      <c r="A18" s="248" t="str">
        <f t="shared" si="4"/>
        <v>320TRUE</v>
      </c>
      <c r="B18" s="248" t="str">
        <f t="shared" si="5"/>
        <v>320cTRUE</v>
      </c>
      <c r="C18" s="248" t="s">
        <v>448</v>
      </c>
      <c r="D18" s="248" t="b">
        <f t="shared" si="0"/>
        <v>1</v>
      </c>
      <c r="E18" s="248">
        <v>320</v>
      </c>
      <c r="F18" s="248" t="s">
        <v>52</v>
      </c>
      <c r="G18" s="248">
        <f t="shared" si="1"/>
        <v>0</v>
      </c>
      <c r="H18" s="248">
        <f>+Index!B38</f>
        <v>0</v>
      </c>
      <c r="I18" s="248" t="b">
        <f>ISBLANK('320'!$D15)</f>
        <v>1</v>
      </c>
      <c r="J18" s="248" t="b">
        <f>ISBLANK('320'!$D17)</f>
        <v>1</v>
      </c>
      <c r="K18" s="248" t="b">
        <f>ISBLANK('320'!$D19)</f>
        <v>1</v>
      </c>
      <c r="L18" s="248" t="b">
        <f>ISBLANK('320'!$D21)</f>
        <v>1</v>
      </c>
      <c r="M18" s="248" t="b">
        <f>ISBLANK('320'!$D23)</f>
        <v>1</v>
      </c>
      <c r="N18" s="248" t="b">
        <f>ISBLANK('320'!$D25)</f>
        <v>1</v>
      </c>
      <c r="O18" s="248" t="b">
        <f>ISBLANK('320'!$D27)</f>
        <v>1</v>
      </c>
      <c r="P18" s="248" t="b">
        <f>AND(I18,J18,K18,L18,M18,N18,O18)</f>
        <v>1</v>
      </c>
      <c r="Q18" s="248" t="b">
        <f>ISBLANK('320'!#REF!)</f>
        <v>0</v>
      </c>
      <c r="R18" s="248" t="b">
        <f>IF(OR(H18="NA",T18&gt;5),TRUE,FALSE)</f>
        <v>1</v>
      </c>
      <c r="S18" s="248"/>
      <c r="T18" s="248">
        <f>COUNTIF(I18:O18,TRUE)</f>
        <v>7</v>
      </c>
      <c r="U18" s="248"/>
      <c r="V18" s="248"/>
    </row>
    <row r="19" spans="1:22" x14ac:dyDescent="0.25">
      <c r="A19" s="248" t="str">
        <f t="shared" si="4"/>
        <v>320FALSE</v>
      </c>
      <c r="B19" s="248" t="str">
        <f t="shared" si="5"/>
        <v>320dFALSE</v>
      </c>
      <c r="C19" s="248" t="s">
        <v>450</v>
      </c>
      <c r="D19" s="248" t="b">
        <f t="shared" si="0"/>
        <v>0</v>
      </c>
      <c r="E19" s="248">
        <v>320</v>
      </c>
      <c r="F19" s="248" t="s">
        <v>458</v>
      </c>
      <c r="G19" s="248">
        <f t="shared" si="1"/>
        <v>0</v>
      </c>
      <c r="H19" s="248">
        <f>Index!$B$33</f>
        <v>0</v>
      </c>
      <c r="I19" s="248" t="b">
        <f>ISBLANK([0]!__OID320)</f>
        <v>1</v>
      </c>
      <c r="J19" s="248"/>
      <c r="K19" s="248"/>
      <c r="L19" s="248"/>
      <c r="M19" s="248"/>
      <c r="N19" s="248"/>
      <c r="O19" s="248"/>
      <c r="P19" s="248"/>
      <c r="Q19" s="248"/>
      <c r="R19" s="248" t="b">
        <f>OR(AND(H19="NA",I19),I19=FALSE)</f>
        <v>0</v>
      </c>
      <c r="S19" s="248"/>
      <c r="T19" s="248"/>
      <c r="U19" s="248"/>
      <c r="V19" s="248"/>
    </row>
    <row r="20" spans="1:22" x14ac:dyDescent="0.25">
      <c r="A20" s="248" t="str">
        <f t="shared" si="4"/>
        <v>320FALSE</v>
      </c>
      <c r="B20" s="248" t="str">
        <f t="shared" si="5"/>
        <v>320eFALSE</v>
      </c>
      <c r="C20" s="248" t="s">
        <v>451</v>
      </c>
      <c r="D20" s="248" t="b">
        <f t="shared" si="0"/>
        <v>0</v>
      </c>
      <c r="E20" s="248">
        <v>320</v>
      </c>
      <c r="F20" s="248" t="s">
        <v>459</v>
      </c>
      <c r="G20" s="248">
        <f t="shared" si="1"/>
        <v>0</v>
      </c>
      <c r="H20" s="248">
        <f>Index!$B$33</f>
        <v>0</v>
      </c>
      <c r="I20" s="248" t="b">
        <f>ISBLANK([0]!FROM320)</f>
        <v>1</v>
      </c>
      <c r="J20" s="248"/>
      <c r="K20" s="248"/>
      <c r="L20" s="248"/>
      <c r="M20" s="248"/>
      <c r="N20" s="248"/>
      <c r="O20" s="248"/>
      <c r="P20" s="248"/>
      <c r="Q20" s="248"/>
      <c r="R20" s="248" t="b">
        <f>OR(AND(H20="NA",I20),I20=FALSE)</f>
        <v>0</v>
      </c>
      <c r="S20" s="248"/>
      <c r="T20" s="248"/>
      <c r="U20" s="248"/>
      <c r="V20" s="248"/>
    </row>
    <row r="21" spans="1:22" x14ac:dyDescent="0.25">
      <c r="A21" s="248" t="str">
        <f t="shared" si="4"/>
        <v>320FALSE</v>
      </c>
      <c r="B21" s="248" t="str">
        <f t="shared" si="5"/>
        <v>320fFALSE</v>
      </c>
      <c r="C21" s="248" t="s">
        <v>452</v>
      </c>
      <c r="D21" s="248" t="b">
        <f t="shared" si="0"/>
        <v>0</v>
      </c>
      <c r="E21" s="248">
        <v>320</v>
      </c>
      <c r="F21" s="248" t="s">
        <v>460</v>
      </c>
      <c r="G21" s="248">
        <f t="shared" si="1"/>
        <v>0</v>
      </c>
      <c r="H21" s="248">
        <f>Index!$B$33</f>
        <v>0</v>
      </c>
      <c r="I21" s="248" t="b">
        <f>ISBLANK([0]!__TO320)</f>
        <v>1</v>
      </c>
      <c r="J21" s="248"/>
      <c r="K21" s="248"/>
      <c r="L21" s="248"/>
      <c r="M21" s="248"/>
      <c r="N21" s="248"/>
      <c r="O21" s="248"/>
      <c r="P21" s="248"/>
      <c r="Q21" s="248"/>
      <c r="R21" s="248" t="b">
        <f>OR(AND(H21="NA",I21),I21=FALSE)</f>
        <v>0</v>
      </c>
      <c r="S21" s="248"/>
      <c r="T21" s="248"/>
      <c r="U21" s="248"/>
      <c r="V21" s="248"/>
    </row>
    <row r="22" spans="1:22" x14ac:dyDescent="0.25">
      <c r="A22" s="248" t="str">
        <f t="shared" si="4"/>
        <v>320FALSE</v>
      </c>
      <c r="B22" s="248" t="str">
        <f t="shared" si="5"/>
        <v>320gFALSE</v>
      </c>
      <c r="C22" s="248" t="s">
        <v>453</v>
      </c>
      <c r="D22" s="248" t="b">
        <f t="shared" si="0"/>
        <v>0</v>
      </c>
      <c r="E22" s="248">
        <v>320</v>
      </c>
      <c r="F22" s="248" t="s">
        <v>461</v>
      </c>
      <c r="G22" s="248">
        <f t="shared" si="1"/>
        <v>0</v>
      </c>
      <c r="H22" s="248">
        <f>Index!$B$33</f>
        <v>0</v>
      </c>
      <c r="I22" s="248" t="b">
        <f>ISBLANK([0]!__FMD320)</f>
        <v>1</v>
      </c>
      <c r="J22" s="248"/>
      <c r="K22" s="248"/>
      <c r="L22" s="248"/>
      <c r="M22" s="248"/>
      <c r="N22" s="248"/>
      <c r="O22" s="248"/>
      <c r="P22" s="248"/>
      <c r="Q22" s="248"/>
      <c r="R22" s="248" t="b">
        <f>OR(AND(H22="NA",I22),I22=FALSE)</f>
        <v>0</v>
      </c>
      <c r="S22" s="248"/>
      <c r="T22" s="248"/>
      <c r="U22" s="248"/>
      <c r="V22" s="248"/>
    </row>
    <row r="23" spans="1:22" x14ac:dyDescent="0.25">
      <c r="A23" s="248" t="str">
        <f t="shared" si="4"/>
        <v>325FALSE</v>
      </c>
      <c r="B23" s="248" t="str">
        <f t="shared" si="5"/>
        <v>325aFALSE</v>
      </c>
      <c r="C23" s="248" t="s">
        <v>446</v>
      </c>
      <c r="D23" s="248" t="b">
        <f t="shared" si="0"/>
        <v>0</v>
      </c>
      <c r="E23" s="248">
        <v>325</v>
      </c>
      <c r="F23" s="248" t="s">
        <v>161</v>
      </c>
      <c r="G23" s="248">
        <f t="shared" si="1"/>
        <v>0</v>
      </c>
      <c r="H23" s="248" t="b">
        <f>ISBLANK('325'!G7)</f>
        <v>1</v>
      </c>
      <c r="I23" s="248"/>
      <c r="J23" s="248"/>
      <c r="K23" s="248"/>
      <c r="L23" s="248"/>
      <c r="M23" s="248"/>
      <c r="N23" s="248"/>
      <c r="O23" s="248"/>
      <c r="P23" s="248"/>
      <c r="Q23" s="248"/>
      <c r="R23" s="248" t="b">
        <f>NOT(H23)</f>
        <v>0</v>
      </c>
      <c r="S23" s="248"/>
      <c r="T23" s="248"/>
      <c r="U23" s="248"/>
      <c r="V23" s="248"/>
    </row>
    <row r="24" spans="1:22" x14ac:dyDescent="0.25">
      <c r="A24" s="248" t="str">
        <f t="shared" si="4"/>
        <v>345FALSE</v>
      </c>
      <c r="B24" s="248" t="str">
        <f t="shared" si="5"/>
        <v>345aFALSE</v>
      </c>
      <c r="C24" s="248" t="s">
        <v>446</v>
      </c>
      <c r="D24" s="248" t="b">
        <f t="shared" si="0"/>
        <v>0</v>
      </c>
      <c r="E24" s="248">
        <v>345</v>
      </c>
      <c r="F24" s="248" t="s">
        <v>1099</v>
      </c>
      <c r="G24" s="248">
        <f t="shared" si="1"/>
        <v>0</v>
      </c>
      <c r="H24" s="248" t="b">
        <f>ISBLANK('345'!F30)</f>
        <v>1</v>
      </c>
      <c r="I24" s="248" t="b">
        <f>ISBLANK('345'!I30)</f>
        <v>1</v>
      </c>
      <c r="J24" s="248" t="b">
        <f>ISBLANK('345'!F39)</f>
        <v>1</v>
      </c>
      <c r="K24" s="248" t="b">
        <f>ISBLANK('345'!I39)</f>
        <v>1</v>
      </c>
      <c r="L24" s="248" t="b">
        <f>ISBLANK('345'!K52)</f>
        <v>1</v>
      </c>
      <c r="M24" s="248" t="b">
        <f>ISBLANK('345'!K53)</f>
        <v>1</v>
      </c>
      <c r="N24" s="248"/>
      <c r="O24" s="248"/>
      <c r="P24" s="248"/>
      <c r="Q24" s="248"/>
      <c r="R24" s="248" t="b">
        <f>NOT(OR(T24,U24,V24))</f>
        <v>0</v>
      </c>
      <c r="S24" s="248"/>
      <c r="T24" s="248" t="b">
        <f>AND(H24,I24)</f>
        <v>1</v>
      </c>
      <c r="U24" s="248" t="b">
        <f>AND(J24,K24)</f>
        <v>1</v>
      </c>
      <c r="V24" s="248" t="b">
        <f>AND(L24,M24)</f>
        <v>1</v>
      </c>
    </row>
    <row r="25" spans="1:22" x14ac:dyDescent="0.25">
      <c r="A25" s="248" t="str">
        <f t="shared" si="4"/>
        <v>355FALSE</v>
      </c>
      <c r="B25" s="248" t="str">
        <f t="shared" si="5"/>
        <v>355aFALSE</v>
      </c>
      <c r="C25" s="248" t="s">
        <v>446</v>
      </c>
      <c r="D25" s="248" t="b">
        <f t="shared" si="0"/>
        <v>0</v>
      </c>
      <c r="E25" s="248">
        <v>355</v>
      </c>
      <c r="F25" s="248" t="s">
        <v>1099</v>
      </c>
      <c r="G25" s="248">
        <f t="shared" si="1"/>
        <v>0</v>
      </c>
      <c r="H25" s="248" t="b">
        <f>ISBLANK('355'!C29)</f>
        <v>1</v>
      </c>
      <c r="I25" s="248" t="b">
        <f>ISBLANK('355'!E29)</f>
        <v>1</v>
      </c>
      <c r="J25" s="248" t="b">
        <f>ISBLANK('355'!J43)</f>
        <v>1</v>
      </c>
      <c r="K25" s="248" t="b">
        <f>ISBLANK('355'!L43)</f>
        <v>1</v>
      </c>
      <c r="L25" s="248"/>
      <c r="M25" s="248"/>
      <c r="N25" s="248"/>
      <c r="O25" s="248"/>
      <c r="P25" s="248"/>
      <c r="Q25" s="248"/>
      <c r="R25" s="248" t="b">
        <f>NOT(OR(T25,U25))</f>
        <v>0</v>
      </c>
      <c r="S25" s="248"/>
      <c r="T25" s="248" t="b">
        <f>AND(H25,I25)</f>
        <v>1</v>
      </c>
      <c r="U25" s="248" t="b">
        <f>AND(J25,K25)</f>
        <v>1</v>
      </c>
      <c r="V25" s="248"/>
    </row>
    <row r="26" spans="1:22" x14ac:dyDescent="0.25">
      <c r="A26" s="248" t="str">
        <f t="shared" ref="A26:A31" si="6">E26&amp;D26</f>
        <v>420TRUE</v>
      </c>
      <c r="B26" s="248" t="str">
        <f t="shared" ref="B26:B31" si="7">E26&amp;C26&amp;D26</f>
        <v>420bTRUE</v>
      </c>
      <c r="C26" s="248" t="s">
        <v>447</v>
      </c>
      <c r="D26" s="248" t="b">
        <f t="shared" si="0"/>
        <v>1</v>
      </c>
      <c r="E26" s="248">
        <v>420</v>
      </c>
      <c r="F26" s="1432" t="s">
        <v>4500</v>
      </c>
      <c r="G26" s="248">
        <f t="shared" ref="G26:G50" si="8">INDEX(IdxTable,MATCH($E26,IdxSheetNum,0),2)</f>
        <v>0</v>
      </c>
      <c r="H26" s="248">
        <f>SUM('420'!E19:E21)</f>
        <v>0</v>
      </c>
      <c r="I26" s="248">
        <f>SUM('420'!F19:F21)</f>
        <v>0</v>
      </c>
      <c r="J26" s="248">
        <f>SUM('420'!G19:G21)</f>
        <v>0</v>
      </c>
      <c r="K26" s="248">
        <f>SUM('420'!H19:H21)</f>
        <v>0</v>
      </c>
      <c r="L26" s="248">
        <f>SUM('420'!I19:I21)</f>
        <v>0</v>
      </c>
      <c r="M26" s="248"/>
      <c r="N26" s="248"/>
      <c r="O26" s="248"/>
      <c r="P26" s="248"/>
      <c r="Q26" s="248"/>
      <c r="R26" s="248" t="b">
        <f>+T26=0</f>
        <v>1</v>
      </c>
      <c r="S26" s="248"/>
      <c r="T26" s="248">
        <f>+H26-I26</f>
        <v>0</v>
      </c>
      <c r="U26" s="248"/>
      <c r="V26" s="248"/>
    </row>
    <row r="27" spans="1:22" x14ac:dyDescent="0.25">
      <c r="A27" s="248" t="str">
        <f t="shared" si="6"/>
        <v>501TRUE</v>
      </c>
      <c r="B27" s="248" t="str">
        <f t="shared" si="7"/>
        <v>501aTRUE</v>
      </c>
      <c r="C27" s="248" t="s">
        <v>446</v>
      </c>
      <c r="D27" s="248" t="b">
        <f t="shared" si="0"/>
        <v>1</v>
      </c>
      <c r="E27" s="248">
        <v>501</v>
      </c>
      <c r="F27" s="248" t="s">
        <v>826</v>
      </c>
      <c r="G27" s="248">
        <f t="shared" si="8"/>
        <v>0</v>
      </c>
      <c r="H27" s="248">
        <f>+'501'!R33</f>
        <v>0</v>
      </c>
      <c r="I27" s="248"/>
      <c r="J27" s="248"/>
      <c r="K27" s="248"/>
      <c r="L27" s="248"/>
      <c r="M27" s="248"/>
      <c r="N27" s="248"/>
      <c r="O27" s="248"/>
      <c r="P27" s="248"/>
      <c r="Q27" s="248"/>
      <c r="R27" s="248" t="b">
        <f>H27=0</f>
        <v>1</v>
      </c>
      <c r="S27" s="248"/>
      <c r="T27" s="248"/>
      <c r="U27" s="248"/>
      <c r="V27" s="248"/>
    </row>
    <row r="28" spans="1:22" x14ac:dyDescent="0.25">
      <c r="A28" s="248" t="str">
        <f t="shared" si="6"/>
        <v>501TRUE</v>
      </c>
      <c r="B28" s="248" t="str">
        <f t="shared" si="7"/>
        <v>501bTRUE</v>
      </c>
      <c r="C28" s="248" t="s">
        <v>447</v>
      </c>
      <c r="D28" s="248" t="b">
        <f t="shared" si="0"/>
        <v>1</v>
      </c>
      <c r="E28" s="248">
        <v>501</v>
      </c>
      <c r="F28" s="248" t="s">
        <v>318</v>
      </c>
      <c r="G28" s="248">
        <f t="shared" si="8"/>
        <v>0</v>
      </c>
      <c r="H28" s="248">
        <f>+'501'!V32</f>
        <v>0</v>
      </c>
      <c r="I28" s="248"/>
      <c r="J28" s="248"/>
      <c r="K28" s="248"/>
      <c r="L28" s="248"/>
      <c r="M28" s="248"/>
      <c r="N28" s="248"/>
      <c r="O28" s="248"/>
      <c r="P28" s="248"/>
      <c r="Q28" s="248"/>
      <c r="R28" s="248" t="b">
        <f>+H28=0</f>
        <v>1</v>
      </c>
      <c r="S28" s="248"/>
      <c r="T28" s="248"/>
      <c r="U28" s="248"/>
      <c r="V28" s="248"/>
    </row>
    <row r="29" spans="1:22" x14ac:dyDescent="0.25">
      <c r="A29" s="248" t="str">
        <f t="shared" si="6"/>
        <v>505FALSE</v>
      </c>
      <c r="B29" s="248" t="str">
        <f t="shared" si="7"/>
        <v>505aFALSE</v>
      </c>
      <c r="C29" s="248" t="s">
        <v>446</v>
      </c>
      <c r="D29" s="248" t="b">
        <f t="shared" si="0"/>
        <v>0</v>
      </c>
      <c r="E29" s="248">
        <v>505</v>
      </c>
      <c r="F29" s="248" t="s">
        <v>161</v>
      </c>
      <c r="G29" s="248">
        <f t="shared" si="8"/>
        <v>0</v>
      </c>
      <c r="H29" s="248" t="b">
        <f>ISBLANK('505'!D8)</f>
        <v>1</v>
      </c>
      <c r="I29" s="248"/>
      <c r="J29" s="248"/>
      <c r="K29" s="248"/>
      <c r="L29" s="248"/>
      <c r="M29" s="248"/>
      <c r="N29" s="248"/>
      <c r="O29" s="248"/>
      <c r="P29" s="248"/>
      <c r="Q29" s="248"/>
      <c r="R29" s="248" t="b">
        <f t="shared" ref="R29:R35" si="9">NOT(H29)</f>
        <v>0</v>
      </c>
      <c r="S29" s="248"/>
      <c r="T29" s="248"/>
      <c r="U29" s="248"/>
      <c r="V29" s="248"/>
    </row>
    <row r="30" spans="1:22" x14ac:dyDescent="0.25">
      <c r="A30" s="248" t="str">
        <f t="shared" si="6"/>
        <v>510FALSE</v>
      </c>
      <c r="B30" s="248" t="str">
        <f t="shared" si="7"/>
        <v>510aFALSE</v>
      </c>
      <c r="C30" s="248" t="s">
        <v>446</v>
      </c>
      <c r="D30" s="248" t="b">
        <f t="shared" si="0"/>
        <v>0</v>
      </c>
      <c r="E30" s="248">
        <v>510</v>
      </c>
      <c r="F30" s="248" t="s">
        <v>161</v>
      </c>
      <c r="G30" s="248">
        <f t="shared" si="8"/>
        <v>0</v>
      </c>
      <c r="H30" s="248" t="b">
        <f>ISBLANK('510'!D8)</f>
        <v>1</v>
      </c>
      <c r="I30" s="248"/>
      <c r="J30" s="248"/>
      <c r="K30" s="248"/>
      <c r="L30" s="248"/>
      <c r="M30" s="248"/>
      <c r="N30" s="248"/>
      <c r="O30" s="248"/>
      <c r="P30" s="248"/>
      <c r="Q30" s="248"/>
      <c r="R30" s="248" t="b">
        <f t="shared" si="9"/>
        <v>0</v>
      </c>
      <c r="S30" s="248"/>
      <c r="T30" s="248"/>
      <c r="U30" s="248"/>
      <c r="V30" s="248"/>
    </row>
    <row r="31" spans="1:22" x14ac:dyDescent="0.25">
      <c r="A31" s="248" t="str">
        <f t="shared" si="6"/>
        <v>515FALSE</v>
      </c>
      <c r="B31" s="248" t="str">
        <f t="shared" si="7"/>
        <v>515aFALSE</v>
      </c>
      <c r="C31" s="248" t="s">
        <v>446</v>
      </c>
      <c r="D31" s="248" t="b">
        <f t="shared" si="0"/>
        <v>0</v>
      </c>
      <c r="E31" s="248">
        <v>515</v>
      </c>
      <c r="F31" s="248" t="s">
        <v>161</v>
      </c>
      <c r="G31" s="248">
        <f t="shared" si="8"/>
        <v>0</v>
      </c>
      <c r="H31" s="248" t="b">
        <f>ISBLANK('515'!D8)</f>
        <v>1</v>
      </c>
      <c r="I31" s="248"/>
      <c r="J31" s="248"/>
      <c r="K31" s="248"/>
      <c r="L31" s="248"/>
      <c r="M31" s="248"/>
      <c r="N31" s="248"/>
      <c r="O31" s="248"/>
      <c r="P31" s="248"/>
      <c r="Q31" s="248"/>
      <c r="R31" s="248" t="b">
        <f t="shared" si="9"/>
        <v>0</v>
      </c>
      <c r="S31" s="248"/>
      <c r="T31" s="248"/>
      <c r="U31" s="248"/>
      <c r="V31" s="248"/>
    </row>
    <row r="32" spans="1:22" x14ac:dyDescent="0.25">
      <c r="A32" s="248" t="str">
        <f>E32&amp;D32</f>
        <v>520FALSE</v>
      </c>
      <c r="B32" s="248" t="str">
        <f>E32&amp;C32&amp;D32</f>
        <v>520aFALSE</v>
      </c>
      <c r="C32" s="248" t="s">
        <v>446</v>
      </c>
      <c r="D32" s="248" t="b">
        <f t="shared" si="0"/>
        <v>0</v>
      </c>
      <c r="E32" s="248">
        <v>520</v>
      </c>
      <c r="F32" s="248" t="s">
        <v>161</v>
      </c>
      <c r="G32" s="248">
        <f t="shared" si="8"/>
        <v>0</v>
      </c>
      <c r="H32" s="248" t="b">
        <f>ISBLANK('520'!D8)</f>
        <v>1</v>
      </c>
      <c r="I32" s="248"/>
      <c r="J32" s="248"/>
      <c r="K32" s="248"/>
      <c r="L32" s="248"/>
      <c r="M32" s="248"/>
      <c r="N32" s="248"/>
      <c r="O32" s="248"/>
      <c r="P32" s="248"/>
      <c r="Q32" s="248"/>
      <c r="R32" s="248" t="b">
        <f t="shared" si="9"/>
        <v>0</v>
      </c>
      <c r="S32" s="248"/>
      <c r="T32" s="248"/>
      <c r="U32" s="248"/>
      <c r="V32" s="248"/>
    </row>
    <row r="33" spans="1:22" x14ac:dyDescent="0.25">
      <c r="A33" s="248" t="str">
        <f>E33&amp;D33</f>
        <v>525FALSE</v>
      </c>
      <c r="B33" s="248" t="str">
        <f>E33&amp;C33&amp;D33</f>
        <v>525aFALSE</v>
      </c>
      <c r="C33" s="248" t="s">
        <v>446</v>
      </c>
      <c r="D33" s="248" t="b">
        <f t="shared" si="0"/>
        <v>0</v>
      </c>
      <c r="E33" s="248">
        <v>525</v>
      </c>
      <c r="F33" s="248" t="s">
        <v>161</v>
      </c>
      <c r="G33" s="248">
        <f t="shared" si="8"/>
        <v>0</v>
      </c>
      <c r="H33" s="248" t="b">
        <f>ISBLANK('525'!D8)</f>
        <v>1</v>
      </c>
      <c r="I33" s="248"/>
      <c r="J33" s="248"/>
      <c r="K33" s="248"/>
      <c r="L33" s="248"/>
      <c r="M33" s="248"/>
      <c r="N33" s="248"/>
      <c r="O33" s="248"/>
      <c r="P33" s="248"/>
      <c r="Q33" s="248"/>
      <c r="R33" s="248" t="b">
        <f t="shared" si="9"/>
        <v>0</v>
      </c>
      <c r="S33" s="248"/>
      <c r="T33" s="248"/>
      <c r="U33" s="248"/>
      <c r="V33" s="248"/>
    </row>
    <row r="34" spans="1:22" x14ac:dyDescent="0.25">
      <c r="A34" s="248" t="str">
        <f>E34&amp;D34</f>
        <v>530FALSE</v>
      </c>
      <c r="B34" s="248" t="str">
        <f>E34&amp;C34&amp;D34</f>
        <v>530aFALSE</v>
      </c>
      <c r="C34" s="248" t="s">
        <v>446</v>
      </c>
      <c r="D34" s="248" t="b">
        <f t="shared" si="0"/>
        <v>0</v>
      </c>
      <c r="E34" s="248">
        <v>530</v>
      </c>
      <c r="F34" s="248" t="s">
        <v>161</v>
      </c>
      <c r="G34" s="248">
        <f t="shared" si="8"/>
        <v>0</v>
      </c>
      <c r="H34" s="248" t="b">
        <f>ISBLANK('530'!D8)</f>
        <v>1</v>
      </c>
      <c r="I34" s="248"/>
      <c r="J34" s="248"/>
      <c r="K34" s="248"/>
      <c r="L34" s="248"/>
      <c r="M34" s="248"/>
      <c r="N34" s="248"/>
      <c r="O34" s="248"/>
      <c r="P34" s="248"/>
      <c r="Q34" s="248"/>
      <c r="R34" s="248" t="b">
        <f t="shared" si="9"/>
        <v>0</v>
      </c>
      <c r="S34" s="248"/>
      <c r="T34" s="248"/>
      <c r="U34" s="248"/>
      <c r="V34" s="248"/>
    </row>
    <row r="35" spans="1:22" x14ac:dyDescent="0.25">
      <c r="A35" s="248" t="str">
        <f>E35&amp;D35</f>
        <v>535FALSE</v>
      </c>
      <c r="B35" s="248" t="str">
        <f>E35&amp;C35&amp;D35</f>
        <v>535aFALSE</v>
      </c>
      <c r="C35" s="248" t="s">
        <v>446</v>
      </c>
      <c r="D35" s="248" t="b">
        <f t="shared" si="0"/>
        <v>0</v>
      </c>
      <c r="E35" s="248">
        <v>535</v>
      </c>
      <c r="F35" s="248" t="s">
        <v>161</v>
      </c>
      <c r="G35" s="248">
        <f t="shared" si="8"/>
        <v>0</v>
      </c>
      <c r="H35" s="248" t="b">
        <f>ISBLANK('535'!D7)</f>
        <v>1</v>
      </c>
      <c r="I35" s="248"/>
      <c r="J35" s="248"/>
      <c r="K35" s="248"/>
      <c r="L35" s="248"/>
      <c r="M35" s="248"/>
      <c r="N35" s="248"/>
      <c r="O35" s="248"/>
      <c r="P35" s="248"/>
      <c r="Q35" s="248"/>
      <c r="R35" s="248" t="b">
        <f t="shared" si="9"/>
        <v>0</v>
      </c>
      <c r="S35" s="248"/>
      <c r="T35" s="248"/>
      <c r="U35" s="248"/>
      <c r="V35" s="248"/>
    </row>
    <row r="36" spans="1:22" x14ac:dyDescent="0.25">
      <c r="A36" s="248" t="str">
        <f>E36&amp;D36</f>
        <v>535TRUE</v>
      </c>
      <c r="B36" s="248" t="str">
        <f>E36&amp;C36&amp;D36</f>
        <v>535bTRUE</v>
      </c>
      <c r="C36" s="248" t="s">
        <v>447</v>
      </c>
      <c r="D36" s="248" t="b">
        <f t="shared" si="0"/>
        <v>1</v>
      </c>
      <c r="E36" s="248">
        <v>535</v>
      </c>
      <c r="F36" s="248" t="s">
        <v>318</v>
      </c>
      <c r="G36" s="248">
        <f t="shared" si="8"/>
        <v>0</v>
      </c>
      <c r="H36" s="248">
        <f>+'535'!R21+'535'!R34</f>
        <v>0</v>
      </c>
      <c r="I36" s="248"/>
      <c r="J36" s="248"/>
      <c r="K36" s="248"/>
      <c r="L36" s="248"/>
      <c r="M36" s="248"/>
      <c r="N36" s="248"/>
      <c r="O36" s="248"/>
      <c r="P36" s="248"/>
      <c r="Q36" s="248"/>
      <c r="R36" s="248" t="b">
        <f>+H36=0</f>
        <v>1</v>
      </c>
      <c r="S36" s="248"/>
      <c r="T36" s="248"/>
      <c r="U36" s="248"/>
      <c r="V36" s="248"/>
    </row>
    <row r="37" spans="1:22" x14ac:dyDescent="0.25">
      <c r="A37" s="248" t="str">
        <f t="shared" ref="A37:A50" si="10">E37&amp;D37</f>
        <v>565TRUE</v>
      </c>
      <c r="B37" s="248" t="str">
        <f t="shared" ref="B37:B50" si="11">E37&amp;C37&amp;D37</f>
        <v>565aTRUE</v>
      </c>
      <c r="C37" s="248" t="s">
        <v>446</v>
      </c>
      <c r="D37" s="248" t="b">
        <f t="shared" si="0"/>
        <v>1</v>
      </c>
      <c r="E37" s="248">
        <v>565</v>
      </c>
      <c r="F37" s="248" t="s">
        <v>360</v>
      </c>
      <c r="G37" s="248">
        <f t="shared" si="8"/>
        <v>0</v>
      </c>
      <c r="H37" s="248">
        <f>+'565'!W29</f>
        <v>0</v>
      </c>
      <c r="I37" s="248"/>
      <c r="J37" s="248"/>
      <c r="K37" s="248"/>
      <c r="L37" s="248"/>
      <c r="M37" s="248"/>
      <c r="N37" s="248"/>
      <c r="O37" s="248"/>
      <c r="P37" s="248"/>
      <c r="Q37" s="248"/>
      <c r="R37" s="248" t="b">
        <f>AND(H37=0,I37=0)</f>
        <v>1</v>
      </c>
      <c r="S37" s="248"/>
      <c r="T37" s="248"/>
      <c r="U37" s="248"/>
      <c r="V37" s="248"/>
    </row>
    <row r="38" spans="1:22" x14ac:dyDescent="0.25">
      <c r="A38" s="248" t="str">
        <f t="shared" si="10"/>
        <v>565TRUE</v>
      </c>
      <c r="B38" s="248" t="str">
        <f t="shared" si="11"/>
        <v>565bTRUE</v>
      </c>
      <c r="C38" s="248" t="s">
        <v>447</v>
      </c>
      <c r="D38" s="248" t="b">
        <f t="shared" si="0"/>
        <v>1</v>
      </c>
      <c r="E38" s="248">
        <v>565</v>
      </c>
      <c r="F38" s="248" t="s">
        <v>318</v>
      </c>
      <c r="G38" s="248">
        <f t="shared" si="8"/>
        <v>0</v>
      </c>
      <c r="H38" s="248">
        <f>+'565'!P29</f>
        <v>0</v>
      </c>
      <c r="I38" s="248"/>
      <c r="J38" s="248"/>
      <c r="K38" s="248"/>
      <c r="L38" s="248"/>
      <c r="M38" s="248"/>
      <c r="N38" s="248"/>
      <c r="O38" s="248"/>
      <c r="P38" s="248"/>
      <c r="Q38" s="248"/>
      <c r="R38" s="248" t="b">
        <f>AND(H38=0,I38=0)</f>
        <v>1</v>
      </c>
      <c r="S38" s="248"/>
      <c r="T38" s="248"/>
      <c r="U38" s="248"/>
      <c r="V38" s="248"/>
    </row>
    <row r="39" spans="1:22" x14ac:dyDescent="0.25">
      <c r="A39" s="248" t="str">
        <f t="shared" si="10"/>
        <v>570FALSE</v>
      </c>
      <c r="B39" s="248" t="str">
        <f t="shared" si="11"/>
        <v>570aFALSE</v>
      </c>
      <c r="C39" s="248" t="s">
        <v>446</v>
      </c>
      <c r="D39" s="248" t="b">
        <f t="shared" si="0"/>
        <v>0</v>
      </c>
      <c r="E39" s="248">
        <v>570</v>
      </c>
      <c r="F39" s="248" t="s">
        <v>161</v>
      </c>
      <c r="G39" s="248">
        <f t="shared" si="8"/>
        <v>0</v>
      </c>
      <c r="H39" s="248" t="b">
        <f>ISBLANK('570'!D7)</f>
        <v>1</v>
      </c>
      <c r="I39" s="248"/>
      <c r="J39" s="248"/>
      <c r="K39" s="248"/>
      <c r="L39" s="248"/>
      <c r="M39" s="248"/>
      <c r="N39" s="248"/>
      <c r="O39" s="248"/>
      <c r="P39" s="248"/>
      <c r="Q39" s="248"/>
      <c r="R39" s="248" t="b">
        <f>NOT(H39)</f>
        <v>0</v>
      </c>
      <c r="S39" s="248"/>
      <c r="T39" s="248"/>
      <c r="U39" s="248"/>
      <c r="V39" s="248"/>
    </row>
    <row r="40" spans="1:22" x14ac:dyDescent="0.25">
      <c r="A40" s="248" t="e">
        <f t="shared" si="10"/>
        <v>#N/A</v>
      </c>
      <c r="B40" s="248" t="e">
        <f t="shared" si="11"/>
        <v>#N/A</v>
      </c>
      <c r="C40" s="248" t="s">
        <v>446</v>
      </c>
      <c r="D40" s="248" t="e">
        <f t="shared" si="0"/>
        <v>#N/A</v>
      </c>
      <c r="E40" s="248">
        <v>601</v>
      </c>
      <c r="F40" s="248" t="s">
        <v>161</v>
      </c>
      <c r="G40" s="248" t="e">
        <f t="shared" si="8"/>
        <v>#N/A</v>
      </c>
      <c r="H40" s="248" t="b">
        <f>ISBLANK(#REF!)</f>
        <v>0</v>
      </c>
      <c r="I40" s="248"/>
      <c r="J40" s="248"/>
      <c r="K40" s="248"/>
      <c r="L40" s="248"/>
      <c r="M40" s="248"/>
      <c r="N40" s="248"/>
      <c r="O40" s="248"/>
      <c r="P40" s="248"/>
      <c r="Q40" s="248"/>
      <c r="R40" s="248" t="b">
        <f>NOT(H40)</f>
        <v>1</v>
      </c>
      <c r="S40" s="248"/>
      <c r="T40" s="248"/>
      <c r="U40" s="248"/>
      <c r="V40" s="248"/>
    </row>
    <row r="41" spans="1:22" x14ac:dyDescent="0.25">
      <c r="A41" s="248" t="e">
        <f t="shared" si="10"/>
        <v>#N/A</v>
      </c>
      <c r="B41" s="248" t="e">
        <f t="shared" si="11"/>
        <v>#N/A</v>
      </c>
      <c r="C41" s="248" t="s">
        <v>447</v>
      </c>
      <c r="D41" s="248" t="e">
        <f t="shared" si="0"/>
        <v>#N/A</v>
      </c>
      <c r="E41" s="248">
        <v>601</v>
      </c>
      <c r="F41" s="248" t="s">
        <v>314</v>
      </c>
      <c r="G41" s="248" t="e">
        <f t="shared" si="8"/>
        <v>#N/A</v>
      </c>
      <c r="H41" s="248" t="b">
        <f>ISBLANK(#REF!)</f>
        <v>0</v>
      </c>
      <c r="I41" s="248"/>
      <c r="J41" s="248"/>
      <c r="K41" s="248"/>
      <c r="L41" s="248"/>
      <c r="M41" s="248"/>
      <c r="N41" s="248"/>
      <c r="O41" s="248"/>
      <c r="P41" s="248"/>
      <c r="Q41" s="248"/>
      <c r="R41" s="248" t="b">
        <f>NOT(H41)</f>
        <v>1</v>
      </c>
      <c r="S41" s="248"/>
      <c r="T41" s="248"/>
      <c r="U41" s="248"/>
      <c r="V41" s="248"/>
    </row>
    <row r="42" spans="1:22" x14ac:dyDescent="0.25">
      <c r="A42" s="248" t="e">
        <f t="shared" si="10"/>
        <v>#N/A</v>
      </c>
      <c r="B42" s="248" t="e">
        <f t="shared" si="11"/>
        <v>#N/A</v>
      </c>
      <c r="C42" s="248" t="s">
        <v>448</v>
      </c>
      <c r="D42" s="248" t="e">
        <f t="shared" si="0"/>
        <v>#N/A</v>
      </c>
      <c r="E42" s="248">
        <v>601</v>
      </c>
      <c r="F42" s="248" t="s">
        <v>315</v>
      </c>
      <c r="G42" s="248" t="e">
        <f t="shared" si="8"/>
        <v>#N/A</v>
      </c>
      <c r="H42" s="248" t="b">
        <f>ISBLANK(#REF!)</f>
        <v>0</v>
      </c>
      <c r="I42" s="248" t="b">
        <f>ISBLANK(#REF!)</f>
        <v>0</v>
      </c>
      <c r="J42" s="248" t="b">
        <f>ISBLANK(#REF!)</f>
        <v>0</v>
      </c>
      <c r="K42" s="248" t="b">
        <f>ISBLANK(#REF!)</f>
        <v>0</v>
      </c>
      <c r="L42" s="248" t="b">
        <f>ISBLANK(#REF!)</f>
        <v>0</v>
      </c>
      <c r="M42" s="248"/>
      <c r="N42" s="248"/>
      <c r="O42" s="248"/>
      <c r="P42" s="248"/>
      <c r="Q42" s="248"/>
      <c r="R42" s="248" t="b">
        <f>NOT(OR(H42,I42,J42,K42,L42))</f>
        <v>1</v>
      </c>
      <c r="S42" s="248"/>
      <c r="T42" s="248"/>
      <c r="U42" s="248"/>
      <c r="V42" s="248"/>
    </row>
    <row r="43" spans="1:22" x14ac:dyDescent="0.25">
      <c r="A43" s="248" t="str">
        <f t="shared" si="10"/>
        <v>605FALSE</v>
      </c>
      <c r="B43" s="248" t="str">
        <f t="shared" si="11"/>
        <v>605aFALSE</v>
      </c>
      <c r="C43" s="248" t="s">
        <v>446</v>
      </c>
      <c r="D43" s="248" t="b">
        <f t="shared" si="0"/>
        <v>0</v>
      </c>
      <c r="E43" s="248">
        <v>605</v>
      </c>
      <c r="F43" s="248" t="s">
        <v>315</v>
      </c>
      <c r="G43" s="248">
        <f t="shared" si="8"/>
        <v>0</v>
      </c>
      <c r="H43" s="248" t="b">
        <f>ISBLANK('605'!E18)</f>
        <v>1</v>
      </c>
      <c r="I43" s="248"/>
      <c r="J43" s="248"/>
      <c r="K43" s="248"/>
      <c r="L43" s="248"/>
      <c r="M43" s="248"/>
      <c r="N43" s="248"/>
      <c r="O43" s="248"/>
      <c r="P43" s="248"/>
      <c r="Q43" s="248"/>
      <c r="R43" s="248" t="b">
        <f>NOT(H43)</f>
        <v>0</v>
      </c>
      <c r="S43" s="248"/>
      <c r="T43" s="248"/>
      <c r="U43" s="248"/>
      <c r="V43" s="248"/>
    </row>
    <row r="44" spans="1:22" x14ac:dyDescent="0.25">
      <c r="A44" s="248" t="str">
        <f t="shared" si="10"/>
        <v>625FALSE</v>
      </c>
      <c r="B44" s="248" t="str">
        <f t="shared" si="11"/>
        <v>625aFALSE</v>
      </c>
      <c r="C44" s="248" t="s">
        <v>446</v>
      </c>
      <c r="D44" s="248" t="b">
        <f t="shared" si="0"/>
        <v>0</v>
      </c>
      <c r="E44" s="248">
        <v>625</v>
      </c>
      <c r="F44" s="248" t="s">
        <v>161</v>
      </c>
      <c r="G44" s="248">
        <f t="shared" si="8"/>
        <v>0</v>
      </c>
      <c r="H44" s="248" t="b">
        <f>ISBLANK('625'!C6)</f>
        <v>1</v>
      </c>
      <c r="I44" s="248"/>
      <c r="J44" s="248"/>
      <c r="K44" s="248"/>
      <c r="L44" s="248"/>
      <c r="M44" s="248"/>
      <c r="N44" s="248"/>
      <c r="O44" s="248"/>
      <c r="P44" s="248"/>
      <c r="Q44" s="248"/>
      <c r="R44" s="248" t="b">
        <f>NOT(H44)</f>
        <v>0</v>
      </c>
      <c r="S44" s="248"/>
      <c r="T44" s="248"/>
      <c r="U44" s="248"/>
      <c r="V44" s="248"/>
    </row>
    <row r="45" spans="1:22" x14ac:dyDescent="0.25">
      <c r="A45" s="248" t="str">
        <f t="shared" si="10"/>
        <v>625FALSE</v>
      </c>
      <c r="B45" s="248" t="str">
        <f t="shared" si="11"/>
        <v>625bFALSE</v>
      </c>
      <c r="C45" s="248" t="s">
        <v>447</v>
      </c>
      <c r="D45" s="248" t="b">
        <f t="shared" si="0"/>
        <v>0</v>
      </c>
      <c r="E45" s="248">
        <v>625</v>
      </c>
      <c r="F45" s="248" t="s">
        <v>689</v>
      </c>
      <c r="G45" s="248">
        <f t="shared" si="8"/>
        <v>0</v>
      </c>
      <c r="H45" s="248" t="b">
        <f>ISBLANK('625'!C7)</f>
        <v>1</v>
      </c>
      <c r="I45" s="248"/>
      <c r="J45" s="248"/>
      <c r="K45" s="248"/>
      <c r="L45" s="248"/>
      <c r="M45" s="248"/>
      <c r="N45" s="248"/>
      <c r="O45" s="248"/>
      <c r="P45" s="248"/>
      <c r="Q45" s="248"/>
      <c r="R45" s="248" t="b">
        <f>NOT(H45)</f>
        <v>0</v>
      </c>
      <c r="S45" s="248"/>
      <c r="T45" s="248"/>
      <c r="U45" s="248"/>
      <c r="V45" s="248"/>
    </row>
    <row r="46" spans="1:22" x14ac:dyDescent="0.25">
      <c r="A46" s="248" t="str">
        <f t="shared" si="10"/>
        <v>635FALSE</v>
      </c>
      <c r="B46" s="248" t="str">
        <f t="shared" si="11"/>
        <v>635aFALSE</v>
      </c>
      <c r="C46" s="248" t="s">
        <v>446</v>
      </c>
      <c r="D46" s="248" t="b">
        <f t="shared" si="0"/>
        <v>0</v>
      </c>
      <c r="E46" s="248">
        <v>635</v>
      </c>
      <c r="F46" s="248" t="s">
        <v>161</v>
      </c>
      <c r="G46" s="248">
        <f t="shared" si="8"/>
        <v>0</v>
      </c>
      <c r="H46" s="248" t="b">
        <f>ISBLANK('635'!G7)</f>
        <v>1</v>
      </c>
      <c r="I46" s="248"/>
      <c r="J46" s="248"/>
      <c r="K46" s="248"/>
      <c r="L46" s="248"/>
      <c r="M46" s="248"/>
      <c r="N46" s="248"/>
      <c r="O46" s="248"/>
      <c r="P46" s="248"/>
      <c r="Q46" s="248"/>
      <c r="R46" s="248" t="b">
        <f>NOT(H46)</f>
        <v>0</v>
      </c>
      <c r="S46" s="248"/>
      <c r="T46" s="248"/>
      <c r="U46" s="248"/>
      <c r="V46" s="248"/>
    </row>
    <row r="47" spans="1:22" x14ac:dyDescent="0.25">
      <c r="A47" s="248" t="str">
        <f t="shared" si="10"/>
        <v>705TRUE</v>
      </c>
      <c r="B47" s="248" t="str">
        <f t="shared" si="11"/>
        <v>705aTRUE</v>
      </c>
      <c r="C47" s="248" t="s">
        <v>446</v>
      </c>
      <c r="D47" s="248" t="b">
        <f t="shared" si="0"/>
        <v>1</v>
      </c>
      <c r="E47" s="248">
        <v>705</v>
      </c>
      <c r="F47" s="248" t="s">
        <v>690</v>
      </c>
      <c r="G47" s="248">
        <f t="shared" si="8"/>
        <v>0</v>
      </c>
      <c r="H47" s="248">
        <f>+'705'!S45</f>
        <v>0</v>
      </c>
      <c r="I47" s="248"/>
      <c r="J47" s="248"/>
      <c r="K47" s="248"/>
      <c r="L47" s="248"/>
      <c r="M47" s="248"/>
      <c r="N47" s="248"/>
      <c r="O47" s="248"/>
      <c r="P47" s="248"/>
      <c r="Q47" s="248"/>
      <c r="R47" s="248" t="b">
        <f>+H47=0</f>
        <v>1</v>
      </c>
      <c r="S47" s="248"/>
      <c r="T47" s="248"/>
      <c r="U47" s="248"/>
      <c r="V47" s="248"/>
    </row>
    <row r="48" spans="1:22" x14ac:dyDescent="0.25">
      <c r="A48" s="248" t="str">
        <f t="shared" si="10"/>
        <v>710TRUE</v>
      </c>
      <c r="B48" s="248" t="str">
        <f t="shared" si="11"/>
        <v>710aTRUE</v>
      </c>
      <c r="C48" s="248" t="s">
        <v>446</v>
      </c>
      <c r="D48" s="248" t="b">
        <f t="shared" si="0"/>
        <v>1</v>
      </c>
      <c r="E48" s="248">
        <v>710</v>
      </c>
      <c r="F48" s="248" t="s">
        <v>691</v>
      </c>
      <c r="G48" s="248">
        <f t="shared" si="8"/>
        <v>0</v>
      </c>
      <c r="H48" s="248">
        <f>+'710'!T38</f>
        <v>0</v>
      </c>
      <c r="I48" s="248"/>
      <c r="J48" s="248"/>
      <c r="K48" s="248"/>
      <c r="L48" s="248"/>
      <c r="M48" s="248"/>
      <c r="N48" s="248"/>
      <c r="O48" s="248"/>
      <c r="P48" s="248"/>
      <c r="Q48" s="248"/>
      <c r="R48" s="248" t="b">
        <f>+H48=0</f>
        <v>1</v>
      </c>
      <c r="S48" s="248"/>
      <c r="T48" s="248"/>
      <c r="U48" s="248"/>
      <c r="V48" s="248"/>
    </row>
    <row r="49" spans="1:22" x14ac:dyDescent="0.25">
      <c r="A49" s="248" t="str">
        <f t="shared" si="10"/>
        <v>710TRUE</v>
      </c>
      <c r="B49" s="248" t="str">
        <f t="shared" si="11"/>
        <v>710bTRUE</v>
      </c>
      <c r="C49" s="248" t="s">
        <v>447</v>
      </c>
      <c r="D49" s="248" t="b">
        <f t="shared" si="0"/>
        <v>1</v>
      </c>
      <c r="E49" s="248">
        <v>710</v>
      </c>
      <c r="F49" s="1432" t="s">
        <v>3632</v>
      </c>
      <c r="G49" s="248">
        <f t="shared" si="8"/>
        <v>0</v>
      </c>
      <c r="H49" s="248" t="b">
        <f>+'710'!K70='710'!M70</f>
        <v>1</v>
      </c>
      <c r="I49" s="248"/>
      <c r="J49" s="248"/>
      <c r="K49" s="248"/>
      <c r="L49" s="248"/>
      <c r="M49" s="248"/>
      <c r="N49" s="248"/>
      <c r="O49" s="248"/>
      <c r="P49" s="248"/>
      <c r="Q49" s="248"/>
      <c r="R49" s="248" t="b">
        <f>+H49</f>
        <v>1</v>
      </c>
      <c r="S49" s="248"/>
      <c r="T49" s="248"/>
      <c r="U49" s="248"/>
      <c r="V49" s="248"/>
    </row>
    <row r="50" spans="1:22" x14ac:dyDescent="0.25">
      <c r="A50" s="248" t="str">
        <f t="shared" si="10"/>
        <v>715TRUE</v>
      </c>
      <c r="B50" s="248" t="str">
        <f t="shared" si="11"/>
        <v>715aTRUE</v>
      </c>
      <c r="C50" s="248" t="s">
        <v>446</v>
      </c>
      <c r="D50" s="248" t="b">
        <f t="shared" si="0"/>
        <v>1</v>
      </c>
      <c r="E50" s="248">
        <v>715</v>
      </c>
      <c r="F50" s="248" t="s">
        <v>690</v>
      </c>
      <c r="G50" s="248">
        <f t="shared" si="8"/>
        <v>0</v>
      </c>
      <c r="H50" s="248">
        <f>+'715'!S37</f>
        <v>0</v>
      </c>
      <c r="I50" s="248"/>
      <c r="J50" s="248"/>
      <c r="K50" s="248"/>
      <c r="L50" s="248"/>
      <c r="M50" s="248"/>
      <c r="N50" s="248"/>
      <c r="O50" s="248"/>
      <c r="P50" s="248"/>
      <c r="Q50" s="248"/>
      <c r="R50" s="248" t="b">
        <f>+H50=0</f>
        <v>1</v>
      </c>
      <c r="S50" s="248"/>
      <c r="T50" s="248"/>
      <c r="U50" s="248"/>
      <c r="V50" s="248"/>
    </row>
  </sheetData>
  <sheetProtection algorithmName="SHA-512" hashValue="SoTRvUXfqGGN4IveqDj0Nvo4E8bzNCJ2PBFN910en5KtrncHfQZQoqWnNi5QLAoSqg80MhykKOB9/9V8cWUUcw==" saltValue="Qh9mDhk8xuD9goxgy8M5ig==" spinCount="100000" sheet="1" objects="1" scenarios="1" autoFilter="0"/>
  <customSheetViews>
    <customSheetView guid="{B08879A4-635B-4C39-9937-AC7883D562FC}" state="hidden">
      <pane ySplit="1" topLeftCell="A2" activePane="bottomLeft" state="frozen"/>
      <selection pane="bottomLeft" activeCell="B16" sqref="B16"/>
      <pageMargins left="0.75" right="0.75" top="1" bottom="1" header="0.5" footer="0.5"/>
      <pageSetup orientation="portrait" r:id="rId1"/>
      <headerFooter alignWithMargins="0"/>
    </customSheetView>
    <customSheetView guid="{9FCFC836-1CA5-48BF-958D-24D2EA94B219}" state="hidden">
      <pane ySplit="1" topLeftCell="A2" activePane="bottomLeft" state="frozen"/>
      <selection pane="bottomLeft" activeCell="B16" sqref="B16"/>
      <pageMargins left="0.75" right="0.75" top="1" bottom="1" header="0.5" footer="0.5"/>
      <pageSetup orientation="portrait" r:id="rId2"/>
      <headerFooter alignWithMargins="0"/>
    </customSheetView>
  </customSheetViews>
  <phoneticPr fontId="15" type="noConversion"/>
  <pageMargins left="0.75" right="0.75" top="1" bottom="1" header="0.5" footer="0.5"/>
  <pageSetup orientation="portrait" r:id="rId3"/>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N82"/>
  <sheetViews>
    <sheetView topLeftCell="O23" workbookViewId="0">
      <selection activeCell="V30" sqref="V30:W30"/>
    </sheetView>
  </sheetViews>
  <sheetFormatPr defaultColWidth="9.42578125" defaultRowHeight="15.75" x14ac:dyDescent="0.25"/>
  <cols>
    <col min="1" max="1" width="6.5703125" style="390" bestFit="1" customWidth="1"/>
    <col min="2" max="2" width="7.5703125" style="390" bestFit="1" customWidth="1"/>
    <col min="3" max="3" width="4.5703125" style="390" customWidth="1"/>
    <col min="4" max="4" width="7.5703125" style="390" bestFit="1" customWidth="1"/>
    <col min="5" max="5" width="6.5703125" style="390" bestFit="1" customWidth="1"/>
    <col min="6" max="7" width="9.42578125" style="390"/>
    <col min="8" max="8" width="36.5703125" style="390" bestFit="1" customWidth="1"/>
    <col min="9" max="9" width="9.42578125" style="390"/>
    <col min="10" max="10" width="30.42578125" style="390" bestFit="1" customWidth="1"/>
    <col min="11" max="11" width="24.42578125" style="390" customWidth="1"/>
    <col min="12" max="17" width="9.42578125" style="390"/>
    <col min="18" max="18" width="51.42578125" style="390" customWidth="1"/>
    <col min="19" max="16384" width="9.42578125" style="390"/>
  </cols>
  <sheetData>
    <row r="1" spans="1:40" x14ac:dyDescent="0.25">
      <c r="A1" s="733" t="s">
        <v>439</v>
      </c>
      <c r="B1" s="3401" t="s">
        <v>633</v>
      </c>
      <c r="C1" s="3402"/>
      <c r="D1" s="3401" t="s">
        <v>645</v>
      </c>
      <c r="E1" s="3402"/>
      <c r="H1" s="841" t="s">
        <v>3944</v>
      </c>
      <c r="J1" s="841" t="s">
        <v>1397</v>
      </c>
      <c r="K1" s="841" t="s">
        <v>3467</v>
      </c>
      <c r="M1" s="841" t="s">
        <v>4186</v>
      </c>
      <c r="Q1" s="324"/>
      <c r="R1" s="1059" t="s">
        <v>4342</v>
      </c>
      <c r="S1" s="1059" t="s">
        <v>4581</v>
      </c>
      <c r="X1" s="2294" t="s">
        <v>5086</v>
      </c>
      <c r="AB1" s="2293"/>
      <c r="AC1" s="2294" t="s">
        <v>5098</v>
      </c>
      <c r="AJ1" s="1059" t="s">
        <v>5151</v>
      </c>
      <c r="AM1" s="1059"/>
      <c r="AN1" s="1059" t="s">
        <v>5152</v>
      </c>
    </row>
    <row r="2" spans="1:40" x14ac:dyDescent="0.25">
      <c r="A2" s="389">
        <v>201</v>
      </c>
      <c r="D2" s="841" t="s">
        <v>1398</v>
      </c>
      <c r="H2" s="390" t="s">
        <v>128</v>
      </c>
      <c r="J2" s="827" t="s">
        <v>1356</v>
      </c>
      <c r="K2" s="827" t="s">
        <v>1170</v>
      </c>
      <c r="L2" s="827"/>
      <c r="M2" t="s">
        <v>4187</v>
      </c>
      <c r="N2" s="827"/>
      <c r="Q2" s="324"/>
      <c r="AJ2" s="1059"/>
    </row>
    <row r="3" spans="1:40" x14ac:dyDescent="0.25">
      <c r="A3" s="389">
        <v>215</v>
      </c>
      <c r="B3" s="390" t="b">
        <f>NOT(ISBLANK('215'!#REF!))</f>
        <v>1</v>
      </c>
      <c r="C3" s="390">
        <f>IF(B3,$A3,"")</f>
        <v>215</v>
      </c>
      <c r="E3" s="390" t="str">
        <f>IF(D3,$A3,"")</f>
        <v/>
      </c>
      <c r="H3" s="841" t="s">
        <v>1037</v>
      </c>
      <c r="J3" s="827" t="s">
        <v>1405</v>
      </c>
      <c r="K3" s="827" t="s">
        <v>289</v>
      </c>
      <c r="L3" s="827"/>
      <c r="M3" s="324" t="s">
        <v>4188</v>
      </c>
      <c r="N3" s="827"/>
      <c r="Q3" s="324"/>
      <c r="R3" s="1059" t="s">
        <v>4333</v>
      </c>
      <c r="S3" s="1059" t="s">
        <v>4582</v>
      </c>
      <c r="X3" s="2301" t="s">
        <v>5103</v>
      </c>
      <c r="AC3" s="2301" t="s">
        <v>5103</v>
      </c>
      <c r="AJ3" s="2405" t="s">
        <v>5153</v>
      </c>
      <c r="AN3" s="2405" t="s">
        <v>5172</v>
      </c>
    </row>
    <row r="4" spans="1:40" x14ac:dyDescent="0.25">
      <c r="A4" s="389">
        <v>305</v>
      </c>
      <c r="C4" s="390" t="str">
        <f t="shared" ref="C4:C10" si="0">IF(B4,$A4,"")</f>
        <v/>
      </c>
      <c r="D4" s="390" t="b">
        <f>(SUM('305'!G17:G39))&lt;&gt;0</f>
        <v>0</v>
      </c>
      <c r="E4" s="390" t="str">
        <f t="shared" ref="E4:E10" si="1">IF(D4,$A4,"")</f>
        <v/>
      </c>
      <c r="H4" s="390" t="s">
        <v>110</v>
      </c>
      <c r="J4" s="827" t="s">
        <v>1406</v>
      </c>
      <c r="K4" s="827" t="s">
        <v>3465</v>
      </c>
      <c r="L4" s="827"/>
      <c r="M4" s="324" t="s">
        <v>4189</v>
      </c>
      <c r="N4" s="827"/>
      <c r="R4" s="841" t="s">
        <v>4343</v>
      </c>
      <c r="S4" s="841" t="s">
        <v>4588</v>
      </c>
      <c r="X4" s="2300" t="s">
        <v>5083</v>
      </c>
      <c r="AC4" s="2292" t="s">
        <v>5088</v>
      </c>
      <c r="AJ4" s="2405" t="s">
        <v>1859</v>
      </c>
      <c r="AN4" s="2405" t="s">
        <v>5156</v>
      </c>
    </row>
    <row r="5" spans="1:40" x14ac:dyDescent="0.25">
      <c r="A5" s="389">
        <v>310</v>
      </c>
      <c r="D5" s="390" t="b">
        <f>(SUM('310'!G17:G41))&lt;&gt;0</f>
        <v>0</v>
      </c>
      <c r="E5" s="390" t="str">
        <f t="shared" si="1"/>
        <v/>
      </c>
      <c r="H5" s="841" t="s">
        <v>3855</v>
      </c>
      <c r="J5" s="827" t="s">
        <v>3443</v>
      </c>
      <c r="K5" s="827" t="s">
        <v>3466</v>
      </c>
      <c r="L5" s="827"/>
      <c r="M5" t="s">
        <v>4190</v>
      </c>
      <c r="N5" s="827"/>
      <c r="Q5" s="324"/>
      <c r="R5" s="841" t="s">
        <v>557</v>
      </c>
      <c r="S5" s="841" t="s">
        <v>4583</v>
      </c>
      <c r="X5" s="2292" t="s">
        <v>5084</v>
      </c>
      <c r="AC5" s="2300" t="s">
        <v>5090</v>
      </c>
      <c r="AJ5" s="2405" t="s">
        <v>1860</v>
      </c>
      <c r="AN5" s="2405" t="s">
        <v>5174</v>
      </c>
    </row>
    <row r="6" spans="1:40" x14ac:dyDescent="0.25">
      <c r="A6" s="389">
        <v>330</v>
      </c>
      <c r="B6" s="390" t="b">
        <f>NOT(ISBLANK('330'!#REF!))</f>
        <v>1</v>
      </c>
      <c r="C6" s="390">
        <f t="shared" si="0"/>
        <v>330</v>
      </c>
      <c r="E6" s="390" t="str">
        <f t="shared" si="1"/>
        <v/>
      </c>
      <c r="H6" s="390" t="s">
        <v>1038</v>
      </c>
      <c r="J6" s="827" t="s">
        <v>1718</v>
      </c>
      <c r="K6" s="2032" t="s">
        <v>3471</v>
      </c>
      <c r="L6" s="827"/>
      <c r="M6" t="s">
        <v>4191</v>
      </c>
      <c r="N6" s="827"/>
      <c r="Q6" s="324"/>
      <c r="R6" s="841" t="s">
        <v>4344</v>
      </c>
      <c r="S6" s="841" t="s">
        <v>4584</v>
      </c>
      <c r="X6" s="2292" t="s">
        <v>5085</v>
      </c>
      <c r="AC6" s="2292" t="s">
        <v>5084</v>
      </c>
      <c r="AJ6" s="2405" t="s">
        <v>1862</v>
      </c>
      <c r="AN6" s="2405" t="s">
        <v>5155</v>
      </c>
    </row>
    <row r="7" spans="1:40" x14ac:dyDescent="0.25">
      <c r="A7" s="389">
        <v>335</v>
      </c>
      <c r="B7" s="390" t="b">
        <f>NOT(ISBLANK(#REF!))</f>
        <v>1</v>
      </c>
      <c r="C7" s="390">
        <f t="shared" si="0"/>
        <v>335</v>
      </c>
      <c r="E7" s="390" t="str">
        <f t="shared" si="1"/>
        <v/>
      </c>
      <c r="H7" s="390" t="s">
        <v>1039</v>
      </c>
      <c r="J7" s="1722" t="s">
        <v>4113</v>
      </c>
      <c r="K7" s="2033" t="s">
        <v>4677</v>
      </c>
      <c r="L7" s="356"/>
      <c r="M7" s="324" t="s">
        <v>4192</v>
      </c>
      <c r="N7" s="356"/>
      <c r="R7" s="841" t="s">
        <v>4345</v>
      </c>
      <c r="S7" s="841" t="s">
        <v>4585</v>
      </c>
      <c r="AC7" s="2292" t="s">
        <v>5085</v>
      </c>
      <c r="AJ7" s="2405" t="s">
        <v>1874</v>
      </c>
      <c r="AN7" s="2405" t="s">
        <v>5165</v>
      </c>
    </row>
    <row r="8" spans="1:40" x14ac:dyDescent="0.25">
      <c r="A8" s="389">
        <v>340</v>
      </c>
      <c r="B8" s="390" t="b">
        <f>NOT(ISBLANK(#REF!))</f>
        <v>1</v>
      </c>
      <c r="C8" s="390">
        <f t="shared" si="0"/>
        <v>340</v>
      </c>
      <c r="E8" s="390" t="str">
        <f t="shared" si="1"/>
        <v/>
      </c>
      <c r="H8" s="390" t="s">
        <v>1040</v>
      </c>
      <c r="J8" s="1722" t="s">
        <v>4293</v>
      </c>
      <c r="K8" s="2033" t="s">
        <v>4712</v>
      </c>
      <c r="M8" s="324" t="s">
        <v>4193</v>
      </c>
      <c r="Q8" s="324"/>
      <c r="R8" s="841" t="s">
        <v>548</v>
      </c>
      <c r="S8" s="841" t="s">
        <v>1890</v>
      </c>
      <c r="X8" s="2294" t="s">
        <v>5087</v>
      </c>
      <c r="AC8" s="2300" t="s">
        <v>5099</v>
      </c>
      <c r="AJ8" s="2405" t="s">
        <v>1868</v>
      </c>
      <c r="AN8" s="2405" t="s">
        <v>5154</v>
      </c>
    </row>
    <row r="9" spans="1:40" x14ac:dyDescent="0.25">
      <c r="A9" s="389">
        <v>360</v>
      </c>
      <c r="B9" s="390" t="b">
        <f>NOT(ISBLANK(#REF!))</f>
        <v>1</v>
      </c>
      <c r="C9" s="390">
        <f t="shared" si="0"/>
        <v>360</v>
      </c>
      <c r="E9" s="390" t="str">
        <f t="shared" si="1"/>
        <v/>
      </c>
      <c r="H9" s="390" t="s">
        <v>1041</v>
      </c>
      <c r="K9" s="2032" t="s">
        <v>3470</v>
      </c>
      <c r="M9" t="s">
        <v>4185</v>
      </c>
      <c r="Q9" s="324"/>
      <c r="R9" s="841" t="s">
        <v>1276</v>
      </c>
      <c r="AJ9" s="2405" t="s">
        <v>3923</v>
      </c>
      <c r="AN9" s="2405" t="s">
        <v>5158</v>
      </c>
    </row>
    <row r="10" spans="1:40" x14ac:dyDescent="0.25">
      <c r="A10" s="389">
        <v>750</v>
      </c>
      <c r="B10" s="390" t="b">
        <f>NOT(ISBLANK(#REF!))</f>
        <v>1</v>
      </c>
      <c r="C10" s="390">
        <f t="shared" si="0"/>
        <v>750</v>
      </c>
      <c r="E10" s="390" t="str">
        <f t="shared" si="1"/>
        <v/>
      </c>
      <c r="H10" s="841" t="s">
        <v>4770</v>
      </c>
      <c r="R10" s="841" t="s">
        <v>4346</v>
      </c>
      <c r="X10" s="2301" t="s">
        <v>5103</v>
      </c>
      <c r="AC10" s="2294" t="s">
        <v>5100</v>
      </c>
      <c r="AJ10" s="2405" t="s">
        <v>1875</v>
      </c>
      <c r="AN10" s="2405" t="s">
        <v>5164</v>
      </c>
    </row>
    <row r="11" spans="1:40" x14ac:dyDescent="0.25">
      <c r="A11" s="389"/>
      <c r="H11" s="390" t="s">
        <v>729</v>
      </c>
      <c r="Q11" s="324"/>
      <c r="R11" s="841" t="s">
        <v>4347</v>
      </c>
      <c r="S11" s="841" t="s">
        <v>3944</v>
      </c>
      <c r="X11" s="2292" t="s">
        <v>5088</v>
      </c>
      <c r="AJ11" s="2405" t="s">
        <v>1876</v>
      </c>
      <c r="AN11" s="2405" t="s">
        <v>5169</v>
      </c>
    </row>
    <row r="12" spans="1:40" x14ac:dyDescent="0.25">
      <c r="A12" s="389"/>
      <c r="H12" s="841" t="s">
        <v>3856</v>
      </c>
      <c r="Q12" s="324"/>
      <c r="R12" s="841" t="s">
        <v>312</v>
      </c>
      <c r="S12" s="841" t="s">
        <v>1037</v>
      </c>
      <c r="X12" s="2292" t="s">
        <v>5089</v>
      </c>
      <c r="AC12" s="2301" t="s">
        <v>5103</v>
      </c>
      <c r="AN12" s="2405" t="s">
        <v>5157</v>
      </c>
    </row>
    <row r="13" spans="1:40" x14ac:dyDescent="0.25">
      <c r="A13" s="389"/>
      <c r="H13" s="841" t="s">
        <v>3857</v>
      </c>
      <c r="R13" s="841" t="s">
        <v>4348</v>
      </c>
      <c r="S13" s="841" t="s">
        <v>1039</v>
      </c>
      <c r="X13" s="2300" t="s">
        <v>5090</v>
      </c>
      <c r="AC13" s="2292" t="s">
        <v>5089</v>
      </c>
      <c r="AN13" s="2405" t="s">
        <v>5168</v>
      </c>
    </row>
    <row r="14" spans="1:40" x14ac:dyDescent="0.25">
      <c r="H14" s="390" t="s">
        <v>730</v>
      </c>
      <c r="Q14" s="324"/>
      <c r="R14" s="841" t="s">
        <v>4349</v>
      </c>
      <c r="S14" s="841" t="s">
        <v>1040</v>
      </c>
      <c r="X14" s="2300" t="s">
        <v>5091</v>
      </c>
      <c r="AC14" s="2300" t="s">
        <v>5091</v>
      </c>
      <c r="AN14" s="2405" t="s">
        <v>5167</v>
      </c>
    </row>
    <row r="15" spans="1:40" x14ac:dyDescent="0.25">
      <c r="H15" s="841" t="s">
        <v>3858</v>
      </c>
      <c r="Q15" s="324"/>
      <c r="R15" s="841" t="s">
        <v>313</v>
      </c>
      <c r="S15" s="841" t="s">
        <v>1041</v>
      </c>
      <c r="X15" s="2292" t="s">
        <v>5092</v>
      </c>
      <c r="AC15" s="2300" t="s">
        <v>5101</v>
      </c>
      <c r="AN15" s="2405" t="s">
        <v>5160</v>
      </c>
    </row>
    <row r="16" spans="1:40" x14ac:dyDescent="0.25">
      <c r="H16" s="841"/>
      <c r="R16" s="841" t="s">
        <v>2197</v>
      </c>
      <c r="S16" s="841" t="s">
        <v>729</v>
      </c>
      <c r="X16" s="2292" t="s">
        <v>5097</v>
      </c>
      <c r="AC16" s="2292" t="s">
        <v>5092</v>
      </c>
      <c r="AN16" s="2405" t="s">
        <v>5178</v>
      </c>
    </row>
    <row r="17" spans="8:40" x14ac:dyDescent="0.25">
      <c r="H17" s="1059" t="s">
        <v>1734</v>
      </c>
      <c r="R17" s="841" t="s">
        <v>930</v>
      </c>
      <c r="S17" s="841" t="s">
        <v>730</v>
      </c>
      <c r="X17" s="2300" t="s">
        <v>5096</v>
      </c>
      <c r="AC17" s="2292" t="s">
        <v>5097</v>
      </c>
      <c r="AN17" s="2405" t="s">
        <v>5180</v>
      </c>
    </row>
    <row r="18" spans="8:40" x14ac:dyDescent="0.25">
      <c r="H18" s="841" t="s">
        <v>3944</v>
      </c>
      <c r="R18" s="841" t="s">
        <v>589</v>
      </c>
      <c r="S18" s="841" t="s">
        <v>4587</v>
      </c>
      <c r="X18" s="2292" t="s">
        <v>5093</v>
      </c>
      <c r="AC18" s="2300" t="s">
        <v>5083</v>
      </c>
      <c r="AN18" s="2405" t="s">
        <v>5179</v>
      </c>
    </row>
    <row r="19" spans="8:40" x14ac:dyDescent="0.25">
      <c r="H19" s="390" t="s">
        <v>128</v>
      </c>
      <c r="R19" s="841" t="s">
        <v>931</v>
      </c>
      <c r="S19" s="841" t="s">
        <v>3858</v>
      </c>
      <c r="X19" s="2300" t="s">
        <v>5095</v>
      </c>
      <c r="AC19" s="2300" t="s">
        <v>5096</v>
      </c>
      <c r="AN19" s="2405" t="s">
        <v>5177</v>
      </c>
    </row>
    <row r="20" spans="8:40" x14ac:dyDescent="0.25">
      <c r="H20" s="390" t="s">
        <v>1037</v>
      </c>
      <c r="R20" s="841" t="s">
        <v>631</v>
      </c>
      <c r="S20" s="841" t="s">
        <v>110</v>
      </c>
      <c r="X20" s="2292" t="s">
        <v>5094</v>
      </c>
      <c r="AC20" s="2292" t="s">
        <v>5093</v>
      </c>
      <c r="AN20" s="2405" t="s">
        <v>5173</v>
      </c>
    </row>
    <row r="21" spans="8:40" x14ac:dyDescent="0.25">
      <c r="H21" s="841" t="s">
        <v>5475</v>
      </c>
      <c r="R21" s="841" t="s">
        <v>5373</v>
      </c>
      <c r="S21" s="841" t="s">
        <v>4586</v>
      </c>
      <c r="AC21" s="2300" t="s">
        <v>5102</v>
      </c>
      <c r="AN21" s="2405" t="s">
        <v>5176</v>
      </c>
    </row>
    <row r="22" spans="8:40" x14ac:dyDescent="0.25">
      <c r="H22" s="390" t="s">
        <v>110</v>
      </c>
      <c r="S22" s="841"/>
      <c r="AC22" s="2300" t="s">
        <v>5095</v>
      </c>
      <c r="AN22" s="2405" t="s">
        <v>5162</v>
      </c>
    </row>
    <row r="23" spans="8:40" x14ac:dyDescent="0.25">
      <c r="H23" s="390" t="s">
        <v>1038</v>
      </c>
      <c r="R23" s="1059" t="s">
        <v>4350</v>
      </c>
      <c r="AC23" s="2292" t="s">
        <v>5094</v>
      </c>
      <c r="AN23" s="2405" t="s">
        <v>5166</v>
      </c>
    </row>
    <row r="24" spans="8:40" x14ac:dyDescent="0.25">
      <c r="H24" s="390" t="s">
        <v>1039</v>
      </c>
      <c r="R24" s="841" t="s">
        <v>4343</v>
      </c>
      <c r="S24" s="841" t="s">
        <v>5610</v>
      </c>
      <c r="AN24" s="2405" t="s">
        <v>5163</v>
      </c>
    </row>
    <row r="25" spans="8:40" x14ac:dyDescent="0.25">
      <c r="H25" s="390" t="s">
        <v>1040</v>
      </c>
      <c r="R25" s="841" t="s">
        <v>2147</v>
      </c>
      <c r="S25" s="2619" t="s">
        <v>5611</v>
      </c>
      <c r="AN25" s="2405" t="s">
        <v>5161</v>
      </c>
    </row>
    <row r="26" spans="8:40" x14ac:dyDescent="0.25">
      <c r="H26" s="390" t="s">
        <v>1041</v>
      </c>
      <c r="R26" s="841" t="s">
        <v>548</v>
      </c>
      <c r="S26" s="2618" t="s">
        <v>5612</v>
      </c>
      <c r="AN26" s="2405" t="s">
        <v>5159</v>
      </c>
    </row>
    <row r="27" spans="8:40" x14ac:dyDescent="0.25">
      <c r="H27" s="390" t="s">
        <v>729</v>
      </c>
      <c r="R27" s="841" t="s">
        <v>642</v>
      </c>
      <c r="S27" s="2618" t="s">
        <v>5613</v>
      </c>
      <c r="AN27" s="2405" t="s">
        <v>5170</v>
      </c>
    </row>
    <row r="28" spans="8:40" x14ac:dyDescent="0.25">
      <c r="H28" s="841" t="s">
        <v>3856</v>
      </c>
      <c r="R28" s="841" t="s">
        <v>313</v>
      </c>
      <c r="S28" s="2618" t="s">
        <v>5614</v>
      </c>
      <c r="AN28" s="2405" t="s">
        <v>5175</v>
      </c>
    </row>
    <row r="29" spans="8:40" x14ac:dyDescent="0.25">
      <c r="H29" s="841" t="s">
        <v>3857</v>
      </c>
      <c r="R29" s="841" t="s">
        <v>4450</v>
      </c>
      <c r="S29" s="2618" t="s">
        <v>5615</v>
      </c>
      <c r="AN29" s="2405" t="s">
        <v>5171</v>
      </c>
    </row>
    <row r="30" spans="8:40" x14ac:dyDescent="0.25">
      <c r="H30" s="390" t="s">
        <v>730</v>
      </c>
      <c r="R30" s="841" t="s">
        <v>549</v>
      </c>
      <c r="S30" s="2618" t="s">
        <v>5616</v>
      </c>
    </row>
    <row r="31" spans="8:40" x14ac:dyDescent="0.25">
      <c r="H31" s="841" t="s">
        <v>3882</v>
      </c>
      <c r="R31" s="841" t="s">
        <v>631</v>
      </c>
      <c r="S31" s="2618" t="s">
        <v>5617</v>
      </c>
    </row>
    <row r="32" spans="8:40" x14ac:dyDescent="0.25">
      <c r="H32" s="841" t="s">
        <v>5076</v>
      </c>
      <c r="R32" s="841" t="s">
        <v>5373</v>
      </c>
      <c r="S32" s="2618" t="s">
        <v>5618</v>
      </c>
    </row>
    <row r="33" spans="8:19" x14ac:dyDescent="0.25">
      <c r="R33" s="1059" t="s">
        <v>4351</v>
      </c>
      <c r="S33" s="2618" t="s">
        <v>5619</v>
      </c>
    </row>
    <row r="34" spans="8:19" x14ac:dyDescent="0.25">
      <c r="H34" s="1059" t="s">
        <v>1735</v>
      </c>
      <c r="R34" s="841" t="s">
        <v>4343</v>
      </c>
      <c r="S34" s="2618" t="s">
        <v>5620</v>
      </c>
    </row>
    <row r="35" spans="8:19" x14ac:dyDescent="0.25">
      <c r="H35" s="841" t="s">
        <v>3944</v>
      </c>
      <c r="R35" s="841" t="s">
        <v>4352</v>
      </c>
      <c r="S35" s="2618" t="s">
        <v>5621</v>
      </c>
    </row>
    <row r="36" spans="8:19" x14ac:dyDescent="0.25">
      <c r="H36" s="390" t="s">
        <v>128</v>
      </c>
      <c r="R36" s="841" t="s">
        <v>815</v>
      </c>
      <c r="S36" s="2618" t="s">
        <v>5622</v>
      </c>
    </row>
    <row r="37" spans="8:19" x14ac:dyDescent="0.25">
      <c r="H37" s="390" t="s">
        <v>1037</v>
      </c>
      <c r="R37" s="841" t="s">
        <v>816</v>
      </c>
      <c r="S37" s="2618" t="s">
        <v>5623</v>
      </c>
    </row>
    <row r="38" spans="8:19" x14ac:dyDescent="0.25">
      <c r="H38" s="390" t="s">
        <v>110</v>
      </c>
      <c r="R38" s="841" t="s">
        <v>4353</v>
      </c>
      <c r="S38" s="2618" t="s">
        <v>5624</v>
      </c>
    </row>
    <row r="39" spans="8:19" x14ac:dyDescent="0.25">
      <c r="H39" s="390" t="s">
        <v>1038</v>
      </c>
      <c r="R39" s="841" t="s">
        <v>2410</v>
      </c>
      <c r="S39" s="2618" t="s">
        <v>5625</v>
      </c>
    </row>
    <row r="40" spans="8:19" x14ac:dyDescent="0.25">
      <c r="H40" s="390" t="s">
        <v>1039</v>
      </c>
      <c r="R40" s="841" t="s">
        <v>4359</v>
      </c>
      <c r="S40" s="2618" t="s">
        <v>5626</v>
      </c>
    </row>
    <row r="41" spans="8:19" x14ac:dyDescent="0.25">
      <c r="H41" s="390" t="s">
        <v>1040</v>
      </c>
      <c r="R41" s="841" t="s">
        <v>2412</v>
      </c>
      <c r="S41" s="2618" t="s">
        <v>5627</v>
      </c>
    </row>
    <row r="42" spans="8:19" x14ac:dyDescent="0.25">
      <c r="H42" s="390" t="s">
        <v>1041</v>
      </c>
      <c r="R42" s="841" t="s">
        <v>2419</v>
      </c>
      <c r="S42" s="2618" t="s">
        <v>5628</v>
      </c>
    </row>
    <row r="43" spans="8:19" x14ac:dyDescent="0.25">
      <c r="H43" s="390" t="s">
        <v>729</v>
      </c>
      <c r="R43" s="841" t="s">
        <v>1402</v>
      </c>
      <c r="S43" s="2618" t="s">
        <v>5629</v>
      </c>
    </row>
    <row r="44" spans="8:19" x14ac:dyDescent="0.25">
      <c r="H44" s="841" t="s">
        <v>3856</v>
      </c>
      <c r="R44" s="841" t="s">
        <v>5370</v>
      </c>
      <c r="S44" s="2618" t="s">
        <v>5609</v>
      </c>
    </row>
    <row r="45" spans="8:19" x14ac:dyDescent="0.25">
      <c r="H45" s="841" t="s">
        <v>3857</v>
      </c>
      <c r="R45" s="841" t="s">
        <v>4354</v>
      </c>
      <c r="S45" s="2618" t="s">
        <v>5630</v>
      </c>
    </row>
    <row r="46" spans="8:19" x14ac:dyDescent="0.25">
      <c r="H46" s="390" t="s">
        <v>730</v>
      </c>
      <c r="R46" s="841" t="s">
        <v>4355</v>
      </c>
      <c r="S46" s="2618" t="s">
        <v>5631</v>
      </c>
    </row>
    <row r="47" spans="8:19" x14ac:dyDescent="0.25">
      <c r="H47" s="841" t="s">
        <v>1736</v>
      </c>
      <c r="R47" s="841" t="s">
        <v>701</v>
      </c>
      <c r="S47" s="2618" t="s">
        <v>5632</v>
      </c>
    </row>
    <row r="48" spans="8:19" x14ac:dyDescent="0.25">
      <c r="R48" s="841" t="s">
        <v>4356</v>
      </c>
      <c r="S48" s="2618" t="s">
        <v>5633</v>
      </c>
    </row>
    <row r="49" spans="8:19" x14ac:dyDescent="0.25">
      <c r="H49" s="2459" t="s">
        <v>1440</v>
      </c>
      <c r="R49" s="841" t="s">
        <v>790</v>
      </c>
      <c r="S49" s="2618" t="s">
        <v>5634</v>
      </c>
    </row>
    <row r="50" spans="8:19" x14ac:dyDescent="0.25">
      <c r="H50" s="390" t="s">
        <v>1450</v>
      </c>
      <c r="R50" s="841" t="s">
        <v>569</v>
      </c>
      <c r="S50" s="2618" t="s">
        <v>5635</v>
      </c>
    </row>
    <row r="51" spans="8:19" x14ac:dyDescent="0.25">
      <c r="H51" s="390" t="s">
        <v>3944</v>
      </c>
    </row>
    <row r="52" spans="8:19" x14ac:dyDescent="0.25">
      <c r="H52" s="390" t="s">
        <v>1038</v>
      </c>
      <c r="R52" s="1059" t="s">
        <v>4357</v>
      </c>
    </row>
    <row r="53" spans="8:19" x14ac:dyDescent="0.25">
      <c r="H53" s="390" t="s">
        <v>1040</v>
      </c>
      <c r="R53" s="841" t="s">
        <v>4343</v>
      </c>
    </row>
    <row r="54" spans="8:19" x14ac:dyDescent="0.25">
      <c r="R54" s="841" t="s">
        <v>4352</v>
      </c>
    </row>
    <row r="55" spans="8:19" x14ac:dyDescent="0.25">
      <c r="R55" s="841" t="s">
        <v>4358</v>
      </c>
    </row>
    <row r="56" spans="8:19" x14ac:dyDescent="0.25">
      <c r="R56" s="841" t="s">
        <v>4602</v>
      </c>
    </row>
    <row r="57" spans="8:19" x14ac:dyDescent="0.25">
      <c r="R57" s="841" t="s">
        <v>4662</v>
      </c>
    </row>
    <row r="58" spans="8:19" x14ac:dyDescent="0.25">
      <c r="R58" s="841" t="s">
        <v>4359</v>
      </c>
    </row>
    <row r="59" spans="8:19" x14ac:dyDescent="0.25">
      <c r="R59" s="841" t="s">
        <v>5370</v>
      </c>
    </row>
    <row r="60" spans="8:19" x14ac:dyDescent="0.25">
      <c r="R60" s="841" t="s">
        <v>4354</v>
      </c>
    </row>
    <row r="61" spans="8:19" x14ac:dyDescent="0.25">
      <c r="R61" s="841" t="s">
        <v>4355</v>
      </c>
    </row>
    <row r="62" spans="8:19" x14ac:dyDescent="0.25">
      <c r="R62" s="841" t="s">
        <v>4356</v>
      </c>
    </row>
    <row r="63" spans="8:19" x14ac:dyDescent="0.25">
      <c r="R63" s="841" t="s">
        <v>790</v>
      </c>
    </row>
    <row r="64" spans="8:19" x14ac:dyDescent="0.25">
      <c r="R64" s="841" t="s">
        <v>4437</v>
      </c>
    </row>
    <row r="65" spans="18:18" x14ac:dyDescent="0.25">
      <c r="R65" s="841" t="s">
        <v>4360</v>
      </c>
    </row>
    <row r="67" spans="18:18" x14ac:dyDescent="0.25">
      <c r="R67" s="1059" t="s">
        <v>4337</v>
      </c>
    </row>
    <row r="68" spans="18:18" x14ac:dyDescent="0.25">
      <c r="R68" s="841" t="s">
        <v>4343</v>
      </c>
    </row>
    <row r="69" spans="18:18" x14ac:dyDescent="0.25">
      <c r="R69" s="841" t="s">
        <v>3585</v>
      </c>
    </row>
    <row r="70" spans="18:18" x14ac:dyDescent="0.25">
      <c r="R70" s="841" t="s">
        <v>4608</v>
      </c>
    </row>
    <row r="71" spans="18:18" x14ac:dyDescent="0.25">
      <c r="R71" s="841" t="s">
        <v>4452</v>
      </c>
    </row>
    <row r="72" spans="18:18" x14ac:dyDescent="0.25">
      <c r="R72" s="841" t="s">
        <v>4451</v>
      </c>
    </row>
    <row r="73" spans="18:18" x14ac:dyDescent="0.25">
      <c r="R73" s="841" t="s">
        <v>4453</v>
      </c>
    </row>
    <row r="76" spans="18:18" x14ac:dyDescent="0.25">
      <c r="R76" s="1059" t="s">
        <v>4339</v>
      </c>
    </row>
    <row r="77" spans="18:18" x14ac:dyDescent="0.25">
      <c r="R77" s="841" t="s">
        <v>4343</v>
      </c>
    </row>
    <row r="78" spans="18:18" x14ac:dyDescent="0.25">
      <c r="R78" s="841" t="s">
        <v>4457</v>
      </c>
    </row>
    <row r="79" spans="18:18" x14ac:dyDescent="0.25">
      <c r="R79" s="841" t="s">
        <v>3875</v>
      </c>
    </row>
    <row r="80" spans="18:18" x14ac:dyDescent="0.25">
      <c r="R80" s="841" t="s">
        <v>4458</v>
      </c>
    </row>
    <row r="81" spans="18:18" x14ac:dyDescent="0.25">
      <c r="R81" s="841" t="s">
        <v>5374</v>
      </c>
    </row>
    <row r="82" spans="18:18" x14ac:dyDescent="0.25">
      <c r="R82" s="841" t="s">
        <v>4506</v>
      </c>
    </row>
  </sheetData>
  <sheetProtection algorithmName="SHA-512" hashValue="9M6/O/3dQnFEIWA8lf/hd6Q/pEv4PbYoGPCyxfEjUX594YgHwnwBdz+1Sqm5e43NHmNxHzj1JpTspgjBE5ukWg==" saltValue="z4pUoDtQjjcJ189F8c5SIg==" spinCount="100000" sheet="1" objects="1" scenarios="1" autoFilter="0"/>
  <sortState xmlns:xlrd2="http://schemas.microsoft.com/office/spreadsheetml/2017/richdata2" ref="AN4:AN29">
    <sortCondition ref="AN4:AN29"/>
  </sortState>
  <customSheetViews>
    <customSheetView guid="{B08879A4-635B-4C39-9937-AC7883D562FC}">
      <selection activeCell="J18" sqref="J18"/>
      <pageMargins left="0.75" right="0.75" top="1" bottom="1" header="0.5" footer="0.5"/>
      <pageSetup orientation="portrait" r:id="rId1"/>
      <headerFooter alignWithMargins="0"/>
    </customSheetView>
    <customSheetView guid="{9FCFC836-1CA5-48BF-958D-24D2EA94B219}">
      <selection activeCell="J18" sqref="J18"/>
      <pageMargins left="0.75" right="0.75" top="1" bottom="1" header="0.5" footer="0.5"/>
      <pageSetup orientation="portrait" r:id="rId2"/>
      <headerFooter alignWithMargins="0"/>
    </customSheetView>
  </customSheetViews>
  <mergeCells count="2">
    <mergeCell ref="B1:C1"/>
    <mergeCell ref="D1:E1"/>
  </mergeCells>
  <phoneticPr fontId="15"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125"/>
  <sheetViews>
    <sheetView showGridLines="0" topLeftCell="B1" zoomScaleNormal="100" workbookViewId="0">
      <selection activeCell="T93" sqref="T93"/>
    </sheetView>
  </sheetViews>
  <sheetFormatPr defaultColWidth="9.42578125" defaultRowHeight="12.75" x14ac:dyDescent="0.2"/>
  <cols>
    <col min="1" max="1" width="0.42578125" style="290" hidden="1" customWidth="1"/>
    <col min="2" max="2" width="4.42578125" style="290" customWidth="1"/>
    <col min="3" max="3" width="10.42578125" customWidth="1"/>
    <col min="4" max="4" width="5.42578125" customWidth="1"/>
    <col min="6" max="6" width="3.5703125" customWidth="1"/>
    <col min="7" max="7" width="4.42578125" customWidth="1"/>
    <col min="8" max="8" width="1.5703125" customWidth="1"/>
    <col min="9" max="9" width="5.42578125" customWidth="1"/>
    <col min="10" max="10" width="12.42578125" customWidth="1"/>
    <col min="11" max="11" width="7.42578125" customWidth="1"/>
    <col min="12" max="12" width="8.7109375" customWidth="1"/>
    <col min="13" max="13" width="16.140625" customWidth="1"/>
    <col min="14" max="14" width="5" customWidth="1"/>
    <col min="16" max="16" width="10.5703125" customWidth="1"/>
    <col min="19" max="19" width="9.42578125" customWidth="1"/>
    <col min="20" max="20" width="16.7109375" bestFit="1" customWidth="1"/>
  </cols>
  <sheetData>
    <row r="1" spans="1:20" ht="25.15" customHeight="1" x14ac:dyDescent="0.2">
      <c r="A1" s="1944"/>
      <c r="B1" s="61"/>
      <c r="C1" s="1938" t="str">
        <f>+Index!$A$1</f>
        <v xml:space="preserve">                                                               Office of the State Controller                                                                </v>
      </c>
      <c r="D1" s="1938"/>
      <c r="E1" s="1938"/>
      <c r="F1" s="1938"/>
      <c r="G1" s="1938"/>
      <c r="H1" s="1938"/>
      <c r="I1" s="1938"/>
      <c r="J1" s="1938"/>
      <c r="K1" s="1938"/>
      <c r="L1" s="1938"/>
      <c r="M1" s="1938"/>
      <c r="N1" s="1939"/>
      <c r="O1" s="1939"/>
      <c r="P1" s="1939"/>
      <c r="Q1" s="1939"/>
      <c r="R1" s="1939"/>
      <c r="S1" s="2790"/>
      <c r="T1" s="2651" t="str">
        <f>IF(Index!$B$23="na","NA","")</f>
        <v/>
      </c>
    </row>
    <row r="2" spans="1:20" ht="15" x14ac:dyDescent="0.2">
      <c r="A2" s="1944"/>
      <c r="B2" s="61"/>
      <c r="C2" s="1940" t="str">
        <f>+Index!$A$2</f>
        <v>2022 ACFR Worksheets</v>
      </c>
      <c r="D2" s="1940"/>
      <c r="E2" s="1940"/>
      <c r="F2" s="1940"/>
      <c r="G2" s="1940"/>
      <c r="H2" s="1940"/>
      <c r="I2" s="1940"/>
      <c r="J2" s="1940"/>
      <c r="K2" s="1940"/>
      <c r="L2" s="1940"/>
      <c r="M2" s="1940"/>
      <c r="N2" s="1939"/>
      <c r="O2" s="1939"/>
      <c r="P2" s="1939"/>
      <c r="Q2" s="1939"/>
      <c r="R2" s="1939"/>
      <c r="S2" s="2790"/>
      <c r="T2" s="2651"/>
    </row>
    <row r="3" spans="1:20" ht="15" x14ac:dyDescent="0.2">
      <c r="A3" s="1944"/>
      <c r="B3" s="61"/>
      <c r="C3" s="454" t="s">
        <v>4544</v>
      </c>
      <c r="D3" s="454"/>
      <c r="E3" s="454"/>
      <c r="F3" s="454"/>
      <c r="G3" s="454"/>
      <c r="H3" s="454"/>
      <c r="I3" s="454"/>
      <c r="J3" s="454"/>
      <c r="K3" s="454"/>
      <c r="L3" s="454"/>
      <c r="M3" s="454"/>
      <c r="N3" s="1939"/>
      <c r="O3" s="1939"/>
      <c r="P3" s="1939"/>
      <c r="Q3" s="1939"/>
      <c r="R3" s="1939"/>
      <c r="S3" s="2790"/>
      <c r="T3" s="2651"/>
    </row>
    <row r="4" spans="1:20" x14ac:dyDescent="0.2">
      <c r="A4" s="1945"/>
      <c r="B4" s="61"/>
      <c r="C4" s="454" t="s">
        <v>4508</v>
      </c>
      <c r="D4" s="454"/>
      <c r="E4" s="454"/>
      <c r="F4" s="454"/>
      <c r="G4" s="454"/>
      <c r="H4" s="454"/>
      <c r="I4" s="454"/>
      <c r="J4" s="1939"/>
      <c r="K4" s="1939"/>
      <c r="L4" s="454"/>
      <c r="M4" s="454"/>
      <c r="N4" s="1939"/>
      <c r="O4" s="1939"/>
      <c r="P4" s="1939"/>
      <c r="Q4" s="1939"/>
      <c r="R4" s="1939"/>
      <c r="S4" s="61"/>
      <c r="T4" s="61"/>
    </row>
    <row r="5" spans="1:20" x14ac:dyDescent="0.2">
      <c r="A5" s="1945"/>
      <c r="B5" s="61"/>
      <c r="C5" s="454" t="s">
        <v>1281</v>
      </c>
      <c r="D5" s="454"/>
      <c r="E5" s="454"/>
      <c r="F5" s="454"/>
      <c r="G5" s="454"/>
      <c r="H5" s="454"/>
      <c r="I5" s="454"/>
      <c r="J5" s="1939"/>
      <c r="K5" s="1939"/>
      <c r="L5" s="454"/>
      <c r="M5" s="454"/>
      <c r="N5" s="1939"/>
      <c r="O5" s="1939"/>
      <c r="P5" s="1939"/>
      <c r="Q5" s="1939"/>
      <c r="R5" s="1939"/>
      <c r="S5" s="61"/>
      <c r="T5" s="61"/>
    </row>
    <row r="6" spans="1:20" x14ac:dyDescent="0.2">
      <c r="A6" s="1945"/>
      <c r="B6" s="61"/>
      <c r="C6" s="454"/>
      <c r="D6" s="454"/>
      <c r="E6" s="454"/>
      <c r="F6" s="454"/>
      <c r="G6" s="454"/>
      <c r="H6" s="454"/>
      <c r="I6" s="454"/>
      <c r="J6" s="454"/>
      <c r="K6" s="454"/>
      <c r="L6" s="1941"/>
      <c r="M6" s="1941"/>
      <c r="N6" s="1939"/>
      <c r="O6" s="1939"/>
      <c r="P6" s="1939"/>
      <c r="Q6" s="1939"/>
      <c r="R6" s="1939"/>
      <c r="S6" s="61"/>
      <c r="T6" s="61"/>
    </row>
    <row r="7" spans="1:20" x14ac:dyDescent="0.2">
      <c r="A7" s="1945"/>
      <c r="B7" s="1903" t="s">
        <v>4509</v>
      </c>
      <c r="C7" s="1903"/>
      <c r="D7" s="1903"/>
      <c r="E7" s="454"/>
      <c r="F7" s="454"/>
      <c r="G7" s="454"/>
      <c r="H7" s="61"/>
      <c r="I7" s="61"/>
      <c r="J7" s="61"/>
      <c r="K7" s="61"/>
      <c r="L7" s="61"/>
      <c r="M7" s="61"/>
      <c r="N7" s="1902" t="s">
        <v>327</v>
      </c>
      <c r="O7" s="1902"/>
      <c r="P7" s="2791" t="str">
        <f>AgyIdx</f>
        <v>01</v>
      </c>
      <c r="Q7" s="2791"/>
      <c r="R7" s="2791"/>
      <c r="S7" s="61"/>
      <c r="T7" s="61"/>
    </row>
    <row r="8" spans="1:20" ht="14.25" customHeight="1" x14ac:dyDescent="0.2">
      <c r="A8" s="1945"/>
      <c r="B8" s="61"/>
      <c r="C8" s="1939"/>
      <c r="D8" s="1939"/>
      <c r="E8" s="1939"/>
      <c r="F8" s="1903"/>
      <c r="G8" s="454"/>
      <c r="H8" s="61"/>
      <c r="I8" s="61"/>
      <c r="J8" s="61"/>
      <c r="K8" s="61"/>
      <c r="L8" s="61"/>
      <c r="M8" s="61"/>
      <c r="N8" s="1902" t="s">
        <v>1154</v>
      </c>
      <c r="O8" s="1902"/>
      <c r="P8" s="2792" t="str">
        <f>AgyName</f>
        <v>North Carolina General Assembly</v>
      </c>
      <c r="Q8" s="2792"/>
      <c r="R8" s="2792"/>
      <c r="S8" s="61"/>
      <c r="T8" s="61"/>
    </row>
    <row r="9" spans="1:20" ht="16.5" customHeight="1" x14ac:dyDescent="0.2">
      <c r="A9" s="1945"/>
      <c r="B9" s="61"/>
      <c r="C9" s="1903"/>
      <c r="D9" s="454"/>
      <c r="E9" s="454"/>
      <c r="F9" s="454"/>
      <c r="G9" s="454"/>
      <c r="H9" s="61"/>
      <c r="I9" s="61"/>
      <c r="J9" s="61"/>
      <c r="K9" s="61"/>
      <c r="L9" s="61"/>
      <c r="M9" s="61"/>
      <c r="N9" s="1902" t="s">
        <v>972</v>
      </c>
      <c r="O9" s="1902"/>
      <c r="P9" s="2793" t="str">
        <f>CONCATENATE(Index!$E$12," ",Index!$E$14)</f>
        <v xml:space="preserve"> </v>
      </c>
      <c r="Q9" s="2793"/>
      <c r="R9" s="2793"/>
      <c r="S9" s="1904"/>
      <c r="T9" s="1904"/>
    </row>
    <row r="10" spans="1:20" ht="14.25" customHeight="1" x14ac:dyDescent="0.2">
      <c r="A10" s="1945"/>
      <c r="B10" s="61"/>
      <c r="C10" s="1903"/>
      <c r="D10" s="454"/>
      <c r="E10" s="454"/>
      <c r="F10" s="454"/>
      <c r="G10" s="454"/>
      <c r="H10" s="61"/>
      <c r="I10" s="61"/>
      <c r="J10" s="61"/>
      <c r="K10" s="61"/>
      <c r="L10" s="61"/>
      <c r="M10" s="61"/>
      <c r="N10" s="1902" t="s">
        <v>348</v>
      </c>
      <c r="O10" s="1902"/>
      <c r="P10" s="2793">
        <f>+Index!$E$13</f>
        <v>0</v>
      </c>
      <c r="Q10" s="2793"/>
      <c r="R10" s="2793"/>
      <c r="S10" s="61"/>
      <c r="T10" s="61"/>
    </row>
    <row r="11" spans="1:20" ht="9" customHeight="1" thickBot="1" x14ac:dyDescent="0.25">
      <c r="A11" s="1945"/>
      <c r="B11" s="1942"/>
      <c r="C11" s="1942"/>
      <c r="D11" s="1942"/>
      <c r="E11" s="1942"/>
      <c r="F11" s="1942"/>
      <c r="G11" s="1942"/>
      <c r="H11" s="1942"/>
      <c r="I11" s="1942"/>
      <c r="J11" s="1942"/>
      <c r="K11" s="1942"/>
      <c r="L11" s="1942"/>
      <c r="M11" s="1942"/>
      <c r="N11" s="1942"/>
      <c r="O11" s="1942"/>
      <c r="P11" s="1942"/>
      <c r="Q11" s="1942"/>
      <c r="R11" s="1942"/>
      <c r="S11" s="1942"/>
      <c r="T11" s="61"/>
    </row>
    <row r="12" spans="1:20" ht="9" customHeight="1" x14ac:dyDescent="0.2">
      <c r="A12" s="1945"/>
      <c r="B12" s="1945"/>
      <c r="C12" s="1946"/>
      <c r="D12" s="1946"/>
      <c r="E12" s="1946"/>
      <c r="F12" s="1946"/>
      <c r="G12" s="1946"/>
      <c r="H12" s="1946"/>
      <c r="I12" s="1946"/>
      <c r="J12" s="1946"/>
      <c r="K12" s="1946"/>
      <c r="L12" s="272"/>
      <c r="M12" s="272"/>
      <c r="N12" s="272"/>
      <c r="O12" s="272"/>
      <c r="P12" s="272"/>
      <c r="Q12" s="272"/>
      <c r="R12" s="272"/>
      <c r="S12" s="272"/>
    </row>
    <row r="13" spans="1:20" ht="9" customHeight="1" x14ac:dyDescent="0.2">
      <c r="A13" s="1945"/>
      <c r="B13" s="1945"/>
      <c r="C13" s="1946"/>
      <c r="D13" s="1946"/>
      <c r="E13" s="1946"/>
      <c r="F13" s="1946"/>
      <c r="G13" s="1946"/>
      <c r="H13" s="1946"/>
      <c r="I13" s="1946"/>
      <c r="J13" s="1946"/>
      <c r="K13" s="1946"/>
      <c r="L13" s="272"/>
      <c r="M13" s="272"/>
      <c r="N13" s="272"/>
      <c r="O13" s="272"/>
      <c r="P13" s="272"/>
      <c r="Q13" s="272"/>
      <c r="R13" s="272"/>
      <c r="S13" s="272"/>
    </row>
    <row r="14" spans="1:20" ht="9" customHeight="1" x14ac:dyDescent="0.2">
      <c r="A14" s="1945"/>
      <c r="B14" s="1945"/>
      <c r="C14" s="1946"/>
      <c r="D14" s="1946"/>
      <c r="E14" s="1946"/>
      <c r="F14" s="1946"/>
      <c r="G14" s="1946"/>
      <c r="H14" s="1946"/>
      <c r="I14" s="1946"/>
      <c r="J14" s="1946"/>
      <c r="K14" s="1946"/>
      <c r="L14" s="272"/>
      <c r="M14" s="272"/>
      <c r="N14" s="272"/>
      <c r="O14" s="272"/>
      <c r="P14" s="272"/>
      <c r="Q14" s="272"/>
      <c r="R14" s="272"/>
      <c r="S14" s="272"/>
    </row>
    <row r="15" spans="1:20" x14ac:dyDescent="0.2">
      <c r="A15" s="1945"/>
      <c r="B15" s="1945" t="s">
        <v>133</v>
      </c>
      <c r="C15" s="272" t="s">
        <v>5380</v>
      </c>
      <c r="D15" s="1946"/>
      <c r="E15" s="1946"/>
      <c r="F15" s="1946"/>
      <c r="G15" s="1946"/>
      <c r="H15" s="1946"/>
      <c r="I15" s="1946"/>
      <c r="J15" s="1946"/>
      <c r="K15" s="1946"/>
      <c r="L15" s="272"/>
      <c r="M15" s="272"/>
      <c r="N15" s="272"/>
      <c r="O15" s="272"/>
      <c r="P15" s="272"/>
      <c r="Q15" s="272"/>
      <c r="R15" s="272"/>
      <c r="S15" s="272"/>
    </row>
    <row r="16" spans="1:20" x14ac:dyDescent="0.2">
      <c r="A16" s="1945"/>
      <c r="B16" s="1945"/>
      <c r="C16" s="1946"/>
      <c r="D16" s="1946" t="s">
        <v>85</v>
      </c>
      <c r="E16" s="2000"/>
      <c r="F16" s="1946"/>
      <c r="G16" s="272"/>
      <c r="H16" s="272"/>
      <c r="I16" s="1946" t="s">
        <v>86</v>
      </c>
      <c r="J16" s="2000"/>
      <c r="K16" s="1946"/>
      <c r="L16" s="272"/>
      <c r="M16" s="272"/>
      <c r="N16" s="272"/>
      <c r="O16" s="272"/>
      <c r="P16" s="272"/>
      <c r="Q16" s="272"/>
      <c r="R16" s="272"/>
      <c r="S16" s="272"/>
      <c r="T16" s="1443" t="str">
        <f>IF(AND(ISBLANK($E$16),ISBLANK($J$16))=TRUE,"Answer Missing"," ")</f>
        <v>Answer Missing</v>
      </c>
    </row>
    <row r="17" spans="1:20" ht="21" customHeight="1" x14ac:dyDescent="0.2">
      <c r="A17" s="1945"/>
      <c r="B17" s="1945"/>
      <c r="C17" s="272" t="s">
        <v>4645</v>
      </c>
      <c r="D17" s="1946"/>
      <c r="E17" s="1946"/>
      <c r="F17" s="1946"/>
      <c r="G17" s="1946"/>
      <c r="H17" s="1946"/>
      <c r="I17" s="1946"/>
      <c r="J17" s="1946"/>
      <c r="K17" s="1946"/>
      <c r="L17" s="272"/>
      <c r="M17" s="272"/>
      <c r="N17" s="272"/>
      <c r="O17" s="272"/>
      <c r="P17" s="272"/>
      <c r="Q17" s="272"/>
      <c r="R17" s="272"/>
      <c r="S17" s="272"/>
    </row>
    <row r="18" spans="1:20" ht="9" customHeight="1" x14ac:dyDescent="0.2">
      <c r="A18" s="1945"/>
      <c r="B18" s="1945"/>
      <c r="C18" s="272"/>
      <c r="D18" s="1946"/>
      <c r="E18" s="1946"/>
      <c r="F18" s="1946"/>
      <c r="G18" s="1946"/>
      <c r="H18" s="1946"/>
      <c r="I18" s="1946"/>
      <c r="J18" s="1946"/>
      <c r="K18" s="1946"/>
      <c r="L18" s="272"/>
      <c r="M18" s="272"/>
      <c r="N18" s="272"/>
      <c r="O18" s="272"/>
      <c r="P18" s="272"/>
      <c r="Q18" s="272"/>
      <c r="R18" s="272"/>
      <c r="S18" s="272"/>
    </row>
    <row r="19" spans="1:20" ht="18" customHeight="1" x14ac:dyDescent="0.2">
      <c r="A19" s="1945"/>
      <c r="B19" s="1945"/>
      <c r="C19" s="2" t="s">
        <v>4699</v>
      </c>
      <c r="D19" s="1950"/>
      <c r="E19" s="1950"/>
      <c r="F19" s="1950"/>
      <c r="G19" s="1950"/>
      <c r="H19" s="1950"/>
      <c r="I19" s="1950"/>
      <c r="J19" s="1950"/>
      <c r="K19" s="1950"/>
      <c r="L19" s="2"/>
      <c r="M19" s="2"/>
      <c r="N19" s="2"/>
      <c r="O19" s="2"/>
      <c r="P19" s="2"/>
      <c r="Q19" s="272"/>
      <c r="R19" s="272"/>
      <c r="S19" s="272"/>
    </row>
    <row r="20" spans="1:20" ht="13.5" customHeight="1" x14ac:dyDescent="0.2">
      <c r="A20" s="1945"/>
      <c r="B20" s="1945"/>
      <c r="C20" s="2" t="s">
        <v>5381</v>
      </c>
      <c r="D20" s="1950"/>
      <c r="E20" s="1950"/>
      <c r="F20" s="1950"/>
      <c r="G20" s="1950"/>
      <c r="H20" s="1950"/>
      <c r="I20" s="1950"/>
      <c r="J20" s="1950"/>
      <c r="K20" s="1950"/>
      <c r="L20" s="2"/>
      <c r="M20" s="2"/>
      <c r="N20" s="2"/>
      <c r="O20" s="2"/>
      <c r="P20" s="2"/>
      <c r="Q20" s="272"/>
      <c r="R20" s="272"/>
      <c r="S20" s="272"/>
    </row>
    <row r="21" spans="1:20" x14ac:dyDescent="0.2">
      <c r="A21" s="1945"/>
      <c r="B21" s="1945"/>
      <c r="C21" s="1946"/>
      <c r="D21" s="1946"/>
      <c r="E21" s="1946"/>
      <c r="F21" s="1946"/>
      <c r="G21" s="1946"/>
      <c r="H21" s="1946"/>
      <c r="I21" s="1946"/>
      <c r="J21" s="1946"/>
      <c r="K21" s="1946"/>
      <c r="L21" s="272"/>
      <c r="M21" s="272"/>
      <c r="N21" s="272"/>
      <c r="O21" s="272"/>
      <c r="P21" s="272"/>
      <c r="Q21" s="272"/>
      <c r="R21" s="272"/>
      <c r="S21" s="272"/>
    </row>
    <row r="22" spans="1:20" x14ac:dyDescent="0.2">
      <c r="A22" s="1945"/>
      <c r="B22" s="1945"/>
      <c r="C22" s="1946"/>
      <c r="D22" s="1946"/>
      <c r="E22" s="1946"/>
      <c r="F22" s="1946"/>
      <c r="G22" s="1946"/>
      <c r="H22" s="1946"/>
      <c r="I22" s="1946"/>
      <c r="J22" s="1946"/>
      <c r="K22" s="1946"/>
      <c r="L22" s="272"/>
      <c r="M22" s="272"/>
      <c r="N22" s="272"/>
      <c r="O22" s="272"/>
      <c r="P22" s="272"/>
      <c r="Q22" s="272"/>
      <c r="R22" s="272"/>
      <c r="S22" s="272"/>
    </row>
    <row r="23" spans="1:20" x14ac:dyDescent="0.2">
      <c r="A23" s="1089"/>
      <c r="B23" s="1089" t="s">
        <v>384</v>
      </c>
      <c r="C23" s="1089" t="s">
        <v>4700</v>
      </c>
      <c r="D23" s="1089"/>
      <c r="E23" s="1089"/>
      <c r="F23" s="1089"/>
      <c r="G23" s="1914"/>
      <c r="H23" s="1914"/>
      <c r="I23" s="447"/>
      <c r="J23" s="1914"/>
      <c r="K23" s="447"/>
      <c r="L23" s="447"/>
      <c r="M23" s="1089"/>
      <c r="N23" s="1949"/>
      <c r="O23" s="1949"/>
      <c r="P23" s="1949"/>
      <c r="Q23" s="1949"/>
      <c r="R23" s="1949"/>
      <c r="S23" s="272"/>
    </row>
    <row r="24" spans="1:20" s="2083" customFormat="1" x14ac:dyDescent="0.2">
      <c r="A24" s="1089"/>
      <c r="B24" s="1089"/>
      <c r="C24" s="1089" t="s">
        <v>5382</v>
      </c>
      <c r="D24" s="1089"/>
      <c r="E24" s="1089"/>
      <c r="F24" s="1089"/>
      <c r="G24" s="1914"/>
      <c r="H24" s="1914"/>
      <c r="I24" s="447"/>
      <c r="J24" s="1914"/>
      <c r="K24" s="447"/>
      <c r="L24" s="447"/>
      <c r="M24" s="1089"/>
      <c r="N24" s="1949"/>
      <c r="O24" s="1949"/>
      <c r="P24" s="1949"/>
      <c r="Q24" s="1949"/>
      <c r="R24" s="1949"/>
      <c r="S24" s="2084"/>
    </row>
    <row r="25" spans="1:20" s="2083" customFormat="1" ht="6" customHeight="1" x14ac:dyDescent="0.2">
      <c r="A25" s="1089"/>
      <c r="B25" s="1089"/>
      <c r="C25" s="1089"/>
      <c r="D25" s="1089"/>
      <c r="E25" s="1089"/>
      <c r="F25" s="1089"/>
      <c r="G25" s="1914"/>
      <c r="H25" s="1914"/>
      <c r="I25" s="447"/>
      <c r="J25" s="1914"/>
      <c r="K25" s="447"/>
      <c r="L25" s="447"/>
      <c r="M25" s="1089"/>
      <c r="N25" s="1949"/>
      <c r="O25" s="1949"/>
      <c r="P25" s="1949"/>
      <c r="Q25" s="1949"/>
      <c r="R25" s="1949"/>
      <c r="S25" s="2084"/>
    </row>
    <row r="26" spans="1:20" x14ac:dyDescent="0.2">
      <c r="A26" s="1945"/>
      <c r="B26" s="1945"/>
      <c r="C26" s="1089" t="s">
        <v>4545</v>
      </c>
      <c r="D26" s="1089"/>
      <c r="E26" s="1089"/>
      <c r="F26" s="1928"/>
      <c r="G26" s="1928"/>
      <c r="H26" s="1928"/>
      <c r="I26" s="1928"/>
      <c r="J26" s="1928"/>
      <c r="K26" s="1928"/>
      <c r="L26" s="1949"/>
      <c r="M26" s="1949"/>
      <c r="N26" s="1949"/>
      <c r="O26" s="1949"/>
      <c r="P26" s="1949"/>
      <c r="Q26" s="1949"/>
      <c r="R26" s="1949"/>
      <c r="S26" s="272"/>
    </row>
    <row r="27" spans="1:20" x14ac:dyDescent="0.2">
      <c r="A27" s="1945"/>
      <c r="B27" s="1945"/>
      <c r="C27" s="1089"/>
      <c r="D27" s="1089"/>
      <c r="E27" s="1089"/>
      <c r="F27" s="1928"/>
      <c r="G27" s="1928"/>
      <c r="H27" s="1928"/>
      <c r="I27" s="1928"/>
      <c r="J27" s="1928"/>
      <c r="K27" s="1928"/>
      <c r="L27" s="1949"/>
      <c r="M27" s="1949"/>
      <c r="N27" s="1949"/>
      <c r="O27" s="1949"/>
      <c r="P27" s="1949"/>
      <c r="Q27" s="1949"/>
      <c r="R27" s="1949"/>
      <c r="S27" s="272"/>
    </row>
    <row r="28" spans="1:20" x14ac:dyDescent="0.2">
      <c r="A28" s="1945"/>
      <c r="B28" s="1945"/>
      <c r="C28" s="1089"/>
      <c r="D28" s="1946" t="s">
        <v>85</v>
      </c>
      <c r="E28" s="2000"/>
      <c r="F28" s="1946"/>
      <c r="G28" s="272"/>
      <c r="H28" s="272"/>
      <c r="I28" s="1946" t="s">
        <v>86</v>
      </c>
      <c r="J28" s="2000"/>
      <c r="K28" s="1928"/>
      <c r="L28" s="1949"/>
      <c r="M28" s="1949"/>
      <c r="N28" s="1949"/>
      <c r="O28" s="1949"/>
      <c r="P28" s="1949"/>
      <c r="Q28" s="1949"/>
      <c r="R28" s="1949"/>
      <c r="S28" s="272"/>
      <c r="T28" s="1443" t="str">
        <f>IF(AND(ISBLANK($E$28),ISBLANK($J$28))=TRUE,"Answer Missing"," ")</f>
        <v>Answer Missing</v>
      </c>
    </row>
    <row r="29" spans="1:20" x14ac:dyDescent="0.2">
      <c r="A29" s="1945"/>
      <c r="B29" s="1945"/>
      <c r="C29" s="1089"/>
      <c r="D29" s="1946"/>
      <c r="E29" s="1946"/>
      <c r="F29" s="1946"/>
      <c r="G29" s="272"/>
      <c r="H29" s="272"/>
      <c r="I29" s="1946"/>
      <c r="J29" s="1946"/>
      <c r="K29" s="1928"/>
      <c r="L29" s="1949"/>
      <c r="M29" s="1949"/>
      <c r="N29" s="1949"/>
      <c r="O29" s="1949"/>
      <c r="P29" s="1949"/>
      <c r="Q29" s="1949"/>
      <c r="R29" s="1949"/>
      <c r="S29" s="272"/>
      <c r="T29" s="1443"/>
    </row>
    <row r="30" spans="1:20" x14ac:dyDescent="0.2">
      <c r="A30" s="1945"/>
      <c r="B30" s="1945"/>
      <c r="C30" s="1953" t="s">
        <v>4573</v>
      </c>
      <c r="D30" s="1953"/>
      <c r="E30" s="1953"/>
      <c r="F30" s="1957"/>
      <c r="G30" s="1957"/>
      <c r="H30" s="1957"/>
      <c r="I30" s="1958"/>
      <c r="J30" s="1928"/>
      <c r="K30" s="1928"/>
      <c r="L30" s="1949"/>
      <c r="M30" s="1949"/>
      <c r="N30" s="1949"/>
      <c r="O30" s="1949"/>
      <c r="P30" s="1949"/>
      <c r="Q30" s="1949"/>
      <c r="R30" s="1949"/>
      <c r="S30" s="272"/>
    </row>
    <row r="31" spans="1:20" x14ac:dyDescent="0.2">
      <c r="A31" s="1945"/>
      <c r="B31" s="1945"/>
      <c r="C31" s="1946" t="s">
        <v>5383</v>
      </c>
      <c r="D31" s="1946"/>
      <c r="E31" s="1946"/>
      <c r="F31" s="1946"/>
      <c r="G31" s="1946"/>
      <c r="H31" s="1946"/>
      <c r="I31" s="1946"/>
      <c r="J31" s="1946"/>
      <c r="K31" s="1928"/>
      <c r="L31" s="1949"/>
      <c r="M31" s="1949"/>
      <c r="N31" s="1949"/>
      <c r="O31" s="1949"/>
      <c r="P31" s="1949"/>
      <c r="Q31" s="1949"/>
      <c r="R31" s="1949"/>
      <c r="S31" s="272"/>
    </row>
    <row r="32" spans="1:20" x14ac:dyDescent="0.2">
      <c r="A32" s="1945"/>
      <c r="B32" s="1945"/>
      <c r="C32" s="1946" t="s">
        <v>5384</v>
      </c>
      <c r="D32" s="1946"/>
      <c r="E32" s="1946"/>
      <c r="F32" s="1946"/>
      <c r="G32" s="1946"/>
      <c r="H32" s="1946"/>
      <c r="I32" s="1946"/>
      <c r="J32" s="1946"/>
      <c r="K32" s="1928"/>
      <c r="L32" s="1949"/>
      <c r="M32" s="1949"/>
      <c r="N32" s="1949"/>
      <c r="O32" s="1949"/>
      <c r="P32" s="1949"/>
      <c r="Q32" s="1949"/>
      <c r="R32" s="1949"/>
      <c r="S32" s="272"/>
    </row>
    <row r="33" spans="1:19" x14ac:dyDescent="0.2">
      <c r="A33" s="1945"/>
      <c r="B33" s="1945"/>
      <c r="C33" s="1946"/>
      <c r="D33" s="1946"/>
      <c r="E33" s="1946"/>
      <c r="F33" s="1946"/>
      <c r="G33" s="1946"/>
      <c r="H33" s="1946"/>
      <c r="I33" s="1946"/>
      <c r="J33" s="1946"/>
      <c r="K33" s="1928"/>
      <c r="L33" s="1949"/>
      <c r="M33" s="1949"/>
      <c r="N33" s="1949"/>
      <c r="O33" s="1949"/>
      <c r="P33" s="1949"/>
      <c r="Q33" s="1949"/>
      <c r="R33" s="1949"/>
      <c r="S33" s="272"/>
    </row>
    <row r="34" spans="1:19" x14ac:dyDescent="0.2">
      <c r="A34" s="1089"/>
      <c r="B34" s="1089"/>
      <c r="C34" s="1951" t="s">
        <v>4546</v>
      </c>
      <c r="D34" s="1952"/>
      <c r="E34" s="1952"/>
      <c r="F34" s="1089"/>
      <c r="G34" s="1089"/>
      <c r="H34" s="1089"/>
      <c r="I34" s="1951" t="s">
        <v>4525</v>
      </c>
      <c r="J34" s="1952"/>
      <c r="K34" s="1952"/>
      <c r="L34" s="1949"/>
      <c r="M34" s="2081" t="s">
        <v>4693</v>
      </c>
      <c r="N34" s="2082"/>
      <c r="O34" s="1951" t="s">
        <v>4547</v>
      </c>
      <c r="P34" s="1952"/>
      <c r="Q34" s="1952"/>
      <c r="R34" s="1949"/>
      <c r="S34" s="272"/>
    </row>
    <row r="35" spans="1:19" x14ac:dyDescent="0.2">
      <c r="A35" s="1089"/>
      <c r="B35" s="1089"/>
      <c r="C35" s="2789"/>
      <c r="D35" s="2789"/>
      <c r="E35" s="2789"/>
      <c r="F35" s="1928"/>
      <c r="G35" s="1928"/>
      <c r="H35" s="1928"/>
      <c r="I35" s="2794"/>
      <c r="J35" s="2794"/>
      <c r="K35" s="2794"/>
      <c r="L35" s="1949"/>
      <c r="M35" s="2000"/>
      <c r="N35" s="1949"/>
      <c r="O35" s="2794"/>
      <c r="P35" s="2794"/>
      <c r="Q35" s="2794"/>
      <c r="R35" s="1949"/>
      <c r="S35" s="272"/>
    </row>
    <row r="36" spans="1:19" ht="19.5" customHeight="1" x14ac:dyDescent="0.2">
      <c r="A36" s="1089"/>
      <c r="B36" s="1089"/>
      <c r="C36" s="2789"/>
      <c r="D36" s="2789"/>
      <c r="E36" s="2789"/>
      <c r="F36" s="1928"/>
      <c r="G36" s="1928"/>
      <c r="H36" s="1928"/>
      <c r="I36" s="2794"/>
      <c r="J36" s="2794"/>
      <c r="K36" s="2794"/>
      <c r="L36" s="1949"/>
      <c r="M36" s="2000"/>
      <c r="N36" s="1949"/>
      <c r="O36" s="2794"/>
      <c r="P36" s="2794"/>
      <c r="Q36" s="2794"/>
      <c r="R36" s="1949"/>
      <c r="S36" s="272"/>
    </row>
    <row r="37" spans="1:19" ht="20.25" customHeight="1" x14ac:dyDescent="0.2">
      <c r="A37" s="1089"/>
      <c r="B37" s="1089"/>
      <c r="C37" s="2789"/>
      <c r="D37" s="2789"/>
      <c r="E37" s="2789"/>
      <c r="F37" s="1928"/>
      <c r="G37" s="1928"/>
      <c r="H37" s="1928"/>
      <c r="I37" s="2794"/>
      <c r="J37" s="2794"/>
      <c r="K37" s="2794"/>
      <c r="L37" s="1949"/>
      <c r="M37" s="2000"/>
      <c r="N37" s="1949"/>
      <c r="O37" s="2794"/>
      <c r="P37" s="2794"/>
      <c r="Q37" s="2794"/>
      <c r="R37" s="1949"/>
      <c r="S37" s="272"/>
    </row>
    <row r="38" spans="1:19" ht="19.5" customHeight="1" x14ac:dyDescent="0.2">
      <c r="A38" s="1088"/>
      <c r="B38" s="1088"/>
      <c r="C38" s="2789"/>
      <c r="D38" s="2789"/>
      <c r="E38" s="2789"/>
      <c r="F38" s="1089"/>
      <c r="G38" s="1089"/>
      <c r="H38" s="1089"/>
      <c r="I38" s="2794"/>
      <c r="J38" s="2794"/>
      <c r="K38" s="2794"/>
      <c r="L38" s="1949"/>
      <c r="M38" s="2000"/>
      <c r="N38" s="1949"/>
      <c r="O38" s="2794"/>
      <c r="P38" s="2794"/>
      <c r="Q38" s="2794"/>
      <c r="R38" s="1949"/>
      <c r="S38" s="272"/>
    </row>
    <row r="39" spans="1:19" ht="20.25" customHeight="1" x14ac:dyDescent="0.2">
      <c r="A39" s="1945"/>
      <c r="B39" s="1945"/>
      <c r="C39" s="2789"/>
      <c r="D39" s="2789"/>
      <c r="E39" s="2789"/>
      <c r="F39" s="1928"/>
      <c r="G39" s="1928"/>
      <c r="H39" s="1928"/>
      <c r="I39" s="2794"/>
      <c r="J39" s="2794"/>
      <c r="K39" s="2794"/>
      <c r="L39" s="1949"/>
      <c r="M39" s="2000"/>
      <c r="N39" s="1949"/>
      <c r="O39" s="2794"/>
      <c r="P39" s="2794"/>
      <c r="Q39" s="2794"/>
      <c r="R39" s="1949"/>
      <c r="S39" s="272"/>
    </row>
    <row r="40" spans="1:19" s="2083" customFormat="1" x14ac:dyDescent="0.2">
      <c r="A40" s="1945"/>
      <c r="B40" s="1945"/>
      <c r="C40" s="1089"/>
      <c r="D40" s="1089"/>
      <c r="E40" s="1089"/>
      <c r="F40" s="1928"/>
      <c r="G40" s="1928"/>
      <c r="H40" s="1928"/>
      <c r="I40" s="1928"/>
      <c r="J40" s="1928"/>
      <c r="K40" s="1928"/>
      <c r="L40" s="1949"/>
      <c r="M40" s="1949"/>
      <c r="N40" s="1949"/>
      <c r="O40" s="1949"/>
      <c r="P40" s="1949"/>
      <c r="Q40" s="1949"/>
      <c r="R40" s="1949"/>
      <c r="S40" s="2084"/>
    </row>
    <row r="41" spans="1:19" s="2083" customFormat="1" x14ac:dyDescent="0.2">
      <c r="A41" s="1945"/>
      <c r="B41" s="1945"/>
      <c r="C41" s="1089"/>
      <c r="D41" s="1089"/>
      <c r="E41" s="1089"/>
      <c r="F41" s="1928"/>
      <c r="G41" s="1928"/>
      <c r="H41" s="1928"/>
      <c r="I41" s="1928"/>
      <c r="J41" s="1928"/>
      <c r="K41" s="1928"/>
      <c r="L41" s="1949"/>
      <c r="M41" s="1949"/>
      <c r="N41" s="1949"/>
      <c r="O41" s="1949"/>
      <c r="P41" s="1949"/>
      <c r="Q41" s="1949"/>
      <c r="R41" s="1949"/>
      <c r="S41" s="2084"/>
    </row>
    <row r="42" spans="1:19" x14ac:dyDescent="0.2">
      <c r="A42" s="1945"/>
      <c r="B42" s="1945"/>
      <c r="C42" s="1928" t="s">
        <v>4552</v>
      </c>
      <c r="D42" s="1928"/>
      <c r="E42" s="1928"/>
      <c r="F42" s="1928"/>
      <c r="G42" s="1928"/>
      <c r="H42" s="1928"/>
      <c r="I42" s="1928"/>
      <c r="J42" s="1928"/>
      <c r="K42" s="1928"/>
      <c r="L42" s="1928"/>
      <c r="M42" s="1089"/>
      <c r="N42" s="1089"/>
      <c r="O42" s="1089"/>
      <c r="P42" s="1949"/>
      <c r="Q42" s="1949"/>
      <c r="R42" s="1949"/>
      <c r="S42" s="272"/>
    </row>
    <row r="43" spans="1:19" x14ac:dyDescent="0.2">
      <c r="A43" s="1945"/>
      <c r="B43" s="1945"/>
      <c r="C43" s="1089"/>
      <c r="D43" s="1089"/>
      <c r="E43" s="1089"/>
      <c r="F43" s="1928"/>
      <c r="G43" s="1928"/>
      <c r="H43" s="1928"/>
      <c r="I43" s="1928"/>
      <c r="J43" s="1928"/>
      <c r="K43" s="1928"/>
      <c r="L43" s="1949"/>
      <c r="M43" s="1949"/>
      <c r="N43" s="1949"/>
      <c r="O43" s="1949"/>
      <c r="P43" s="1949"/>
      <c r="Q43" s="1949"/>
      <c r="R43" s="1949"/>
      <c r="S43" s="272"/>
    </row>
    <row r="44" spans="1:19" x14ac:dyDescent="0.2">
      <c r="A44" s="1945"/>
      <c r="B44" s="1945"/>
      <c r="C44" s="1089"/>
      <c r="D44" s="1089"/>
      <c r="E44" s="1089"/>
      <c r="F44" s="1928"/>
      <c r="G44" s="1928"/>
      <c r="H44" s="1928"/>
      <c r="I44" s="1928"/>
      <c r="J44" s="1928"/>
      <c r="K44" s="1928"/>
      <c r="L44" s="1949"/>
      <c r="M44" s="1949"/>
      <c r="N44" s="1949"/>
      <c r="O44" s="1949"/>
      <c r="P44" s="1949"/>
      <c r="Q44" s="1949"/>
      <c r="R44" s="1949"/>
      <c r="S44" s="272"/>
    </row>
    <row r="45" spans="1:19" x14ac:dyDescent="0.2">
      <c r="A45" s="1089"/>
      <c r="B45" s="1089" t="s">
        <v>733</v>
      </c>
      <c r="C45" s="1089" t="s">
        <v>5385</v>
      </c>
      <c r="D45" s="1089"/>
      <c r="E45" s="1089"/>
      <c r="F45" s="1089"/>
      <c r="G45" s="1914"/>
      <c r="H45" s="447"/>
      <c r="I45" s="1914"/>
      <c r="J45" s="447"/>
      <c r="K45" s="1089"/>
      <c r="L45" s="1089"/>
      <c r="M45" s="1089"/>
      <c r="N45" s="1089"/>
      <c r="O45" s="1089"/>
      <c r="P45" s="1089"/>
      <c r="Q45" s="1089"/>
      <c r="R45" s="1949"/>
      <c r="S45" s="272"/>
    </row>
    <row r="46" spans="1:19" s="2083" customFormat="1" x14ac:dyDescent="0.2">
      <c r="A46" s="1089"/>
      <c r="B46" s="1089"/>
      <c r="C46" s="1089" t="s">
        <v>5386</v>
      </c>
      <c r="D46" s="1089"/>
      <c r="E46" s="1089"/>
      <c r="F46" s="1089"/>
      <c r="G46" s="1914"/>
      <c r="H46" s="447"/>
      <c r="I46" s="1914"/>
      <c r="J46" s="447"/>
      <c r="K46" s="1089"/>
      <c r="L46" s="1089"/>
      <c r="M46" s="1089"/>
      <c r="N46" s="1089"/>
      <c r="O46" s="1089"/>
      <c r="P46" s="1089"/>
      <c r="Q46" s="1089"/>
      <c r="R46" s="1949"/>
      <c r="S46" s="2084"/>
    </row>
    <row r="47" spans="1:19" s="2083" customFormat="1" ht="6" customHeight="1" x14ac:dyDescent="0.2">
      <c r="A47" s="1089"/>
      <c r="B47" s="1089"/>
      <c r="C47" s="1089"/>
      <c r="D47" s="1089"/>
      <c r="E47" s="1089"/>
      <c r="F47" s="1089"/>
      <c r="G47" s="1914"/>
      <c r="H47" s="447"/>
      <c r="I47" s="1914"/>
      <c r="J47" s="447"/>
      <c r="K47" s="1089"/>
      <c r="L47" s="1089"/>
      <c r="M47" s="1089"/>
      <c r="N47" s="1089"/>
      <c r="O47" s="1089"/>
      <c r="P47" s="1089"/>
      <c r="Q47" s="1089"/>
      <c r="R47" s="1949"/>
      <c r="S47" s="2084"/>
    </row>
    <row r="48" spans="1:19" x14ac:dyDescent="0.2">
      <c r="A48" s="1945"/>
      <c r="B48" s="1945"/>
      <c r="C48" s="1089" t="s">
        <v>4545</v>
      </c>
      <c r="D48" s="1089"/>
      <c r="E48" s="1089"/>
      <c r="F48" s="1928"/>
      <c r="G48" s="1928"/>
      <c r="H48" s="1928"/>
      <c r="I48" s="1928"/>
      <c r="J48" s="1928"/>
      <c r="K48" s="1928"/>
      <c r="L48" s="1949"/>
      <c r="M48" s="1949"/>
      <c r="N48" s="1949"/>
      <c r="O48" s="1949"/>
      <c r="P48" s="1949"/>
      <c r="Q48" s="1949"/>
      <c r="R48" s="1949"/>
      <c r="S48" s="272"/>
    </row>
    <row r="49" spans="1:20" x14ac:dyDescent="0.2">
      <c r="A49" s="1945"/>
      <c r="B49" s="1945"/>
      <c r="C49" s="1089"/>
      <c r="D49" s="1089"/>
      <c r="E49" s="1089"/>
      <c r="F49" s="1928"/>
      <c r="G49" s="1928"/>
      <c r="H49" s="1928"/>
      <c r="I49" s="1928"/>
      <c r="J49" s="1928"/>
      <c r="K49" s="1928"/>
      <c r="L49" s="1949"/>
      <c r="M49" s="1949"/>
      <c r="N49" s="1949"/>
      <c r="O49" s="1949"/>
      <c r="P49" s="1949"/>
      <c r="Q49" s="1949"/>
      <c r="R49" s="1949"/>
      <c r="S49" s="272"/>
    </row>
    <row r="50" spans="1:20" x14ac:dyDescent="0.2">
      <c r="A50" s="1945"/>
      <c r="B50" s="1945"/>
      <c r="C50" s="1089"/>
      <c r="D50" s="1946" t="s">
        <v>85</v>
      </c>
      <c r="E50" s="2000"/>
      <c r="F50" s="1946"/>
      <c r="G50" s="272"/>
      <c r="H50" s="272"/>
      <c r="I50" s="1946" t="s">
        <v>86</v>
      </c>
      <c r="J50" s="2000"/>
      <c r="K50" s="1928"/>
      <c r="L50" s="1949"/>
      <c r="M50" s="1949"/>
      <c r="N50" s="1949"/>
      <c r="O50" s="1949"/>
      <c r="P50" s="1949"/>
      <c r="Q50" s="1949"/>
      <c r="R50" s="1949"/>
      <c r="S50" s="272"/>
      <c r="T50" s="1443" t="str">
        <f>IF(AND(ISBLANK($E$50),ISBLANK($J$50))=TRUE,"Answer Missing"," ")</f>
        <v>Answer Missing</v>
      </c>
    </row>
    <row r="51" spans="1:20" x14ac:dyDescent="0.2">
      <c r="A51" s="1945"/>
      <c r="B51" s="1945"/>
      <c r="C51" s="1089"/>
      <c r="D51" s="1089"/>
      <c r="E51" s="1089"/>
      <c r="F51" s="1928"/>
      <c r="G51" s="1928"/>
      <c r="H51" s="1928"/>
      <c r="I51" s="1928"/>
      <c r="J51" s="1928"/>
      <c r="K51" s="1928"/>
      <c r="L51" s="1949"/>
      <c r="M51" s="1949"/>
      <c r="N51" s="1949"/>
      <c r="O51" s="1949"/>
      <c r="P51" s="1949"/>
      <c r="Q51" s="1949"/>
      <c r="R51" s="1949"/>
      <c r="S51" s="272"/>
    </row>
    <row r="52" spans="1:20" x14ac:dyDescent="0.2">
      <c r="A52" s="1945"/>
      <c r="B52" s="1945"/>
      <c r="C52" s="1953" t="s">
        <v>4574</v>
      </c>
      <c r="D52" s="1953"/>
      <c r="E52" s="1953"/>
      <c r="F52" s="1957"/>
      <c r="G52" s="1957"/>
      <c r="H52" s="1957"/>
      <c r="I52" s="1958"/>
      <c r="J52" s="1928"/>
      <c r="K52" s="1928"/>
      <c r="L52" s="1949"/>
      <c r="M52" s="1949"/>
      <c r="N52" s="1949"/>
      <c r="O52" s="1949"/>
      <c r="P52" s="1949"/>
      <c r="Q52" s="1949"/>
      <c r="R52" s="1949"/>
      <c r="S52" s="272"/>
    </row>
    <row r="53" spans="1:20" x14ac:dyDescent="0.2">
      <c r="A53" s="1945"/>
      <c r="B53" s="1945"/>
      <c r="C53" s="1946" t="s">
        <v>5387</v>
      </c>
      <c r="D53" s="1946"/>
      <c r="E53" s="1946"/>
      <c r="F53" s="1946"/>
      <c r="G53" s="1946"/>
      <c r="H53" s="1946"/>
      <c r="I53" s="1928"/>
      <c r="J53" s="1928"/>
      <c r="K53" s="1928"/>
      <c r="L53" s="1949"/>
      <c r="M53" s="1949"/>
      <c r="N53" s="1949"/>
      <c r="O53" s="1949"/>
      <c r="P53" s="1949"/>
      <c r="Q53" s="1949"/>
      <c r="R53" s="1949"/>
      <c r="S53" s="272"/>
    </row>
    <row r="54" spans="1:20" x14ac:dyDescent="0.2">
      <c r="A54" s="1945"/>
      <c r="B54" s="1945"/>
      <c r="C54" s="1089"/>
      <c r="D54" s="1089"/>
      <c r="E54" s="1089"/>
      <c r="F54" s="1928"/>
      <c r="G54" s="1928"/>
      <c r="H54" s="1928"/>
      <c r="I54" s="1928"/>
      <c r="J54" s="1928"/>
      <c r="K54" s="1928"/>
      <c r="L54" s="1949"/>
      <c r="M54" s="1949"/>
      <c r="N54" s="1949"/>
      <c r="O54" s="1949"/>
      <c r="P54" s="1949"/>
      <c r="Q54" s="1949"/>
      <c r="R54" s="1949"/>
      <c r="S54" s="272"/>
    </row>
    <row r="55" spans="1:20" x14ac:dyDescent="0.2">
      <c r="A55" s="1089"/>
      <c r="B55" s="1089"/>
      <c r="C55" s="1951" t="s">
        <v>4546</v>
      </c>
      <c r="D55" s="1952"/>
      <c r="E55" s="1952"/>
      <c r="F55" s="1089"/>
      <c r="G55" s="1089"/>
      <c r="H55" s="1089"/>
      <c r="I55" s="1951" t="s">
        <v>4525</v>
      </c>
      <c r="J55" s="1952"/>
      <c r="K55" s="1952"/>
      <c r="L55" s="1949"/>
      <c r="M55" s="2081" t="s">
        <v>4693</v>
      </c>
      <c r="N55" s="1949"/>
      <c r="O55" s="1951" t="s">
        <v>4547</v>
      </c>
      <c r="P55" s="1952"/>
      <c r="Q55" s="1952"/>
      <c r="R55" s="1949"/>
      <c r="S55" s="272"/>
    </row>
    <row r="56" spans="1:20" ht="18" customHeight="1" x14ac:dyDescent="0.2">
      <c r="A56" s="1089"/>
      <c r="B56" s="1089"/>
      <c r="C56" s="2789"/>
      <c r="D56" s="2789"/>
      <c r="E56" s="2789"/>
      <c r="F56" s="1928"/>
      <c r="G56" s="1928"/>
      <c r="H56" s="1928"/>
      <c r="I56" s="2794"/>
      <c r="J56" s="2794"/>
      <c r="K56" s="2794"/>
      <c r="L56" s="1949"/>
      <c r="M56" s="2000"/>
      <c r="N56" s="1949"/>
      <c r="O56" s="2794"/>
      <c r="P56" s="2794"/>
      <c r="Q56" s="2794"/>
      <c r="R56" s="1949"/>
      <c r="S56" s="272"/>
    </row>
    <row r="57" spans="1:20" ht="18" customHeight="1" x14ac:dyDescent="0.2">
      <c r="A57" s="1089"/>
      <c r="B57" s="1089"/>
      <c r="C57" s="2789"/>
      <c r="D57" s="2789"/>
      <c r="E57" s="2789"/>
      <c r="F57" s="1928"/>
      <c r="G57" s="1928"/>
      <c r="H57" s="1928"/>
      <c r="I57" s="2794"/>
      <c r="J57" s="2794"/>
      <c r="K57" s="2794"/>
      <c r="L57" s="1949"/>
      <c r="M57" s="2000"/>
      <c r="N57" s="1949"/>
      <c r="O57" s="2794"/>
      <c r="P57" s="2794"/>
      <c r="Q57" s="2794"/>
      <c r="R57" s="1949"/>
      <c r="S57" s="272"/>
    </row>
    <row r="58" spans="1:20" ht="19.5" customHeight="1" x14ac:dyDescent="0.2">
      <c r="A58" s="1089"/>
      <c r="B58" s="1089"/>
      <c r="C58" s="2789"/>
      <c r="D58" s="2789"/>
      <c r="E58" s="2789"/>
      <c r="F58" s="1928"/>
      <c r="G58" s="1928"/>
      <c r="H58" s="1928"/>
      <c r="I58" s="2794"/>
      <c r="J58" s="2794"/>
      <c r="K58" s="2794"/>
      <c r="L58" s="1949"/>
      <c r="M58" s="2000"/>
      <c r="N58" s="1949"/>
      <c r="O58" s="2794"/>
      <c r="P58" s="2794"/>
      <c r="Q58" s="2794"/>
      <c r="R58" s="1949"/>
      <c r="S58" s="272"/>
    </row>
    <row r="59" spans="1:20" ht="18" customHeight="1" x14ac:dyDescent="0.2">
      <c r="A59" s="1088"/>
      <c r="B59" s="1088"/>
      <c r="C59" s="2789"/>
      <c r="D59" s="2789"/>
      <c r="E59" s="2789"/>
      <c r="F59" s="1089"/>
      <c r="G59" s="1089"/>
      <c r="H59" s="1089"/>
      <c r="I59" s="2794"/>
      <c r="J59" s="2794"/>
      <c r="K59" s="2794"/>
      <c r="L59" s="1949"/>
      <c r="M59" s="2000"/>
      <c r="N59" s="1949"/>
      <c r="O59" s="2794"/>
      <c r="P59" s="2794"/>
      <c r="Q59" s="2794"/>
      <c r="R59" s="1949"/>
      <c r="S59" s="272"/>
    </row>
    <row r="60" spans="1:20" ht="18.75" customHeight="1" x14ac:dyDescent="0.2">
      <c r="A60" s="1088"/>
      <c r="B60" s="1945"/>
      <c r="C60" s="2789"/>
      <c r="D60" s="2789"/>
      <c r="E60" s="2789"/>
      <c r="F60" s="1928"/>
      <c r="G60" s="1928"/>
      <c r="H60" s="1928"/>
      <c r="I60" s="2794"/>
      <c r="J60" s="2794"/>
      <c r="K60" s="2794"/>
      <c r="L60" s="1949"/>
      <c r="M60" s="2000"/>
      <c r="N60" s="1949"/>
      <c r="O60" s="2794"/>
      <c r="P60" s="2794"/>
      <c r="Q60" s="2794"/>
      <c r="R60" s="1949"/>
      <c r="S60" s="272"/>
    </row>
    <row r="61" spans="1:20" x14ac:dyDescent="0.2">
      <c r="A61" s="1088"/>
      <c r="B61" s="1088"/>
      <c r="C61" s="1947"/>
      <c r="D61" s="1947"/>
      <c r="E61" s="1947"/>
      <c r="F61" s="1089"/>
      <c r="G61" s="1089"/>
      <c r="H61" s="1089"/>
      <c r="I61" s="1948"/>
      <c r="J61" s="1948"/>
      <c r="K61" s="1948"/>
      <c r="L61" s="272"/>
      <c r="M61" s="272"/>
      <c r="N61" s="272"/>
      <c r="O61" s="272"/>
      <c r="P61" s="272"/>
      <c r="Q61" s="272"/>
      <c r="R61" s="272"/>
      <c r="S61" s="272"/>
    </row>
    <row r="62" spans="1:20" s="2512" customFormat="1" x14ac:dyDescent="0.2">
      <c r="A62" s="1088"/>
      <c r="B62" s="1089" t="s">
        <v>553</v>
      </c>
      <c r="C62" s="1947" t="s">
        <v>5497</v>
      </c>
      <c r="D62" s="1947"/>
      <c r="E62" s="1947"/>
      <c r="F62" s="1089"/>
      <c r="G62" s="1089"/>
      <c r="H62" s="1089"/>
      <c r="I62" s="1948"/>
      <c r="J62" s="1948"/>
      <c r="K62" s="1948"/>
      <c r="L62" s="2513"/>
      <c r="M62" s="2513"/>
      <c r="N62" s="2513"/>
      <c r="O62" s="2513"/>
      <c r="P62" s="2513"/>
      <c r="Q62" s="2513"/>
      <c r="R62" s="2513"/>
      <c r="S62" s="2513"/>
      <c r="T62" s="1443"/>
    </row>
    <row r="63" spans="1:20" s="2512" customFormat="1" x14ac:dyDescent="0.2">
      <c r="A63" s="1088"/>
      <c r="B63" s="1088"/>
      <c r="C63" s="1947"/>
      <c r="D63" s="1947"/>
      <c r="E63" s="1947"/>
      <c r="F63" s="1089"/>
      <c r="G63" s="1089"/>
      <c r="H63" s="1089"/>
      <c r="I63" s="1948"/>
      <c r="J63" s="1948"/>
      <c r="K63" s="1948"/>
      <c r="L63" s="2513"/>
      <c r="M63" s="2513"/>
      <c r="N63" s="2513"/>
      <c r="O63" s="2513"/>
      <c r="P63" s="2513"/>
      <c r="Q63" s="2513"/>
      <c r="R63" s="2513"/>
      <c r="S63" s="2513"/>
    </row>
    <row r="64" spans="1:20" s="2512" customFormat="1" x14ac:dyDescent="0.2">
      <c r="A64" s="1088"/>
      <c r="B64" s="1088"/>
      <c r="C64" s="1947"/>
      <c r="D64" s="1946" t="s">
        <v>85</v>
      </c>
      <c r="E64" s="2000"/>
      <c r="F64" s="1946"/>
      <c r="G64" s="2513"/>
      <c r="H64" s="2513"/>
      <c r="I64" s="1946" t="s">
        <v>86</v>
      </c>
      <c r="J64" s="2000"/>
      <c r="K64" s="1928"/>
      <c r="L64" s="1949"/>
      <c r="M64" s="1949"/>
      <c r="N64" s="2513"/>
      <c r="O64" s="2513"/>
      <c r="P64" s="2513"/>
      <c r="Q64" s="2513"/>
      <c r="R64" s="2513"/>
      <c r="S64" s="2513"/>
      <c r="T64" s="1443" t="str">
        <f>IF(AND(ISBLANK($E$64),ISBLANK($J$64))=TRUE,"Answer Missing"," ")</f>
        <v>Answer Missing</v>
      </c>
    </row>
    <row r="65" spans="1:19" s="2512" customFormat="1" x14ac:dyDescent="0.2">
      <c r="A65" s="1088"/>
      <c r="B65" s="1088"/>
      <c r="C65" s="1947"/>
      <c r="D65" s="1947"/>
      <c r="E65" s="1947"/>
      <c r="F65" s="1089"/>
      <c r="G65" s="1089"/>
      <c r="H65" s="1089"/>
      <c r="I65" s="1948"/>
      <c r="J65" s="1948"/>
      <c r="K65" s="1948"/>
      <c r="L65" s="2513"/>
      <c r="M65" s="2513"/>
      <c r="N65" s="2513"/>
      <c r="O65" s="2513"/>
      <c r="P65" s="2513"/>
      <c r="Q65" s="2513"/>
      <c r="R65" s="2513"/>
      <c r="S65" s="2513"/>
    </row>
    <row r="66" spans="1:19" s="2512" customFormat="1" x14ac:dyDescent="0.2">
      <c r="A66" s="1088"/>
      <c r="B66" s="1088"/>
      <c r="C66" s="2513" t="s">
        <v>5498</v>
      </c>
      <c r="D66" s="1947"/>
      <c r="E66" s="1947"/>
      <c r="F66" s="1089"/>
      <c r="G66" s="1089"/>
      <c r="H66" s="1089"/>
      <c r="I66" s="1948"/>
      <c r="J66" s="1948"/>
      <c r="K66" s="1948"/>
      <c r="L66" s="2513"/>
      <c r="M66" s="2513"/>
      <c r="N66" s="2513"/>
      <c r="O66" s="2513"/>
      <c r="P66" s="2513"/>
      <c r="Q66" s="2513"/>
      <c r="R66" s="2513"/>
      <c r="S66" s="2513"/>
    </row>
    <row r="67" spans="1:19" s="2512" customFormat="1" x14ac:dyDescent="0.2">
      <c r="A67" s="1088"/>
      <c r="B67" s="1088"/>
      <c r="C67" s="2513"/>
      <c r="D67" s="1947"/>
      <c r="E67" s="1947"/>
      <c r="F67" s="1089"/>
      <c r="G67" s="1089"/>
      <c r="H67" s="1089"/>
      <c r="I67" s="1948"/>
      <c r="J67" s="1948"/>
      <c r="K67" s="1948"/>
      <c r="L67" s="2513"/>
      <c r="M67" s="2513"/>
      <c r="N67" s="2513"/>
      <c r="O67" s="2513"/>
      <c r="P67" s="2513"/>
      <c r="Q67" s="2513"/>
      <c r="R67" s="2513"/>
      <c r="S67" s="2513"/>
    </row>
    <row r="68" spans="1:19" s="2512" customFormat="1" x14ac:dyDescent="0.2">
      <c r="A68" s="1088"/>
      <c r="B68" s="1088"/>
      <c r="C68" s="1953" t="s">
        <v>5687</v>
      </c>
      <c r="D68" s="1947"/>
      <c r="E68" s="1947"/>
      <c r="F68" s="1089"/>
      <c r="G68" s="1089"/>
      <c r="H68" s="1089"/>
      <c r="I68" s="1948"/>
      <c r="J68" s="1948"/>
      <c r="K68" s="1948"/>
      <c r="L68" s="2513"/>
      <c r="M68" s="2513"/>
      <c r="N68" s="2513"/>
      <c r="O68" s="2513"/>
      <c r="P68" s="2513"/>
      <c r="Q68" s="2513"/>
      <c r="R68" s="2513"/>
      <c r="S68" s="2513"/>
    </row>
    <row r="69" spans="1:19" s="2512" customFormat="1" x14ac:dyDescent="0.2">
      <c r="A69" s="1088"/>
      <c r="B69" s="1088"/>
      <c r="C69" s="1947"/>
      <c r="D69" s="1947"/>
      <c r="E69" s="1947"/>
      <c r="F69" s="1089"/>
      <c r="G69" s="1089"/>
      <c r="H69" s="1089"/>
      <c r="I69" s="1948"/>
      <c r="J69" s="1948"/>
      <c r="K69" s="1948"/>
      <c r="L69" s="2513"/>
      <c r="M69" s="2513"/>
      <c r="N69" s="2513"/>
      <c r="O69" s="2513"/>
      <c r="P69" s="2513"/>
      <c r="Q69" s="2513"/>
      <c r="R69" s="2513"/>
      <c r="S69" s="2513"/>
    </row>
    <row r="70" spans="1:19" s="2590" customFormat="1" x14ac:dyDescent="0.2">
      <c r="A70" s="1088"/>
      <c r="B70" s="1088"/>
      <c r="C70" s="1947" t="s">
        <v>5562</v>
      </c>
      <c r="D70" s="1947"/>
      <c r="E70" s="1947"/>
      <c r="F70" s="1089"/>
      <c r="G70" s="1089"/>
      <c r="H70" s="1089"/>
      <c r="I70" s="1948"/>
      <c r="J70" s="1948"/>
      <c r="K70" s="1948"/>
      <c r="L70" s="2591"/>
      <c r="M70" s="2591"/>
      <c r="N70" s="2591"/>
      <c r="O70" s="2591"/>
      <c r="P70" s="2591"/>
      <c r="Q70" s="2591"/>
      <c r="R70" s="2591"/>
      <c r="S70" s="2591"/>
    </row>
    <row r="71" spans="1:19" s="2590" customFormat="1" x14ac:dyDescent="0.2">
      <c r="A71" s="1088"/>
      <c r="B71" s="1088"/>
      <c r="C71" s="1947"/>
      <c r="D71" s="1947"/>
      <c r="E71" s="1947"/>
      <c r="F71" s="1089"/>
      <c r="G71" s="1089"/>
      <c r="H71" s="1089"/>
      <c r="I71" s="1948"/>
      <c r="J71" s="1948"/>
      <c r="K71" s="1948"/>
      <c r="L71" s="2591"/>
      <c r="M71" s="2591"/>
      <c r="N71" s="2591"/>
      <c r="O71" s="2591"/>
      <c r="P71" s="2591"/>
      <c r="Q71" s="2591"/>
      <c r="R71" s="2591"/>
      <c r="S71" s="2591"/>
    </row>
    <row r="72" spans="1:19" s="2512" customFormat="1" x14ac:dyDescent="0.2">
      <c r="A72" s="1088"/>
      <c r="B72" s="1088"/>
      <c r="C72" s="1951" t="s">
        <v>4546</v>
      </c>
      <c r="D72" s="1952"/>
      <c r="E72" s="1952"/>
      <c r="F72" s="1089"/>
      <c r="G72" s="1089"/>
      <c r="H72" s="1089"/>
      <c r="I72" s="1951" t="s">
        <v>4525</v>
      </c>
      <c r="J72" s="1952"/>
      <c r="K72" s="1952"/>
      <c r="L72" s="1949"/>
      <c r="M72" s="1951" t="s">
        <v>5499</v>
      </c>
      <c r="N72" s="1934"/>
      <c r="O72" s="1952"/>
      <c r="P72" s="1952"/>
      <c r="Q72" s="2518" t="s">
        <v>5500</v>
      </c>
      <c r="R72" s="1934"/>
      <c r="S72" s="1952"/>
    </row>
    <row r="73" spans="1:19" s="2512" customFormat="1" x14ac:dyDescent="0.2">
      <c r="A73" s="1088"/>
      <c r="B73" s="1088"/>
      <c r="C73" s="2789"/>
      <c r="D73" s="2789"/>
      <c r="E73" s="2789"/>
      <c r="F73" s="1928"/>
      <c r="G73" s="1928"/>
      <c r="H73" s="1928"/>
      <c r="I73" s="2794"/>
      <c r="J73" s="2794"/>
      <c r="K73" s="2794"/>
      <c r="L73" s="1949"/>
      <c r="M73" s="2794"/>
      <c r="N73" s="2794"/>
      <c r="O73" s="2794"/>
      <c r="Q73" s="2794"/>
      <c r="R73" s="2794"/>
      <c r="S73" s="2794"/>
    </row>
    <row r="74" spans="1:19" s="2512" customFormat="1" x14ac:dyDescent="0.2">
      <c r="A74" s="1088"/>
      <c r="B74" s="1088"/>
      <c r="C74" s="2789"/>
      <c r="D74" s="2789"/>
      <c r="E74" s="2789"/>
      <c r="F74" s="1928"/>
      <c r="G74" s="1928"/>
      <c r="H74" s="1928"/>
      <c r="I74" s="2794"/>
      <c r="J74" s="2794"/>
      <c r="K74" s="2794"/>
      <c r="L74" s="1949"/>
      <c r="M74" s="2794"/>
      <c r="N74" s="2794"/>
      <c r="O74" s="2794"/>
      <c r="Q74" s="2794"/>
      <c r="R74" s="2794"/>
      <c r="S74" s="2794"/>
    </row>
    <row r="75" spans="1:19" s="2512" customFormat="1" x14ac:dyDescent="0.2">
      <c r="A75" s="1088"/>
      <c r="B75" s="1088"/>
      <c r="C75" s="2789"/>
      <c r="D75" s="2789"/>
      <c r="E75" s="2789"/>
      <c r="F75" s="1928"/>
      <c r="G75" s="1928"/>
      <c r="H75" s="1928"/>
      <c r="I75" s="2794"/>
      <c r="J75" s="2794"/>
      <c r="K75" s="2794"/>
      <c r="L75" s="1949"/>
      <c r="M75" s="2794"/>
      <c r="N75" s="2794"/>
      <c r="O75" s="2794"/>
      <c r="Q75" s="2794"/>
      <c r="R75" s="2794"/>
      <c r="S75" s="2794"/>
    </row>
    <row r="76" spans="1:19" s="2512" customFormat="1" x14ac:dyDescent="0.2">
      <c r="A76" s="1088"/>
      <c r="B76" s="1088"/>
      <c r="C76" s="1953"/>
      <c r="D76" s="1953"/>
      <c r="E76" s="1953"/>
      <c r="F76" s="1957"/>
      <c r="G76" s="1957"/>
      <c r="H76" s="1957"/>
      <c r="I76" s="1958"/>
      <c r="J76" s="1928"/>
      <c r="K76" s="1928"/>
      <c r="L76" s="1949"/>
      <c r="M76" s="1949"/>
      <c r="N76" s="2513"/>
      <c r="O76" s="2513"/>
      <c r="P76" s="2513"/>
      <c r="Q76" s="2513"/>
      <c r="R76" s="2513"/>
      <c r="S76" s="2513"/>
    </row>
    <row r="77" spans="1:19" s="2590" customFormat="1" x14ac:dyDescent="0.2">
      <c r="A77" s="1088"/>
      <c r="B77" s="1088"/>
      <c r="C77" s="1953"/>
      <c r="D77" s="1953"/>
      <c r="E77" s="1953"/>
      <c r="F77" s="1957"/>
      <c r="G77" s="1928" t="s">
        <v>5570</v>
      </c>
      <c r="H77" s="2600"/>
      <c r="I77" s="1928"/>
      <c r="J77" s="2521"/>
      <c r="K77" s="2521"/>
      <c r="L77" s="2521"/>
      <c r="M77" s="1948">
        <f>SUM(M73:M76)+SUM(Q73:S75)</f>
        <v>0</v>
      </c>
      <c r="N77" s="2521"/>
      <c r="O77" s="2591"/>
      <c r="P77" s="2591"/>
      <c r="Q77" s="2591"/>
      <c r="R77" s="2591"/>
      <c r="S77" s="2591"/>
    </row>
    <row r="78" spans="1:19" s="2590" customFormat="1" x14ac:dyDescent="0.2">
      <c r="A78" s="1088"/>
      <c r="B78" s="1088"/>
      <c r="C78" s="1953"/>
      <c r="D78" s="1953"/>
      <c r="E78" s="1953"/>
      <c r="F78" s="1957"/>
      <c r="G78" s="1957"/>
      <c r="H78" s="1957"/>
      <c r="I78" s="1928"/>
      <c r="J78" s="2521"/>
      <c r="K78" s="2521"/>
      <c r="L78" s="2521"/>
      <c r="M78" s="1949"/>
      <c r="N78" s="2521"/>
      <c r="O78" s="2591"/>
      <c r="P78" s="2591"/>
      <c r="Q78" s="2591"/>
      <c r="R78" s="2591"/>
      <c r="S78" s="2591"/>
    </row>
    <row r="79" spans="1:19" s="2512" customFormat="1" x14ac:dyDescent="0.2">
      <c r="A79" s="1088"/>
      <c r="B79" s="1088"/>
      <c r="C79" s="3" t="s">
        <v>5503</v>
      </c>
      <c r="D79" s="2519"/>
      <c r="E79" s="2519"/>
      <c r="F79" s="2519"/>
      <c r="G79" s="2519"/>
      <c r="H79" s="2519"/>
      <c r="I79" s="2519"/>
      <c r="J79" s="2519"/>
      <c r="K79" s="2519"/>
      <c r="L79" s="3"/>
      <c r="M79" s="3"/>
      <c r="N79" s="203"/>
      <c r="O79" s="203"/>
      <c r="P79" s="2513"/>
      <c r="Q79" s="2513"/>
      <c r="R79" s="2513"/>
      <c r="S79" s="2513"/>
    </row>
    <row r="80" spans="1:19" s="2512" customFormat="1" x14ac:dyDescent="0.2">
      <c r="A80" s="1088"/>
      <c r="B80" s="1088"/>
      <c r="C80" s="3"/>
      <c r="D80" s="2519"/>
      <c r="E80" s="2519"/>
      <c r="F80" s="2519"/>
      <c r="G80" s="2519"/>
      <c r="H80" s="2519"/>
      <c r="I80" s="2519"/>
      <c r="J80" s="2519"/>
      <c r="K80" s="2519"/>
      <c r="L80" s="3"/>
      <c r="M80" s="3"/>
      <c r="N80" s="203"/>
      <c r="O80" s="203"/>
      <c r="P80" s="2513"/>
      <c r="Q80" s="2513"/>
      <c r="R80" s="2513"/>
      <c r="S80" s="2513"/>
    </row>
    <row r="81" spans="1:20" s="2512" customFormat="1" x14ac:dyDescent="0.2">
      <c r="A81" s="1088"/>
      <c r="B81" s="1088"/>
      <c r="C81" s="1951" t="s">
        <v>4546</v>
      </c>
      <c r="D81" s="1952"/>
      <c r="E81" s="1952"/>
      <c r="F81" s="1089"/>
      <c r="G81" s="1089"/>
      <c r="H81" s="1089"/>
      <c r="I81" s="1951" t="s">
        <v>4525</v>
      </c>
      <c r="J81" s="1952"/>
      <c r="K81" s="1952"/>
      <c r="L81" s="1949"/>
      <c r="M81" s="2518" t="s">
        <v>5501</v>
      </c>
      <c r="N81" s="1934"/>
      <c r="O81" s="1952"/>
      <c r="P81" s="2513"/>
      <c r="Q81" s="2518" t="s">
        <v>5563</v>
      </c>
      <c r="R81" s="1934"/>
      <c r="S81" s="1952"/>
      <c r="T81" s="2233"/>
    </row>
    <row r="82" spans="1:20" s="2512" customFormat="1" x14ac:dyDescent="0.2">
      <c r="A82" s="1088"/>
      <c r="B82" s="1088"/>
      <c r="C82" s="2789"/>
      <c r="D82" s="2789"/>
      <c r="E82" s="2789"/>
      <c r="F82" s="1928"/>
      <c r="G82" s="1928"/>
      <c r="H82" s="1928"/>
      <c r="I82" s="2794"/>
      <c r="J82" s="2794"/>
      <c r="K82" s="2794"/>
      <c r="L82" s="1949"/>
      <c r="M82" s="2794"/>
      <c r="N82" s="2794"/>
      <c r="O82" s="2794"/>
      <c r="P82" s="2513"/>
      <c r="Q82" s="2794"/>
      <c r="R82" s="2794"/>
      <c r="S82" s="2794"/>
      <c r="T82" s="2233"/>
    </row>
    <row r="83" spans="1:20" x14ac:dyDescent="0.2">
      <c r="A83" s="1088"/>
      <c r="B83" s="1088"/>
      <c r="C83" s="2789"/>
      <c r="D83" s="2789"/>
      <c r="E83" s="2789"/>
      <c r="F83" s="1928"/>
      <c r="G83" s="1928"/>
      <c r="H83" s="1928"/>
      <c r="I83" s="2794"/>
      <c r="J83" s="2794"/>
      <c r="K83" s="2794"/>
      <c r="L83" s="1949"/>
      <c r="M83" s="2794"/>
      <c r="N83" s="2794"/>
      <c r="O83" s="2794"/>
      <c r="P83" s="2513"/>
      <c r="Q83" s="2794"/>
      <c r="R83" s="2794"/>
      <c r="S83" s="2794"/>
      <c r="T83" s="2233"/>
    </row>
    <row r="84" spans="1:20" x14ac:dyDescent="0.2">
      <c r="A84" s="1088"/>
      <c r="B84" s="1088"/>
      <c r="C84" s="2789"/>
      <c r="D84" s="2789"/>
      <c r="E84" s="2789"/>
      <c r="F84" s="1928"/>
      <c r="G84" s="1928"/>
      <c r="H84" s="1928"/>
      <c r="I84" s="2794"/>
      <c r="J84" s="2794"/>
      <c r="K84" s="2794"/>
      <c r="L84" s="1949"/>
      <c r="M84" s="2794"/>
      <c r="N84" s="2794"/>
      <c r="O84" s="2794"/>
      <c r="P84" s="2513"/>
      <c r="Q84" s="2794"/>
      <c r="R84" s="2794"/>
      <c r="S84" s="2794"/>
      <c r="T84" s="2233"/>
    </row>
    <row r="85" spans="1:20" s="2512" customFormat="1" x14ac:dyDescent="0.2">
      <c r="A85" s="1088"/>
      <c r="B85" s="1088"/>
      <c r="C85" s="2520"/>
      <c r="D85" s="2520"/>
      <c r="E85" s="2520"/>
      <c r="F85" s="1928"/>
      <c r="G85" s="1928"/>
      <c r="H85" s="1928"/>
      <c r="I85" s="2521"/>
      <c r="J85" s="2521"/>
      <c r="K85" s="2521"/>
      <c r="L85" s="1949"/>
      <c r="M85" s="2521"/>
      <c r="N85" s="2521"/>
      <c r="O85" s="2521"/>
      <c r="P85" s="2513"/>
      <c r="Q85" s="2521"/>
      <c r="R85" s="2521"/>
      <c r="S85" s="2521"/>
      <c r="T85" s="2233"/>
    </row>
    <row r="86" spans="1:20" s="2590" customFormat="1" x14ac:dyDescent="0.2">
      <c r="A86" s="1088"/>
      <c r="B86" s="1088"/>
      <c r="C86" s="2520"/>
      <c r="D86" s="2520"/>
      <c r="E86" s="2520"/>
      <c r="F86" s="1928" t="s">
        <v>5564</v>
      </c>
      <c r="G86" s="1928"/>
      <c r="H86" s="1928"/>
      <c r="I86" s="2521"/>
      <c r="J86" s="2521"/>
      <c r="K86" s="2521"/>
      <c r="L86" s="1949"/>
      <c r="M86" s="2521">
        <f>SUM(M82:M85)</f>
        <v>0</v>
      </c>
      <c r="N86" s="2521"/>
      <c r="O86" s="2521"/>
      <c r="P86" s="2591"/>
      <c r="Q86" s="2521"/>
      <c r="R86" s="2521"/>
      <c r="S86" s="2521"/>
      <c r="T86" s="2233"/>
    </row>
    <row r="87" spans="1:20" s="2590" customFormat="1" x14ac:dyDescent="0.2">
      <c r="A87" s="1088"/>
      <c r="B87" s="1088"/>
      <c r="C87" s="2520"/>
      <c r="D87" s="2520"/>
      <c r="E87" s="2520"/>
      <c r="F87" s="1928" t="s">
        <v>5566</v>
      </c>
      <c r="G87" s="1928"/>
      <c r="H87" s="1928"/>
      <c r="I87" s="2521"/>
      <c r="J87" s="2521"/>
      <c r="K87" s="2521"/>
      <c r="L87" s="1949"/>
      <c r="M87" s="2521">
        <f>M86-M77</f>
        <v>0</v>
      </c>
      <c r="N87" s="2521"/>
      <c r="O87" s="2521"/>
      <c r="P87" s="2591"/>
      <c r="Q87" s="2521"/>
      <c r="R87" s="2521"/>
      <c r="S87" s="2521"/>
      <c r="T87" s="2233"/>
    </row>
    <row r="88" spans="1:20" s="2590" customFormat="1" x14ac:dyDescent="0.2">
      <c r="A88" s="1088"/>
      <c r="B88" s="1088"/>
      <c r="C88" s="2520"/>
      <c r="D88" s="2520"/>
      <c r="E88" s="2520"/>
      <c r="F88" s="1928"/>
      <c r="G88" s="1928"/>
      <c r="H88" s="1928"/>
      <c r="I88" s="2521"/>
      <c r="J88" s="2521"/>
      <c r="K88" s="2521"/>
      <c r="L88" s="1949"/>
      <c r="M88" s="2521"/>
      <c r="N88" s="2521"/>
      <c r="O88" s="2521"/>
      <c r="P88" s="2591"/>
      <c r="Q88" s="2521"/>
      <c r="R88" s="2521"/>
      <c r="S88" s="2521"/>
      <c r="T88" s="2233"/>
    </row>
    <row r="89" spans="1:20" s="2512" customFormat="1" x14ac:dyDescent="0.2">
      <c r="A89" s="1088"/>
      <c r="B89" s="1088"/>
      <c r="C89" s="1928" t="s">
        <v>5502</v>
      </c>
      <c r="D89" s="1947"/>
      <c r="E89" s="1947"/>
      <c r="F89" s="1089"/>
      <c r="G89" s="1089"/>
      <c r="H89" s="1089"/>
      <c r="I89" s="1948"/>
      <c r="J89" s="1948"/>
      <c r="K89" s="1948"/>
      <c r="L89" s="2513"/>
      <c r="M89" s="2513"/>
      <c r="N89" s="2513"/>
      <c r="O89" s="2521"/>
      <c r="P89" s="2513"/>
      <c r="Q89" s="2521"/>
      <c r="R89" s="2521"/>
      <c r="S89" s="2521"/>
    </row>
    <row r="90" spans="1:20" s="2512" customFormat="1" x14ac:dyDescent="0.2">
      <c r="A90" s="1088"/>
      <c r="B90" s="1088"/>
      <c r="C90" s="1928"/>
      <c r="D90" s="1947"/>
      <c r="E90" s="1947"/>
      <c r="F90" s="1089"/>
      <c r="G90" s="1089"/>
      <c r="H90" s="1089"/>
      <c r="I90" s="1948"/>
      <c r="J90" s="1948"/>
      <c r="K90" s="1948"/>
      <c r="L90" s="2513"/>
      <c r="M90" s="2513"/>
      <c r="N90" s="2513"/>
      <c r="O90" s="2521"/>
      <c r="P90" s="2513"/>
      <c r="Q90" s="2521"/>
      <c r="R90" s="2521"/>
      <c r="S90" s="2521"/>
    </row>
    <row r="91" spans="1:20" s="2512" customFormat="1" x14ac:dyDescent="0.2">
      <c r="A91" s="1088"/>
      <c r="B91" s="1089" t="s">
        <v>5504</v>
      </c>
      <c r="C91" s="2520"/>
      <c r="D91" s="2520"/>
      <c r="E91" s="2520"/>
      <c r="F91" s="1928"/>
      <c r="G91" s="1928"/>
      <c r="H91" s="1928"/>
      <c r="I91" s="2521"/>
      <c r="J91" s="2521"/>
      <c r="K91" s="2521"/>
      <c r="L91" s="1949"/>
      <c r="M91" s="2521"/>
      <c r="N91" s="2521"/>
      <c r="O91" s="2521"/>
      <c r="P91" s="2513"/>
      <c r="Q91" s="2521"/>
      <c r="R91" s="2521"/>
      <c r="S91" s="2521"/>
    </row>
    <row r="92" spans="1:20" x14ac:dyDescent="0.2">
      <c r="A92"/>
      <c r="B92"/>
    </row>
    <row r="93" spans="1:20" s="2512" customFormat="1" x14ac:dyDescent="0.2">
      <c r="A93" s="1088"/>
      <c r="B93" s="1088"/>
      <c r="C93" s="1947"/>
      <c r="D93" s="1946" t="s">
        <v>85</v>
      </c>
      <c r="E93" s="2000"/>
      <c r="F93" s="1946"/>
      <c r="G93" s="2513"/>
      <c r="H93" s="2513"/>
      <c r="I93" s="1946" t="s">
        <v>86</v>
      </c>
      <c r="J93" s="2000"/>
      <c r="K93" s="1928"/>
      <c r="L93" s="1949"/>
      <c r="M93" s="1949"/>
      <c r="N93" s="2513"/>
      <c r="O93" s="2513"/>
      <c r="P93" s="2513"/>
      <c r="Q93" s="2513"/>
      <c r="R93" s="2513"/>
      <c r="S93" s="2513"/>
      <c r="T93" s="1443" t="str">
        <f>IF(AND(ISBLANK($E$93),ISBLANK($J$93))=TRUE,"Answer Missing"," ")</f>
        <v>Answer Missing</v>
      </c>
    </row>
    <row r="94" spans="1:20" x14ac:dyDescent="0.2">
      <c r="A94"/>
      <c r="B94"/>
    </row>
    <row r="95" spans="1:20" s="2512" customFormat="1" x14ac:dyDescent="0.2">
      <c r="A95" s="1088"/>
      <c r="B95" s="1088"/>
      <c r="C95" s="1953" t="s">
        <v>5505</v>
      </c>
      <c r="D95" s="1947"/>
      <c r="E95" s="1947"/>
      <c r="F95" s="1089"/>
      <c r="G95" s="1089"/>
      <c r="H95" s="1089"/>
      <c r="I95" s="1948"/>
      <c r="J95" s="1948"/>
      <c r="K95" s="1948"/>
      <c r="L95" s="2513"/>
      <c r="M95" s="2513"/>
      <c r="N95" s="2513"/>
      <c r="O95" s="2513"/>
      <c r="P95" s="2513"/>
      <c r="Q95" s="2521"/>
      <c r="R95" s="2521"/>
      <c r="S95" s="2521"/>
    </row>
    <row r="96" spans="1:20" s="2512" customFormat="1" x14ac:dyDescent="0.2">
      <c r="A96" s="1088"/>
      <c r="B96" s="1088"/>
      <c r="C96" s="2520"/>
      <c r="D96" s="2520"/>
      <c r="E96" s="2520"/>
      <c r="F96" s="1928"/>
      <c r="G96" s="1928"/>
      <c r="H96" s="1928"/>
      <c r="I96" s="2521"/>
      <c r="J96" s="2521"/>
      <c r="K96" s="2521"/>
      <c r="L96" s="1949"/>
      <c r="M96" s="2521"/>
      <c r="N96" s="2521"/>
      <c r="O96" s="2521"/>
      <c r="P96" s="2513"/>
      <c r="Q96" s="2521"/>
      <c r="R96" s="2521"/>
      <c r="S96" s="2521"/>
    </row>
    <row r="97" spans="1:20" s="2512" customFormat="1" x14ac:dyDescent="0.2">
      <c r="A97" s="1088"/>
      <c r="B97" s="1088"/>
      <c r="C97" s="1951" t="s">
        <v>4546</v>
      </c>
      <c r="D97" s="1952"/>
      <c r="E97" s="1952"/>
      <c r="F97" s="1089"/>
      <c r="G97" s="1089"/>
      <c r="H97" s="1089"/>
      <c r="I97" s="1951" t="s">
        <v>4525</v>
      </c>
      <c r="J97" s="1952"/>
      <c r="K97" s="1952"/>
      <c r="L97" s="1949"/>
      <c r="M97" s="2518" t="s">
        <v>5501</v>
      </c>
      <c r="N97" s="1934"/>
      <c r="O97" s="1952"/>
      <c r="P97" s="2513"/>
      <c r="Q97" s="2596"/>
      <c r="R97" s="2597"/>
      <c r="S97" s="2598"/>
      <c r="T97" s="2233"/>
    </row>
    <row r="98" spans="1:20" s="2512" customFormat="1" x14ac:dyDescent="0.2">
      <c r="A98" s="1088"/>
      <c r="B98" s="1088"/>
      <c r="C98" s="2789"/>
      <c r="D98" s="2789"/>
      <c r="E98" s="2789"/>
      <c r="F98" s="1928"/>
      <c r="G98" s="1928"/>
      <c r="H98" s="1928"/>
      <c r="I98" s="2794" t="s">
        <v>973</v>
      </c>
      <c r="J98" s="2794"/>
      <c r="K98" s="2794"/>
      <c r="L98" s="1949"/>
      <c r="M98" s="2794">
        <v>0</v>
      </c>
      <c r="N98" s="2794"/>
      <c r="O98" s="2794"/>
      <c r="P98" s="2513"/>
      <c r="Q98" s="2795"/>
      <c r="R98" s="2795"/>
      <c r="S98" s="2795"/>
      <c r="T98" s="2233"/>
    </row>
    <row r="99" spans="1:20" s="2512" customFormat="1" x14ac:dyDescent="0.2">
      <c r="A99" s="1088"/>
      <c r="B99" s="1088"/>
      <c r="C99" s="2789"/>
      <c r="D99" s="2789"/>
      <c r="E99" s="2789"/>
      <c r="F99" s="1928"/>
      <c r="G99" s="1928"/>
      <c r="H99" s="1928"/>
      <c r="I99" s="2794"/>
      <c r="J99" s="2794"/>
      <c r="K99" s="2794"/>
      <c r="L99" s="1949"/>
      <c r="M99" s="2794"/>
      <c r="N99" s="2794"/>
      <c r="O99" s="2794"/>
      <c r="P99" s="2513"/>
      <c r="Q99" s="2795"/>
      <c r="R99" s="2795"/>
      <c r="S99" s="2795"/>
      <c r="T99" s="2233"/>
    </row>
    <row r="100" spans="1:20" s="2512" customFormat="1" x14ac:dyDescent="0.2">
      <c r="A100" s="1088"/>
      <c r="B100" s="1088"/>
      <c r="C100" s="2789"/>
      <c r="D100" s="2789"/>
      <c r="E100" s="2789"/>
      <c r="F100" s="1928"/>
      <c r="G100" s="1928"/>
      <c r="H100" s="1928"/>
      <c r="I100" s="2794"/>
      <c r="J100" s="2794"/>
      <c r="K100" s="2794"/>
      <c r="L100" s="1949"/>
      <c r="M100" s="2794"/>
      <c r="N100" s="2794"/>
      <c r="O100" s="2794"/>
      <c r="P100" s="2513"/>
      <c r="Q100" s="2795"/>
      <c r="R100" s="2795"/>
      <c r="S100" s="2795"/>
      <c r="T100" s="2233"/>
    </row>
    <row r="101" spans="1:20" s="2512" customFormat="1" x14ac:dyDescent="0.2">
      <c r="A101" s="1088"/>
      <c r="B101" s="1088"/>
      <c r="C101" s="2520"/>
      <c r="D101" s="2520"/>
      <c r="E101" s="2520"/>
      <c r="F101" s="1928"/>
      <c r="G101" s="1928"/>
      <c r="H101" s="1928"/>
      <c r="I101" s="2521"/>
      <c r="J101" s="2521"/>
      <c r="K101" s="2521"/>
      <c r="L101" s="1949"/>
      <c r="M101" s="2521"/>
      <c r="N101" s="2521"/>
      <c r="O101" s="2521"/>
      <c r="P101" s="2513"/>
      <c r="Q101" s="2521"/>
      <c r="R101" s="2521"/>
      <c r="S101" s="2521"/>
    </row>
    <row r="102" spans="1:20" s="2590" customFormat="1" x14ac:dyDescent="0.2">
      <c r="A102" s="1088"/>
      <c r="B102" s="1088"/>
      <c r="C102" s="2520"/>
      <c r="D102" s="2520"/>
      <c r="E102" s="2520"/>
      <c r="F102" s="1928" t="s">
        <v>5565</v>
      </c>
      <c r="G102" s="1928"/>
      <c r="H102" s="2521"/>
      <c r="I102" s="2521"/>
      <c r="J102" s="2521"/>
      <c r="K102" s="2521"/>
      <c r="L102" s="1949"/>
      <c r="M102" s="2521">
        <f>SUM(M98:M101)</f>
        <v>0</v>
      </c>
      <c r="N102" s="2521"/>
      <c r="O102" s="2521"/>
      <c r="P102" s="2591"/>
      <c r="Q102" s="2521"/>
      <c r="R102" s="2521"/>
      <c r="S102" s="2521"/>
    </row>
    <row r="103" spans="1:20" s="2590" customFormat="1" x14ac:dyDescent="0.2">
      <c r="A103" s="1088"/>
      <c r="B103" s="1088"/>
      <c r="C103" s="2520"/>
      <c r="D103" s="2520"/>
      <c r="E103" s="2520"/>
      <c r="F103" s="1928" t="s">
        <v>5567</v>
      </c>
      <c r="G103" s="1928"/>
      <c r="H103" s="1928"/>
      <c r="I103" s="2521"/>
      <c r="J103" s="2521"/>
      <c r="K103" s="2521"/>
      <c r="L103" s="1949"/>
      <c r="M103" s="2521">
        <f>M102</f>
        <v>0</v>
      </c>
      <c r="N103" s="2521"/>
      <c r="O103" s="2521"/>
      <c r="P103" s="2591"/>
      <c r="Q103" s="2521"/>
      <c r="R103" s="2521"/>
      <c r="S103" s="2521"/>
    </row>
    <row r="104" spans="1:20" s="2590" customFormat="1" x14ac:dyDescent="0.2">
      <c r="A104" s="1088"/>
      <c r="B104" s="1088"/>
      <c r="C104" s="2520" t="s">
        <v>5569</v>
      </c>
      <c r="D104" s="2520"/>
      <c r="E104" s="2520"/>
      <c r="F104" s="1928"/>
      <c r="G104" s="1928"/>
      <c r="H104" s="1928"/>
      <c r="I104" s="2521"/>
      <c r="J104" s="2521"/>
      <c r="K104" s="2521"/>
      <c r="L104" s="1949"/>
      <c r="M104" s="2521"/>
      <c r="N104" s="2521"/>
      <c r="O104" s="2521"/>
      <c r="P104" s="2591"/>
      <c r="Q104" s="2521"/>
      <c r="R104" s="2521"/>
      <c r="S104" s="2521"/>
    </row>
    <row r="105" spans="1:20" s="2590" customFormat="1" x14ac:dyDescent="0.2">
      <c r="A105" s="1088"/>
      <c r="B105" s="1088"/>
      <c r="C105" s="2520"/>
      <c r="D105" s="2520"/>
      <c r="E105" s="2520"/>
      <c r="F105" s="1928"/>
      <c r="G105" s="1928"/>
      <c r="H105" s="1928"/>
      <c r="I105" s="2521"/>
      <c r="J105" s="2521"/>
      <c r="K105" s="2521"/>
      <c r="L105" s="1949"/>
      <c r="M105" s="2521"/>
      <c r="N105" s="2521"/>
      <c r="O105" s="2521"/>
      <c r="P105" s="2591"/>
      <c r="Q105" s="2521"/>
      <c r="R105" s="2521"/>
      <c r="S105" s="2521"/>
    </row>
    <row r="106" spans="1:20" s="2590" customFormat="1" x14ac:dyDescent="0.2">
      <c r="A106" s="1088"/>
      <c r="B106" s="1088"/>
      <c r="C106" s="1928" t="s">
        <v>5502</v>
      </c>
      <c r="D106" s="1947"/>
      <c r="E106" s="1947"/>
      <c r="F106" s="1089"/>
      <c r="G106" s="1089"/>
      <c r="H106" s="1089"/>
      <c r="I106" s="1948"/>
      <c r="J106" s="1948"/>
      <c r="K106" s="1948"/>
      <c r="L106" s="2591"/>
      <c r="M106" s="2591"/>
      <c r="N106" s="2521"/>
      <c r="O106" s="2521"/>
      <c r="P106" s="2591"/>
      <c r="Q106" s="2521"/>
      <c r="R106" s="2521"/>
      <c r="S106" s="2521"/>
    </row>
    <row r="107" spans="1:20" s="2590" customFormat="1" x14ac:dyDescent="0.2">
      <c r="A107" s="1088"/>
      <c r="B107" s="1088"/>
      <c r="C107" s="1928"/>
      <c r="D107" s="1947"/>
      <c r="E107" s="1947"/>
      <c r="F107" s="1089"/>
      <c r="G107" s="1089"/>
      <c r="H107" s="1089"/>
      <c r="I107" s="1948"/>
      <c r="J107" s="1948"/>
      <c r="K107" s="1948"/>
      <c r="L107" s="2591"/>
      <c r="M107" s="2591"/>
      <c r="N107" s="2521"/>
      <c r="O107" s="2521"/>
      <c r="P107" s="2591"/>
      <c r="Q107" s="2521"/>
      <c r="R107" s="2521"/>
      <c r="S107" s="2521"/>
    </row>
    <row r="108" spans="1:20" s="2590" customFormat="1" x14ac:dyDescent="0.2">
      <c r="A108" s="1088"/>
      <c r="B108" s="1088"/>
      <c r="C108" s="1928"/>
      <c r="D108" s="1947"/>
      <c r="E108" s="1947"/>
      <c r="F108" s="1089"/>
      <c r="G108" s="1089"/>
      <c r="H108" s="1089"/>
      <c r="I108" s="1948"/>
      <c r="J108" s="1948"/>
      <c r="K108" s="1948"/>
      <c r="L108" s="2591"/>
      <c r="M108" s="2591"/>
      <c r="N108" s="2521"/>
      <c r="O108" s="2521"/>
      <c r="P108" s="2591"/>
      <c r="Q108" s="2521"/>
      <c r="R108" s="2521"/>
      <c r="S108" s="2521"/>
    </row>
    <row r="109" spans="1:20" s="2590" customFormat="1" x14ac:dyDescent="0.2">
      <c r="A109" s="1088"/>
      <c r="B109" s="1088"/>
      <c r="C109" s="2599" t="s">
        <v>5568</v>
      </c>
      <c r="D109" s="2599"/>
      <c r="E109" s="2599"/>
      <c r="F109" s="2600"/>
      <c r="G109" s="2600"/>
      <c r="H109" s="2600"/>
      <c r="I109" s="2601"/>
      <c r="J109" s="2601"/>
      <c r="K109" s="2601"/>
      <c r="L109" s="2602"/>
      <c r="M109" s="2601">
        <f>M87+M102</f>
        <v>0</v>
      </c>
      <c r="N109" s="2521"/>
      <c r="O109" s="2521"/>
      <c r="P109" s="2591"/>
      <c r="Q109" s="2521"/>
      <c r="R109" s="2521"/>
      <c r="S109" s="2521"/>
    </row>
    <row r="110" spans="1:20" s="2590" customFormat="1" x14ac:dyDescent="0.2">
      <c r="A110" s="1088"/>
      <c r="B110" s="1088"/>
      <c r="C110" s="2520"/>
      <c r="D110" s="2520"/>
      <c r="E110" s="2520"/>
      <c r="F110" s="1928"/>
      <c r="G110" s="1928"/>
      <c r="H110" s="1928"/>
      <c r="I110" s="2521"/>
      <c r="J110" s="2521"/>
      <c r="K110" s="2521"/>
      <c r="L110" s="1949"/>
      <c r="M110" s="2521"/>
      <c r="N110" s="2521"/>
      <c r="O110" s="2521"/>
      <c r="P110" s="2591"/>
      <c r="Q110" s="2521"/>
      <c r="R110" s="2521"/>
      <c r="S110" s="2521"/>
    </row>
    <row r="111" spans="1:20" s="2590" customFormat="1" x14ac:dyDescent="0.2">
      <c r="A111" s="1088"/>
      <c r="B111" s="1088"/>
      <c r="C111" s="2520"/>
      <c r="D111" s="2520"/>
      <c r="E111" s="2520"/>
      <c r="F111" s="1928"/>
      <c r="G111" s="1928"/>
      <c r="H111" s="1928"/>
      <c r="I111" s="2521"/>
      <c r="J111" s="2521"/>
      <c r="K111" s="2521"/>
      <c r="L111" s="1949"/>
      <c r="M111" s="2521"/>
      <c r="N111" s="2521"/>
      <c r="O111" s="2521"/>
      <c r="P111" s="2591"/>
      <c r="Q111" s="2521"/>
      <c r="R111" s="2521"/>
      <c r="S111" s="2521"/>
    </row>
    <row r="112" spans="1:20" x14ac:dyDescent="0.2">
      <c r="A112" s="1088"/>
      <c r="B112" s="1089"/>
      <c r="C112" s="1928"/>
      <c r="D112" s="1947"/>
      <c r="E112" s="1947"/>
      <c r="F112" s="1089"/>
      <c r="G112" s="1089"/>
      <c r="H112" s="1089"/>
      <c r="I112" s="1948"/>
      <c r="J112" s="1948"/>
      <c r="K112" s="1948"/>
      <c r="L112" s="2513"/>
      <c r="M112" s="2513"/>
      <c r="N112" s="2513"/>
      <c r="O112" s="2513"/>
      <c r="P112" s="2513"/>
      <c r="Q112" s="2513"/>
      <c r="R112" s="2513"/>
      <c r="S112" s="2513"/>
      <c r="T112" s="2512"/>
    </row>
    <row r="113" spans="1:19" s="2590" customFormat="1" x14ac:dyDescent="0.2">
      <c r="A113" s="1945"/>
      <c r="B113" s="1945"/>
      <c r="C113" s="1946"/>
      <c r="D113" s="1946"/>
      <c r="E113" s="1946"/>
      <c r="F113" s="1946"/>
      <c r="G113" s="1946"/>
      <c r="H113" s="1946"/>
      <c r="I113" s="1946"/>
      <c r="J113" s="1946"/>
      <c r="K113" s="1946"/>
      <c r="L113" s="2591"/>
      <c r="M113" s="2591"/>
      <c r="N113" s="2591"/>
      <c r="O113" s="2591"/>
      <c r="P113" s="2591"/>
      <c r="Q113" s="2591"/>
      <c r="R113" s="2591"/>
      <c r="S113" s="2591"/>
    </row>
    <row r="114" spans="1:19" x14ac:dyDescent="0.2">
      <c r="A114" s="1945"/>
      <c r="B114" s="1945"/>
      <c r="C114" s="1946"/>
      <c r="D114" s="1946"/>
      <c r="E114" s="1946"/>
      <c r="F114" s="1946"/>
      <c r="G114" s="1946"/>
      <c r="H114" s="1946"/>
      <c r="I114" s="1946"/>
      <c r="J114" s="1946"/>
      <c r="K114" s="1946"/>
      <c r="L114" s="272"/>
      <c r="M114" s="272"/>
      <c r="N114" s="272"/>
      <c r="O114" s="272"/>
      <c r="P114" s="272"/>
      <c r="Q114" s="272"/>
      <c r="R114" s="272"/>
      <c r="S114" s="272"/>
    </row>
    <row r="115" spans="1:19" x14ac:dyDescent="0.2">
      <c r="A115"/>
      <c r="B115"/>
    </row>
    <row r="116" spans="1:19" x14ac:dyDescent="0.2">
      <c r="A116" s="1945"/>
      <c r="B116" s="1945"/>
      <c r="C116" s="1946" t="s">
        <v>5506</v>
      </c>
      <c r="D116" s="1946"/>
      <c r="E116" s="1946"/>
      <c r="F116" s="1946"/>
      <c r="G116" s="1946"/>
      <c r="H116" s="1946"/>
      <c r="I116" s="1946"/>
      <c r="J116" s="1946"/>
      <c r="K116" s="1946"/>
      <c r="L116" s="272"/>
      <c r="M116" s="272"/>
      <c r="N116" s="272"/>
      <c r="O116" s="272"/>
      <c r="P116" s="272"/>
      <c r="Q116" s="272"/>
      <c r="R116" s="272"/>
      <c r="S116" s="272"/>
    </row>
    <row r="117" spans="1:19" x14ac:dyDescent="0.2">
      <c r="A117" s="1945"/>
      <c r="B117" s="1945"/>
      <c r="C117" s="2003" t="s">
        <v>5256</v>
      </c>
      <c r="D117" s="2003"/>
      <c r="E117" s="2421"/>
      <c r="F117" s="2003"/>
      <c r="G117" s="2003"/>
      <c r="H117" s="2003"/>
      <c r="I117" s="2003"/>
      <c r="J117" s="2003"/>
      <c r="K117" s="1946"/>
      <c r="L117" s="272"/>
      <c r="M117" s="272"/>
      <c r="N117" s="272"/>
      <c r="O117" s="272"/>
      <c r="P117" s="272"/>
      <c r="Q117" s="272"/>
      <c r="R117" s="272"/>
      <c r="S117" s="272"/>
    </row>
    <row r="118" spans="1:19" x14ac:dyDescent="0.2">
      <c r="A118" s="1945"/>
      <c r="B118" s="1945"/>
      <c r="C118" s="1946"/>
      <c r="D118" s="1946"/>
      <c r="E118" s="1946"/>
      <c r="F118" s="1946"/>
      <c r="G118" s="1946"/>
      <c r="H118" s="1946"/>
      <c r="I118" s="1946"/>
      <c r="J118" s="1946"/>
      <c r="K118" s="1946"/>
      <c r="L118" s="272"/>
      <c r="M118" s="272"/>
      <c r="N118" s="272"/>
      <c r="O118" s="272"/>
      <c r="P118" s="272"/>
      <c r="Q118" s="272"/>
      <c r="R118" s="272"/>
      <c r="S118" s="272"/>
    </row>
    <row r="119" spans="1:19" s="1990" customFormat="1" x14ac:dyDescent="0.2">
      <c r="A119" s="1945"/>
      <c r="B119" s="1945"/>
      <c r="C119" s="1946"/>
      <c r="D119" s="1946"/>
      <c r="E119" s="1946"/>
      <c r="F119" s="1946"/>
      <c r="G119" s="1946"/>
      <c r="H119" s="1946"/>
      <c r="I119" s="1946"/>
      <c r="J119" s="1946"/>
      <c r="K119" s="1946"/>
      <c r="L119" s="1991"/>
      <c r="M119" s="1991"/>
      <c r="N119" s="1991"/>
      <c r="O119" s="1991"/>
      <c r="P119" s="1991"/>
      <c r="Q119" s="1991"/>
      <c r="R119" s="1991"/>
      <c r="S119" s="1991"/>
    </row>
    <row r="120" spans="1:19" s="1990" customFormat="1" x14ac:dyDescent="0.2">
      <c r="A120" s="1945"/>
      <c r="B120" s="1945"/>
      <c r="C120" s="2003"/>
      <c r="D120" s="2003"/>
      <c r="E120" s="2003"/>
      <c r="F120" s="1946"/>
      <c r="G120" s="1946"/>
      <c r="H120" s="1946"/>
      <c r="I120" s="1946"/>
      <c r="J120" s="1946"/>
      <c r="K120" s="1946"/>
      <c r="L120" s="1991"/>
      <c r="M120" s="1991"/>
      <c r="N120" s="1991"/>
      <c r="O120" s="1991"/>
      <c r="P120" s="1991"/>
      <c r="Q120" s="1991"/>
      <c r="R120" s="1991"/>
      <c r="S120" s="1991"/>
    </row>
    <row r="121" spans="1:19" s="1990" customFormat="1" x14ac:dyDescent="0.2">
      <c r="A121" s="1945"/>
      <c r="B121" s="1945"/>
      <c r="C121" s="2796" t="s">
        <v>4548</v>
      </c>
      <c r="D121" s="2796"/>
      <c r="E121" s="2796"/>
      <c r="F121" s="1946"/>
      <c r="G121" s="1946"/>
      <c r="H121" s="1946"/>
      <c r="I121" s="1946"/>
      <c r="J121" s="1946"/>
      <c r="K121" s="1946"/>
      <c r="L121" s="1991"/>
      <c r="M121" s="1991"/>
      <c r="N121" s="1991"/>
      <c r="O121" s="1991"/>
      <c r="P121" s="1991"/>
      <c r="Q121" s="1991"/>
      <c r="R121" s="1991"/>
      <c r="S121" s="1991"/>
    </row>
    <row r="122" spans="1:19" ht="17.25" customHeight="1" x14ac:dyDescent="0.2">
      <c r="A122" s="1945"/>
      <c r="B122" s="1945"/>
      <c r="C122" s="2797"/>
      <c r="D122" s="2797"/>
      <c r="E122" s="2797"/>
      <c r="F122" s="1946"/>
      <c r="G122" s="2798"/>
      <c r="H122" s="2797"/>
      <c r="I122" s="2797"/>
      <c r="J122" s="2797"/>
      <c r="K122" s="1946"/>
      <c r="L122" s="272"/>
      <c r="M122" s="272"/>
      <c r="N122" s="272"/>
      <c r="O122" s="272"/>
      <c r="P122" s="272"/>
      <c r="Q122" s="272"/>
      <c r="R122" s="272"/>
      <c r="S122" s="272"/>
    </row>
    <row r="123" spans="1:19" x14ac:dyDescent="0.2">
      <c r="A123" s="1945"/>
      <c r="B123" s="1945"/>
      <c r="C123" s="2796" t="s">
        <v>4549</v>
      </c>
      <c r="D123" s="2796"/>
      <c r="E123" s="2796"/>
      <c r="F123" s="1946"/>
      <c r="G123" s="2796" t="s">
        <v>1307</v>
      </c>
      <c r="H123" s="2796"/>
      <c r="I123" s="2796"/>
      <c r="J123" s="2796"/>
      <c r="K123" s="1946"/>
      <c r="L123" s="272"/>
      <c r="M123" s="272"/>
      <c r="N123" s="272"/>
      <c r="O123" s="272"/>
      <c r="P123" s="272"/>
      <c r="Q123" s="272"/>
      <c r="R123" s="272"/>
      <c r="S123" s="272"/>
    </row>
    <row r="124" spans="1:19" x14ac:dyDescent="0.2">
      <c r="A124" s="1945"/>
      <c r="B124" s="1945"/>
      <c r="C124" s="1946"/>
      <c r="D124" s="1946"/>
      <c r="E124" s="1946"/>
      <c r="F124" s="1946"/>
      <c r="G124" s="1946"/>
      <c r="H124" s="1946"/>
      <c r="I124" s="1946"/>
      <c r="J124" s="1946"/>
      <c r="K124" s="1946"/>
      <c r="L124" s="272"/>
      <c r="M124" s="272"/>
      <c r="N124" s="272"/>
      <c r="O124" s="272"/>
      <c r="P124" s="272"/>
      <c r="Q124" s="272"/>
      <c r="R124" s="272"/>
      <c r="S124" s="272"/>
    </row>
    <row r="125" spans="1:19" x14ac:dyDescent="0.2">
      <c r="A125" s="1945"/>
      <c r="B125" s="1945"/>
      <c r="C125" s="1946"/>
      <c r="D125" s="1946"/>
      <c r="E125" s="1946"/>
      <c r="F125" s="1946"/>
      <c r="G125" s="1946"/>
      <c r="H125" s="1946"/>
      <c r="I125" s="1946"/>
      <c r="J125" s="1946"/>
      <c r="K125" s="1946"/>
    </row>
  </sheetData>
  <sheetProtection algorithmName="SHA-512" hashValue="UPDdVj0ByOqjv6LLeevgMzSNyOi4Z0r/bCKFUK3htr+6CukGeRioEFB7XDMxFk+0TwvkvSN48mF16AqiS7yaDw==" saltValue="Y8kzO3yGsX8BBoK74D7Eaw==" spinCount="100000" sheet="1" objects="1" scenarios="1" autoFilter="0"/>
  <mergeCells count="76">
    <mergeCell ref="P10:R10"/>
    <mergeCell ref="S1:S3"/>
    <mergeCell ref="P7:R7"/>
    <mergeCell ref="P8:R8"/>
    <mergeCell ref="P9:R9"/>
    <mergeCell ref="C35:E35"/>
    <mergeCell ref="I35:K35"/>
    <mergeCell ref="O35:Q35"/>
    <mergeCell ref="C36:E36"/>
    <mergeCell ref="I36:K36"/>
    <mergeCell ref="O36:Q36"/>
    <mergeCell ref="I57:K57"/>
    <mergeCell ref="O57:Q57"/>
    <mergeCell ref="C37:E37"/>
    <mergeCell ref="I37:K37"/>
    <mergeCell ref="O37:Q37"/>
    <mergeCell ref="C38:E38"/>
    <mergeCell ref="I38:K38"/>
    <mergeCell ref="O38:Q38"/>
    <mergeCell ref="C121:E121"/>
    <mergeCell ref="C123:E123"/>
    <mergeCell ref="G123:J123"/>
    <mergeCell ref="C122:E122"/>
    <mergeCell ref="G122:J122"/>
    <mergeCell ref="C60:E60"/>
    <mergeCell ref="I60:K60"/>
    <mergeCell ref="O60:Q60"/>
    <mergeCell ref="C39:E39"/>
    <mergeCell ref="I39:K39"/>
    <mergeCell ref="O39:Q39"/>
    <mergeCell ref="C58:E58"/>
    <mergeCell ref="I58:K58"/>
    <mergeCell ref="O58:Q58"/>
    <mergeCell ref="C59:E59"/>
    <mergeCell ref="I59:K59"/>
    <mergeCell ref="O59:Q59"/>
    <mergeCell ref="C56:E56"/>
    <mergeCell ref="I56:K56"/>
    <mergeCell ref="O56:Q56"/>
    <mergeCell ref="C57:E57"/>
    <mergeCell ref="C73:E73"/>
    <mergeCell ref="I73:K73"/>
    <mergeCell ref="M73:O73"/>
    <mergeCell ref="Q73:S73"/>
    <mergeCell ref="C74:E74"/>
    <mergeCell ref="I74:K74"/>
    <mergeCell ref="M74:O74"/>
    <mergeCell ref="Q74:S74"/>
    <mergeCell ref="C75:E75"/>
    <mergeCell ref="I75:K75"/>
    <mergeCell ref="M75:O75"/>
    <mergeCell ref="Q75:S75"/>
    <mergeCell ref="C82:E82"/>
    <mergeCell ref="I82:K82"/>
    <mergeCell ref="M82:O82"/>
    <mergeCell ref="Q82:S82"/>
    <mergeCell ref="C83:E83"/>
    <mergeCell ref="I83:K83"/>
    <mergeCell ref="M83:O83"/>
    <mergeCell ref="Q83:S83"/>
    <mergeCell ref="C84:E84"/>
    <mergeCell ref="I84:K84"/>
    <mergeCell ref="M84:O84"/>
    <mergeCell ref="Q84:S84"/>
    <mergeCell ref="C100:E100"/>
    <mergeCell ref="I100:K100"/>
    <mergeCell ref="M100:O100"/>
    <mergeCell ref="Q100:S100"/>
    <mergeCell ref="C98:E98"/>
    <mergeCell ref="I98:K98"/>
    <mergeCell ref="M98:O98"/>
    <mergeCell ref="Q98:S98"/>
    <mergeCell ref="C99:E99"/>
    <mergeCell ref="I99:K99"/>
    <mergeCell ref="M99:O99"/>
    <mergeCell ref="Q99:S99"/>
  </mergeCells>
  <conditionalFormatting sqref="T1:T3">
    <cfRule type="cellIs" dxfId="160" priority="8" stopIfTrue="1" operator="equal">
      <formula>"na"</formula>
    </cfRule>
  </conditionalFormatting>
  <conditionalFormatting sqref="S1:S3">
    <cfRule type="cellIs" dxfId="159" priority="7" stopIfTrue="1" operator="equal">
      <formula>"na"</formula>
    </cfRule>
  </conditionalFormatting>
  <conditionalFormatting sqref="T16">
    <cfRule type="containsText" dxfId="158" priority="6" stopIfTrue="1" operator="containsText" text="Answer Missing">
      <formula>NOT(ISERROR(SEARCH("Answer Missing",T16)))</formula>
    </cfRule>
  </conditionalFormatting>
  <conditionalFormatting sqref="T28:T29">
    <cfRule type="containsText" dxfId="157" priority="5" stopIfTrue="1" operator="containsText" text="Answer Missing">
      <formula>NOT(ISERROR(SEARCH("Answer Missing",T28)))</formula>
    </cfRule>
  </conditionalFormatting>
  <conditionalFormatting sqref="T50">
    <cfRule type="containsText" dxfId="156" priority="4" stopIfTrue="1" operator="containsText" text="Answer Missing">
      <formula>NOT(ISERROR(SEARCH("Answer Missing",T50)))</formula>
    </cfRule>
  </conditionalFormatting>
  <conditionalFormatting sqref="T62">
    <cfRule type="containsText" dxfId="155" priority="3" stopIfTrue="1" operator="containsText" text="Answer Missing">
      <formula>NOT(ISERROR(SEARCH("Answer Missing",T62)))</formula>
    </cfRule>
  </conditionalFormatting>
  <conditionalFormatting sqref="T64">
    <cfRule type="containsText" dxfId="154" priority="2" stopIfTrue="1" operator="containsText" text="Answer Missing">
      <formula>NOT(ISERROR(SEARCH("Answer Missing",T64)))</formula>
    </cfRule>
  </conditionalFormatting>
  <conditionalFormatting sqref="T93">
    <cfRule type="containsText" dxfId="153" priority="1" stopIfTrue="1" operator="containsText" text="Answer Missing">
      <formula>NOT(ISERROR(SEARCH("Answer Missing",T93)))</formula>
    </cfRule>
  </conditionalFormatting>
  <dataValidations count="4">
    <dataValidation type="list" allowBlank="1" showInputMessage="1" showErrorMessage="1" sqref="M35:M39 M56:M60" xr:uid="{35C47201-C00D-4286-9324-B51FE6CB0AF5}">
      <formula1>"Acquisition, Retirement, Cost"</formula1>
    </dataValidation>
    <dataValidation type="decimal" operator="lessThanOrEqual" allowBlank="1" showInputMessage="1" showErrorMessage="1" sqref="T77" xr:uid="{EE14B19D-12A4-47E5-B378-16479DDDA1E9}">
      <formula1>0</formula1>
    </dataValidation>
    <dataValidation type="decimal" operator="lessThanOrEqual" allowBlank="1" showInputMessage="1" showErrorMessage="1" error="Amount must be negative." sqref="Q73:S75" xr:uid="{03A08CB5-BC01-44B8-87D1-A4FC3B17F7F0}">
      <formula1>0</formula1>
    </dataValidation>
    <dataValidation type="whole" operator="greaterThan" allowBlank="1" showInputMessage="1" showErrorMessage="1" error="Amount must be positive" sqref="M73:O75 M82:O84" xr:uid="{9504F22C-91EF-4FE2-B844-AE84F8DB9C43}">
      <formula1>0</formula1>
    </dataValidation>
  </dataValidations>
  <hyperlinks>
    <hyperlink ref="C1:L1" location="Index!A1" display="Index!A1" xr:uid="{D426925A-BA57-468F-9B85-CFCE9887AD49}"/>
  </hyperlinks>
  <pageMargins left="0.7" right="0.7" top="0.75" bottom="0.75" header="0.3" footer="0.3"/>
  <pageSetup scale="42" orientation="portrait" r:id="rId1"/>
  <headerFooter>
    <oddFooter>&amp;R203</oddFooter>
  </headerFooter>
  <ignoredErrors>
    <ignoredError sqref="M86 M87 M102:M103 M109 M77"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59"/>
  <sheetViews>
    <sheetView showGridLines="0" zoomScaleNormal="100" workbookViewId="0">
      <selection activeCell="G17" sqref="G17"/>
    </sheetView>
  </sheetViews>
  <sheetFormatPr defaultColWidth="8" defaultRowHeight="12.75" x14ac:dyDescent="0.2"/>
  <cols>
    <col min="1" max="1" width="0.28515625" style="927" customWidth="1"/>
    <col min="2" max="2" width="13" style="927" customWidth="1"/>
    <col min="3" max="3" width="3.5703125" style="927" customWidth="1"/>
    <col min="4" max="4" width="13" style="927" customWidth="1"/>
    <col min="5" max="5" width="12.85546875" style="927" customWidth="1"/>
    <col min="6" max="6" width="7" style="927" customWidth="1"/>
    <col min="7" max="7" width="20.42578125" style="927" customWidth="1"/>
    <col min="8" max="8" width="1.5703125" style="927" customWidth="1"/>
    <col min="9" max="9" width="14" style="927" customWidth="1"/>
    <col min="10" max="10" width="1.5703125" style="927" customWidth="1"/>
    <col min="11" max="11" width="14.5703125" style="927" customWidth="1"/>
    <col min="12" max="12" width="1.5703125" style="927" customWidth="1"/>
    <col min="13" max="13" width="20.5703125" style="927" customWidth="1"/>
    <col min="14" max="14" width="1.5703125" style="927" customWidth="1"/>
    <col min="15" max="15" width="21.28515625" style="927" customWidth="1"/>
    <col min="16" max="16" width="1.5703125" style="927" customWidth="1"/>
    <col min="17" max="17" width="21" style="927" customWidth="1"/>
    <col min="18" max="18" width="4.5703125" style="927" customWidth="1"/>
    <col min="19" max="20" width="14.42578125" style="927" customWidth="1"/>
    <col min="21" max="21" width="14.42578125" style="2280" customWidth="1"/>
    <col min="22" max="22" width="14.42578125" style="2277" customWidth="1"/>
    <col min="23" max="234" width="14.42578125" style="927" customWidth="1"/>
    <col min="235" max="16384" width="8" style="927"/>
  </cols>
  <sheetData>
    <row r="1" spans="2:22" s="465" customFormat="1" ht="15" customHeight="1" x14ac:dyDescent="0.25">
      <c r="B1" s="2800" t="str">
        <f>+Index!$A$1</f>
        <v xml:space="preserve">                                                               Office of the State Controller                                                                </v>
      </c>
      <c r="C1" s="2800"/>
      <c r="D1" s="2800"/>
      <c r="E1" s="2800"/>
      <c r="F1" s="2800"/>
      <c r="G1" s="2800"/>
      <c r="H1" s="2800"/>
      <c r="I1" s="2800"/>
      <c r="J1" s="2800"/>
      <c r="K1" s="2800"/>
      <c r="L1" s="2800"/>
      <c r="M1" s="2800"/>
      <c r="N1" s="2800"/>
      <c r="O1" s="2800"/>
      <c r="P1" s="2800"/>
      <c r="Q1" s="2800"/>
      <c r="R1" s="2775" t="str">
        <f>IF(Index!$B$24="na","NA","")</f>
        <v/>
      </c>
      <c r="S1" s="924"/>
      <c r="T1" s="924"/>
      <c r="U1" s="2281"/>
    </row>
    <row r="2" spans="2:22" s="465" customFormat="1" ht="15" customHeight="1" x14ac:dyDescent="0.25">
      <c r="B2" s="2801" t="str">
        <f>+Index!$A$2</f>
        <v>2022 ACFR Worksheets</v>
      </c>
      <c r="C2" s="2801"/>
      <c r="D2" s="2801"/>
      <c r="E2" s="2801"/>
      <c r="F2" s="2801"/>
      <c r="G2" s="2801"/>
      <c r="H2" s="2801"/>
      <c r="I2" s="2801"/>
      <c r="J2" s="2801"/>
      <c r="K2" s="2801"/>
      <c r="L2" s="2801"/>
      <c r="M2" s="2801"/>
      <c r="N2" s="2801"/>
      <c r="O2" s="2801"/>
      <c r="P2" s="2801"/>
      <c r="Q2" s="2801"/>
      <c r="R2" s="2775"/>
      <c r="S2" s="924"/>
      <c r="T2" s="924"/>
      <c r="U2" s="2281"/>
    </row>
    <row r="3" spans="2:22" s="465" customFormat="1" ht="15" customHeight="1" x14ac:dyDescent="0.25">
      <c r="B3" s="2801" t="s">
        <v>5489</v>
      </c>
      <c r="C3" s="2801"/>
      <c r="D3" s="2801"/>
      <c r="E3" s="2801"/>
      <c r="F3" s="2801"/>
      <c r="G3" s="2801"/>
      <c r="H3" s="2801"/>
      <c r="I3" s="2801"/>
      <c r="J3" s="2801"/>
      <c r="K3" s="2801"/>
      <c r="L3" s="2801"/>
      <c r="M3" s="2801"/>
      <c r="N3" s="2801"/>
      <c r="O3" s="2801"/>
      <c r="P3" s="2801"/>
      <c r="Q3" s="2801"/>
      <c r="R3" s="2775"/>
      <c r="S3" s="924"/>
      <c r="T3" s="924"/>
      <c r="U3" s="2281"/>
    </row>
    <row r="4" spans="2:22" s="465" customFormat="1" ht="15" customHeight="1" x14ac:dyDescent="0.3">
      <c r="B4" s="925"/>
      <c r="C4" s="925"/>
      <c r="D4" s="925"/>
      <c r="E4" s="925"/>
      <c r="F4" s="466"/>
      <c r="G4" s="466"/>
      <c r="H4" s="466"/>
      <c r="I4" s="760" t="s">
        <v>1829</v>
      </c>
      <c r="J4" s="466"/>
      <c r="K4" s="466"/>
      <c r="L4" s="466"/>
      <c r="N4" s="466"/>
      <c r="P4" s="466"/>
      <c r="Q4" s="926"/>
      <c r="R4" s="466"/>
      <c r="S4" s="924"/>
      <c r="T4" s="924"/>
      <c r="U4" s="2281"/>
    </row>
    <row r="5" spans="2:22" ht="15" customHeight="1" x14ac:dyDescent="0.2">
      <c r="B5" s="467"/>
      <c r="C5" s="467"/>
      <c r="D5" s="468"/>
      <c r="G5" s="467" t="s">
        <v>327</v>
      </c>
      <c r="H5" s="467"/>
      <c r="I5" s="2802" t="str">
        <f>+Index!$E$10</f>
        <v>01</v>
      </c>
      <c r="J5" s="2802"/>
      <c r="K5" s="2802"/>
      <c r="L5" s="2802"/>
      <c r="M5" s="2802"/>
      <c r="N5" s="2802"/>
      <c r="O5" s="2802"/>
      <c r="P5" s="2802"/>
      <c r="Q5" s="2802"/>
      <c r="R5" s="928"/>
      <c r="T5" s="928"/>
      <c r="U5" s="2282"/>
    </row>
    <row r="6" spans="2:22" ht="15" customHeight="1" x14ac:dyDescent="0.2">
      <c r="B6" s="2266" t="s">
        <v>4981</v>
      </c>
      <c r="C6" s="494"/>
      <c r="D6" s="2394" t="s">
        <v>4982</v>
      </c>
      <c r="G6" s="927" t="s">
        <v>1154</v>
      </c>
      <c r="I6" s="2799" t="str">
        <f>+Index!$E$11</f>
        <v>North Carolina General Assembly</v>
      </c>
      <c r="J6" s="2799"/>
      <c r="K6" s="2799"/>
      <c r="L6" s="2799"/>
      <c r="M6" s="2799"/>
      <c r="N6" s="2799"/>
      <c r="O6" s="2799"/>
      <c r="P6" s="2799"/>
      <c r="Q6" s="2799"/>
      <c r="R6" s="929"/>
      <c r="S6" s="929"/>
      <c r="T6" s="929"/>
      <c r="U6" s="2283"/>
    </row>
    <row r="7" spans="2:22" ht="15" customHeight="1" x14ac:dyDescent="0.2">
      <c r="B7" s="467" t="s">
        <v>477</v>
      </c>
      <c r="C7" s="467"/>
      <c r="D7" s="930"/>
      <c r="G7" s="927" t="s">
        <v>972</v>
      </c>
      <c r="I7" s="2803" t="str">
        <f>CONCATENATE(Index!$E$12," ",Index!$E$14)</f>
        <v xml:space="preserve"> </v>
      </c>
      <c r="J7" s="2803"/>
      <c r="K7" s="2803"/>
      <c r="L7" s="2803"/>
      <c r="M7" s="2803"/>
      <c r="N7" s="2803"/>
      <c r="O7" s="2803"/>
      <c r="P7" s="2803"/>
      <c r="Q7" s="2803"/>
    </row>
    <row r="8" spans="2:22" ht="15" customHeight="1" x14ac:dyDescent="0.2">
      <c r="B8" s="467"/>
      <c r="C8" s="467"/>
      <c r="D8" s="931"/>
      <c r="G8" s="927" t="s">
        <v>348</v>
      </c>
      <c r="I8" s="2804">
        <f>+Index!$E$13</f>
        <v>0</v>
      </c>
      <c r="J8" s="2804"/>
      <c r="K8" s="2804"/>
      <c r="L8" s="2804"/>
      <c r="M8" s="2804"/>
      <c r="N8" s="2804"/>
      <c r="O8" s="2804"/>
      <c r="P8" s="2804"/>
      <c r="Q8" s="2804"/>
    </row>
    <row r="9" spans="2:22" ht="15" customHeight="1" thickBot="1" x14ac:dyDescent="0.25">
      <c r="B9" s="932"/>
      <c r="C9" s="932"/>
      <c r="D9" s="932"/>
      <c r="E9" s="932"/>
      <c r="F9" s="932"/>
      <c r="G9" s="932"/>
      <c r="H9" s="932"/>
      <c r="I9" s="932"/>
      <c r="J9" s="932"/>
      <c r="K9" s="932"/>
      <c r="L9" s="932"/>
      <c r="M9" s="932"/>
      <c r="N9" s="932"/>
      <c r="O9" s="932"/>
      <c r="P9" s="932"/>
      <c r="Q9" s="932"/>
    </row>
    <row r="10" spans="2:22" s="2277" customFormat="1" ht="12" customHeight="1" x14ac:dyDescent="0.2">
      <c r="B10" s="1241" t="s">
        <v>1831</v>
      </c>
      <c r="C10" s="2278"/>
      <c r="D10" s="2278"/>
      <c r="E10" s="2278"/>
      <c r="F10" s="2278"/>
      <c r="I10" s="2279" t="s">
        <v>4983</v>
      </c>
      <c r="J10" s="2279"/>
      <c r="K10" s="2279" t="s">
        <v>4984</v>
      </c>
      <c r="L10" s="2279"/>
      <c r="M10" s="2279" t="s">
        <v>4986</v>
      </c>
      <c r="N10" s="2279"/>
      <c r="O10" s="2279" t="s">
        <v>4988</v>
      </c>
      <c r="U10" s="2280"/>
    </row>
    <row r="11" spans="2:22" s="469" customFormat="1" ht="15" customHeight="1" x14ac:dyDescent="0.2">
      <c r="G11" s="470" t="s">
        <v>249</v>
      </c>
      <c r="I11" s="470"/>
      <c r="K11" s="470"/>
      <c r="M11" s="470"/>
      <c r="O11" s="470"/>
      <c r="P11" s="927"/>
      <c r="Q11" s="470" t="s">
        <v>249</v>
      </c>
      <c r="R11" s="927"/>
      <c r="S11" s="927"/>
      <c r="T11" s="927"/>
      <c r="U11" s="2284"/>
    </row>
    <row r="12" spans="2:22" s="469" customFormat="1" ht="15" customHeight="1" x14ac:dyDescent="0.2">
      <c r="G12" s="471" t="s">
        <v>379</v>
      </c>
      <c r="I12" s="471"/>
      <c r="K12" s="471"/>
      <c r="M12" s="471" t="s">
        <v>249</v>
      </c>
      <c r="O12" s="471" t="s">
        <v>249</v>
      </c>
      <c r="P12" s="927"/>
      <c r="Q12" s="471" t="s">
        <v>379</v>
      </c>
      <c r="R12" s="927"/>
      <c r="S12" s="927"/>
      <c r="T12" s="927"/>
      <c r="U12" s="2284"/>
    </row>
    <row r="13" spans="2:22" s="469" customFormat="1" ht="15" customHeight="1" x14ac:dyDescent="0.2">
      <c r="G13" s="471" t="s">
        <v>1160</v>
      </c>
      <c r="I13" s="471" t="s">
        <v>648</v>
      </c>
      <c r="K13" s="471" t="s">
        <v>1918</v>
      </c>
      <c r="M13" s="471" t="s">
        <v>379</v>
      </c>
      <c r="O13" s="471" t="s">
        <v>379</v>
      </c>
      <c r="P13" s="927"/>
      <c r="Q13" s="83" t="s">
        <v>1160</v>
      </c>
      <c r="R13" s="927"/>
      <c r="S13" s="927"/>
      <c r="T13" s="927"/>
      <c r="U13" s="2284"/>
    </row>
    <row r="14" spans="2:22" s="469" customFormat="1" ht="15" customHeight="1" x14ac:dyDescent="0.35">
      <c r="B14" s="472" t="s">
        <v>132</v>
      </c>
      <c r="G14" s="86" t="str">
        <f>+TEXT(Data!$A$3,"mmmm d, yyyy")</f>
        <v>July 1, 2021</v>
      </c>
      <c r="I14" s="473" t="s">
        <v>1052</v>
      </c>
      <c r="K14" s="474" t="s">
        <v>1919</v>
      </c>
      <c r="M14" s="473" t="s">
        <v>1057</v>
      </c>
      <c r="O14" s="474" t="s">
        <v>1058</v>
      </c>
      <c r="P14" s="927"/>
      <c r="Q14" s="85" t="str">
        <f>TEXT(Data!$A$2,"mmmm d, yyyy")</f>
        <v>June 30, 2022</v>
      </c>
      <c r="R14" s="475"/>
      <c r="S14" s="927"/>
      <c r="T14" s="927"/>
      <c r="U14" s="2284"/>
    </row>
    <row r="15" spans="2:22" s="469" customFormat="1" ht="15" hidden="1" customHeight="1" x14ac:dyDescent="0.35">
      <c r="G15" s="476" t="s">
        <v>564</v>
      </c>
      <c r="I15" s="476" t="s">
        <v>0</v>
      </c>
      <c r="K15" s="469" t="s">
        <v>927</v>
      </c>
      <c r="M15" s="476" t="s">
        <v>928</v>
      </c>
      <c r="O15" s="469" t="s">
        <v>929</v>
      </c>
      <c r="P15" s="927"/>
      <c r="Q15" s="247" t="s">
        <v>1817</v>
      </c>
      <c r="R15" s="475"/>
      <c r="S15" s="927"/>
      <c r="T15" s="927"/>
      <c r="U15" s="2284"/>
    </row>
    <row r="16" spans="2:22" ht="21.75" customHeight="1" x14ac:dyDescent="0.2">
      <c r="B16" s="912" t="s">
        <v>419</v>
      </c>
      <c r="C16" s="477"/>
      <c r="D16" s="477"/>
      <c r="E16" s="477"/>
      <c r="G16" s="916"/>
      <c r="H16" s="933"/>
      <c r="I16" s="916">
        <v>0</v>
      </c>
      <c r="J16" s="933"/>
      <c r="K16" s="933"/>
      <c r="L16" s="933"/>
      <c r="M16" s="916">
        <v>0</v>
      </c>
      <c r="N16" s="933"/>
      <c r="O16" s="916">
        <f>+G16-M16</f>
        <v>0</v>
      </c>
      <c r="Q16" s="916">
        <f>+M16-O16</f>
        <v>0</v>
      </c>
      <c r="R16" s="934"/>
      <c r="V16" s="2285"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927">
        <v>4</v>
      </c>
      <c r="B17" s="2786" t="s">
        <v>420</v>
      </c>
      <c r="C17" s="2786"/>
      <c r="D17" s="2786"/>
      <c r="E17" s="2786"/>
      <c r="G17" s="914" t="str">
        <f>IFERROR(HLOOKUP($I$5,PriorYr905!$E$259:$AH$275,5,FALSE),"")</f>
        <v/>
      </c>
      <c r="H17" s="933"/>
      <c r="I17" s="914"/>
      <c r="J17" s="933"/>
      <c r="K17" s="1400"/>
      <c r="L17" s="933"/>
      <c r="M17" s="914"/>
      <c r="N17" s="933"/>
      <c r="O17" s="914"/>
      <c r="P17" s="933"/>
      <c r="Q17" s="915">
        <f t="shared" ref="Q17:Q30" si="0">SUM(G17:P17)</f>
        <v>0</v>
      </c>
      <c r="R17" s="934"/>
      <c r="U17" s="2285">
        <v>12791000</v>
      </c>
    </row>
    <row r="18" spans="1:21" ht="21.75" customHeight="1" x14ac:dyDescent="0.2">
      <c r="A18" s="927">
        <v>5</v>
      </c>
      <c r="B18" s="2786" t="s">
        <v>498</v>
      </c>
      <c r="C18" s="2786"/>
      <c r="D18" s="2786"/>
      <c r="E18" s="2786"/>
      <c r="G18" s="914" t="str">
        <f>IFERROR(HLOOKUP($I$5,PriorYr905!$E$259:$AH$275,6,FALSE),"")</f>
        <v/>
      </c>
      <c r="H18" s="933"/>
      <c r="I18" s="914"/>
      <c r="J18" s="933"/>
      <c r="K18" s="1399"/>
      <c r="L18" s="933"/>
      <c r="M18" s="914"/>
      <c r="N18" s="933"/>
      <c r="O18" s="914"/>
      <c r="P18" s="933"/>
      <c r="Q18" s="915">
        <f t="shared" si="0"/>
        <v>0</v>
      </c>
      <c r="R18" s="934"/>
      <c r="U18" s="2285">
        <v>12793600</v>
      </c>
    </row>
    <row r="19" spans="1:21" ht="21.75" customHeight="1" x14ac:dyDescent="0.2">
      <c r="A19" s="927">
        <v>6</v>
      </c>
      <c r="B19" s="2786" t="s">
        <v>3514</v>
      </c>
      <c r="C19" s="2786"/>
      <c r="D19" s="2786"/>
      <c r="E19" s="2786"/>
      <c r="G19" s="914" t="str">
        <f>IFERROR(HLOOKUP($I$5,PriorYr905!$E$259:$AH$275,7,FALSE),"")</f>
        <v/>
      </c>
      <c r="H19" s="933"/>
      <c r="I19" s="914"/>
      <c r="J19" s="933"/>
      <c r="K19" s="1399"/>
      <c r="L19" s="933"/>
      <c r="M19" s="914"/>
      <c r="N19" s="933"/>
      <c r="O19" s="914"/>
      <c r="P19" s="933"/>
      <c r="Q19" s="915">
        <f t="shared" si="0"/>
        <v>0</v>
      </c>
      <c r="R19" s="934"/>
      <c r="U19" s="2285">
        <v>12794000</v>
      </c>
    </row>
    <row r="20" spans="1:21" ht="21.75" customHeight="1" x14ac:dyDescent="0.2">
      <c r="A20" s="927">
        <v>7</v>
      </c>
      <c r="B20" s="2786" t="s">
        <v>3515</v>
      </c>
      <c r="C20" s="2786"/>
      <c r="D20" s="2786"/>
      <c r="E20" s="2786"/>
      <c r="G20" s="914" t="str">
        <f>IFERROR(HLOOKUP($I$5,PriorYr905!$E$259:$AH$275,8,FALSE),"")</f>
        <v/>
      </c>
      <c r="H20" s="933"/>
      <c r="I20" s="914"/>
      <c r="J20" s="933"/>
      <c r="K20" s="1399"/>
      <c r="L20" s="933"/>
      <c r="M20" s="914"/>
      <c r="N20" s="933"/>
      <c r="O20" s="914"/>
      <c r="P20" s="933"/>
      <c r="Q20" s="915">
        <f t="shared" si="0"/>
        <v>0</v>
      </c>
      <c r="R20" s="934"/>
      <c r="U20" s="2285">
        <v>12792000</v>
      </c>
    </row>
    <row r="21" spans="1:21" ht="21.75" customHeight="1" x14ac:dyDescent="0.2">
      <c r="A21" s="927">
        <v>8</v>
      </c>
      <c r="B21" s="2786" t="s">
        <v>946</v>
      </c>
      <c r="C21" s="2786"/>
      <c r="D21" s="2786"/>
      <c r="E21" s="2786"/>
      <c r="G21" s="914"/>
      <c r="H21" s="933"/>
      <c r="I21" s="935"/>
      <c r="J21" s="933"/>
      <c r="K21" s="1399"/>
      <c r="L21" s="933"/>
      <c r="M21" s="935"/>
      <c r="N21" s="933"/>
      <c r="O21" s="935"/>
      <c r="P21" s="933"/>
      <c r="Q21" s="915">
        <f t="shared" si="0"/>
        <v>0</v>
      </c>
      <c r="U21" s="2285">
        <v>12790000</v>
      </c>
    </row>
    <row r="22" spans="1:21" ht="21.75" customHeight="1" x14ac:dyDescent="0.2">
      <c r="A22" s="1600" t="s">
        <v>4007</v>
      </c>
      <c r="B22" s="246" t="s">
        <v>3662</v>
      </c>
      <c r="C22" s="246"/>
      <c r="D22" s="246"/>
      <c r="E22" s="246"/>
      <c r="G22" s="914"/>
      <c r="H22" s="933"/>
      <c r="I22" s="914"/>
      <c r="J22" s="933"/>
      <c r="K22" s="1399"/>
      <c r="L22" s="933"/>
      <c r="M22" s="914"/>
      <c r="N22" s="933"/>
      <c r="O22" s="914"/>
      <c r="P22" s="933"/>
      <c r="Q22" s="915">
        <f t="shared" si="0"/>
        <v>0</v>
      </c>
      <c r="U22" s="2417">
        <v>12790001</v>
      </c>
    </row>
    <row r="23" spans="1:21" ht="21.75" customHeight="1" x14ac:dyDescent="0.2">
      <c r="A23" s="927">
        <v>9</v>
      </c>
      <c r="B23" s="246" t="s">
        <v>1336</v>
      </c>
      <c r="C23" s="246"/>
      <c r="D23" s="246"/>
      <c r="E23" s="246"/>
      <c r="G23" s="914" t="str">
        <f>IFERROR(HLOOKUP($I$5,PriorYr905!$E$259:$AH$275,15,FALSE),"")</f>
        <v/>
      </c>
      <c r="H23" s="933"/>
      <c r="I23" s="914"/>
      <c r="J23" s="933"/>
      <c r="K23" s="1399"/>
      <c r="L23" s="933"/>
      <c r="M23" s="914"/>
      <c r="N23" s="933"/>
      <c r="O23" s="914"/>
      <c r="P23" s="933"/>
      <c r="Q23" s="915">
        <f t="shared" si="0"/>
        <v>0</v>
      </c>
      <c r="U23" s="2285">
        <v>12795200</v>
      </c>
    </row>
    <row r="24" spans="1:21" ht="21.75" customHeight="1" x14ac:dyDescent="0.2">
      <c r="A24" s="927">
        <v>10</v>
      </c>
      <c r="B24" s="246" t="s">
        <v>1337</v>
      </c>
      <c r="C24" s="246"/>
      <c r="D24" s="246"/>
      <c r="E24" s="246"/>
      <c r="G24" s="914" t="str">
        <f>IFERROR(HLOOKUP($I$5,PriorYr905!$E$259:$AH$275,16,FALSE),"")</f>
        <v/>
      </c>
      <c r="H24" s="933"/>
      <c r="I24" s="1445"/>
      <c r="J24" s="933"/>
      <c r="K24" s="1400"/>
      <c r="L24" s="933"/>
      <c r="M24" s="914"/>
      <c r="N24" s="933"/>
      <c r="O24" s="914"/>
      <c r="P24" s="933"/>
      <c r="Q24" s="915">
        <f t="shared" si="0"/>
        <v>0</v>
      </c>
      <c r="U24" s="2285">
        <v>12795100</v>
      </c>
    </row>
    <row r="25" spans="1:21" ht="21.75" customHeight="1" x14ac:dyDescent="0.2">
      <c r="A25" s="927">
        <v>11</v>
      </c>
      <c r="B25" s="2786" t="s">
        <v>3516</v>
      </c>
      <c r="C25" s="2786"/>
      <c r="D25" s="2786"/>
      <c r="E25" s="2786"/>
      <c r="G25" s="914" t="str">
        <f>IFERROR(HLOOKUP($I$5,PriorYr905!$E$259:$AH$275,17,FALSE),"")</f>
        <v/>
      </c>
      <c r="H25" s="933"/>
      <c r="I25" s="1445"/>
      <c r="J25" s="933"/>
      <c r="K25" s="1400"/>
      <c r="L25" s="933"/>
      <c r="M25" s="914"/>
      <c r="N25" s="933"/>
      <c r="O25" s="914"/>
      <c r="P25" s="933"/>
      <c r="Q25" s="915">
        <f t="shared" si="0"/>
        <v>0</v>
      </c>
      <c r="R25" s="934"/>
      <c r="U25" s="2285">
        <v>12795000</v>
      </c>
    </row>
    <row r="26" spans="1:21" ht="21.75" customHeight="1" x14ac:dyDescent="0.2">
      <c r="B26" s="912" t="s">
        <v>5487</v>
      </c>
      <c r="C26" s="2509"/>
      <c r="D26" s="2509"/>
      <c r="E26" s="2509"/>
      <c r="G26" s="2510"/>
      <c r="H26" s="2624"/>
      <c r="I26" s="2510"/>
      <c r="J26" s="2624"/>
      <c r="K26" s="2511"/>
      <c r="L26" s="2624"/>
      <c r="M26" s="2510"/>
      <c r="N26" s="2624"/>
      <c r="O26" s="2510"/>
      <c r="P26" s="2624"/>
      <c r="Q26" s="2621"/>
      <c r="R26" s="934"/>
      <c r="U26" s="2285"/>
    </row>
    <row r="27" spans="1:21" ht="21.75" customHeight="1" x14ac:dyDescent="0.2">
      <c r="A27" s="927">
        <v>12</v>
      </c>
      <c r="B27" s="2508" t="s">
        <v>5481</v>
      </c>
      <c r="C27" s="2507"/>
      <c r="D27" s="2507"/>
      <c r="E27" s="2507"/>
      <c r="G27" s="914" t="str">
        <f>IFERROR(HLOOKUP($I$5,PriorYr905!$E$259:$AH$275,9,FALSE),"")</f>
        <v/>
      </c>
      <c r="H27" s="933"/>
      <c r="I27" s="914"/>
      <c r="J27" s="933"/>
      <c r="K27" s="1400"/>
      <c r="L27" s="933"/>
      <c r="M27" s="914"/>
      <c r="N27" s="933"/>
      <c r="O27" s="914"/>
      <c r="P27" s="933"/>
      <c r="Q27" s="915">
        <f t="shared" si="0"/>
        <v>0</v>
      </c>
      <c r="R27" s="934"/>
      <c r="S27" s="2499" t="s">
        <v>5444</v>
      </c>
      <c r="U27" s="2285">
        <v>12797000</v>
      </c>
    </row>
    <row r="28" spans="1:21" ht="21.75" customHeight="1" x14ac:dyDescent="0.2">
      <c r="A28" s="927">
        <v>13</v>
      </c>
      <c r="B28" s="2805" t="s">
        <v>5482</v>
      </c>
      <c r="C28" s="2805"/>
      <c r="D28" s="2805"/>
      <c r="E28" s="2805"/>
      <c r="G28" s="914" t="str">
        <f>IFERROR(HLOOKUP($I$5,PriorYr905!$E$259:$AH$275,10,FALSE),"")</f>
        <v/>
      </c>
      <c r="H28" s="933"/>
      <c r="I28" s="914"/>
      <c r="J28" s="933"/>
      <c r="K28" s="1400"/>
      <c r="L28" s="933"/>
      <c r="M28" s="914"/>
      <c r="N28" s="933"/>
      <c r="O28" s="914"/>
      <c r="P28" s="933"/>
      <c r="Q28" s="915">
        <f t="shared" si="0"/>
        <v>0</v>
      </c>
      <c r="R28" s="934"/>
      <c r="S28" s="2499" t="s">
        <v>5444</v>
      </c>
      <c r="U28" s="2285">
        <v>12797100</v>
      </c>
    </row>
    <row r="29" spans="1:21" ht="21.75" customHeight="1" x14ac:dyDescent="0.2">
      <c r="A29" s="927">
        <v>14</v>
      </c>
      <c r="B29" s="2786" t="s">
        <v>5483</v>
      </c>
      <c r="C29" s="2786"/>
      <c r="D29" s="2786"/>
      <c r="E29" s="2786"/>
      <c r="G29" s="914" t="str">
        <f>IFERROR(HLOOKUP($I$5,PriorYr905!$E$259:$AH$275,11,FALSE),"")</f>
        <v/>
      </c>
      <c r="H29" s="933"/>
      <c r="I29" s="914"/>
      <c r="J29" s="933"/>
      <c r="K29" s="1400"/>
      <c r="L29" s="933"/>
      <c r="M29" s="914"/>
      <c r="N29" s="933"/>
      <c r="O29" s="914"/>
      <c r="P29" s="933"/>
      <c r="Q29" s="915">
        <f t="shared" si="0"/>
        <v>0</v>
      </c>
      <c r="R29" s="934"/>
      <c r="S29" s="2499" t="s">
        <v>5444</v>
      </c>
      <c r="U29" s="2285">
        <v>12797200</v>
      </c>
    </row>
    <row r="30" spans="1:21" ht="21.75" customHeight="1" x14ac:dyDescent="0.2">
      <c r="A30" s="927">
        <v>15</v>
      </c>
      <c r="B30" s="2786" t="s">
        <v>5484</v>
      </c>
      <c r="C30" s="2786"/>
      <c r="D30" s="2786"/>
      <c r="E30" s="2786"/>
      <c r="G30" s="914" t="str">
        <f>IFERROR(HLOOKUP($I$5,PriorYr905!$E$259:$AH$275,12,FALSE),"")</f>
        <v/>
      </c>
      <c r="H30" s="933"/>
      <c r="I30" s="2510"/>
      <c r="J30" s="933"/>
      <c r="K30" s="2511"/>
      <c r="L30" s="933"/>
      <c r="M30" s="2510"/>
      <c r="N30" s="933"/>
      <c r="O30" s="2510"/>
      <c r="P30" s="933"/>
      <c r="Q30" s="915">
        <f t="shared" si="0"/>
        <v>0</v>
      </c>
      <c r="R30" s="934"/>
      <c r="S30" s="2499" t="s">
        <v>5444</v>
      </c>
      <c r="U30" s="2285">
        <v>12797300</v>
      </c>
    </row>
    <row r="31" spans="1:21" ht="21.75" customHeight="1" thickBot="1" x14ac:dyDescent="0.25">
      <c r="B31" s="912" t="s">
        <v>5488</v>
      </c>
      <c r="C31" s="477"/>
      <c r="D31" s="477"/>
      <c r="E31" s="477"/>
      <c r="G31" s="918">
        <f>SUM(G17:G30)</f>
        <v>0</v>
      </c>
      <c r="H31" s="933"/>
      <c r="I31" s="918">
        <f>SUM(I17:I30)</f>
        <v>0</v>
      </c>
      <c r="J31" s="933"/>
      <c r="K31" s="918">
        <f>SUM(K17:K30)</f>
        <v>0</v>
      </c>
      <c r="L31" s="933"/>
      <c r="M31" s="918">
        <f>SUM(M17:M30)</f>
        <v>0</v>
      </c>
      <c r="N31" s="933"/>
      <c r="O31" s="918">
        <f>SUM(O17:O30)</f>
        <v>0</v>
      </c>
      <c r="P31" s="933"/>
      <c r="Q31" s="918">
        <f>SUM(Q17:Q30)</f>
        <v>0</v>
      </c>
      <c r="R31" s="934"/>
      <c r="T31" s="927">
        <f>SUM(I17:I30)</f>
        <v>0</v>
      </c>
    </row>
    <row r="32" spans="1:21" ht="13.5" thickTop="1" x14ac:dyDescent="0.2">
      <c r="B32" s="478" t="s">
        <v>973</v>
      </c>
      <c r="C32" s="478"/>
      <c r="D32" s="478"/>
      <c r="E32" s="478"/>
      <c r="I32" s="1444" t="str">
        <f>IF(T31&gt;0,"Worksheet 430BTA must be completed"," ")</f>
        <v xml:space="preserve"> </v>
      </c>
      <c r="Q32" s="87"/>
    </row>
    <row r="33" spans="1:21" ht="15" customHeight="1" x14ac:dyDescent="0.2">
      <c r="B33" s="939" t="s">
        <v>4923</v>
      </c>
      <c r="C33" s="939"/>
      <c r="D33" s="939"/>
      <c r="E33" s="939"/>
      <c r="F33" s="939"/>
      <c r="G33" s="939"/>
      <c r="H33" s="939"/>
      <c r="I33" s="939"/>
      <c r="J33" s="939"/>
      <c r="K33" s="939"/>
      <c r="L33" s="939"/>
      <c r="M33" s="939"/>
      <c r="N33" s="939"/>
      <c r="O33" s="939"/>
      <c r="P33" s="939"/>
      <c r="Q33" s="939"/>
    </row>
    <row r="34" spans="1:21" x14ac:dyDescent="0.2">
      <c r="B34" s="939" t="s">
        <v>1227</v>
      </c>
      <c r="C34" s="939"/>
      <c r="D34" s="939"/>
      <c r="E34" s="939"/>
      <c r="F34" s="939"/>
      <c r="G34" s="939"/>
      <c r="H34" s="939"/>
      <c r="I34" s="939"/>
      <c r="J34" s="939"/>
      <c r="K34" s="939"/>
      <c r="L34" s="939"/>
      <c r="M34" s="939"/>
      <c r="N34" s="939"/>
      <c r="O34" s="939"/>
      <c r="P34" s="939"/>
      <c r="Q34" s="939"/>
    </row>
    <row r="35" spans="1:21" ht="12.75" customHeight="1" x14ac:dyDescent="0.2">
      <c r="A35" s="794" t="str">
        <f ca="1">MID(CELL("filename",A1),FIND("]",CELL("filename",A1))+1,256)</f>
        <v>210</v>
      </c>
      <c r="B35" s="1289" t="s">
        <v>1920</v>
      </c>
      <c r="C35" s="923"/>
      <c r="D35" s="948"/>
      <c r="E35" s="948"/>
      <c r="F35" s="948"/>
      <c r="G35" s="948"/>
      <c r="H35" s="948"/>
      <c r="I35" s="948"/>
      <c r="J35" s="948"/>
      <c r="K35" s="948"/>
      <c r="L35" s="948"/>
      <c r="M35" s="948"/>
      <c r="N35" s="948"/>
      <c r="O35" s="948"/>
      <c r="P35" s="948"/>
      <c r="Q35" s="948"/>
    </row>
    <row r="36" spans="1:21" ht="6.75" customHeight="1" x14ac:dyDescent="0.2">
      <c r="A36" s="794"/>
      <c r="C36" s="794"/>
    </row>
    <row r="37" spans="1:21" s="939" customFormat="1" x14ac:dyDescent="0.2">
      <c r="B37" s="939" t="s">
        <v>1923</v>
      </c>
      <c r="U37" s="2286"/>
    </row>
    <row r="38" spans="1:21" s="939" customFormat="1" ht="12.75" customHeight="1" x14ac:dyDescent="0.25">
      <c r="A38" s="940"/>
      <c r="B38" s="941" t="s">
        <v>1922</v>
      </c>
      <c r="C38" s="940"/>
      <c r="Q38" s="1034"/>
      <c r="U38" s="2286"/>
    </row>
    <row r="39" spans="1:21" s="939" customFormat="1" ht="12.75" customHeight="1" x14ac:dyDescent="0.25">
      <c r="A39" s="940"/>
      <c r="B39" s="1289" t="s">
        <v>1920</v>
      </c>
      <c r="C39" s="940"/>
      <c r="Q39" s="1034"/>
      <c r="U39" s="2286"/>
    </row>
    <row r="40" spans="1:21" s="939" customFormat="1" ht="6" customHeight="1" x14ac:dyDescent="0.25">
      <c r="A40" s="940"/>
      <c r="B40" s="941"/>
      <c r="C40" s="940"/>
      <c r="Q40" s="1034"/>
      <c r="U40" s="2286"/>
    </row>
    <row r="41" spans="1:21" s="939" customFormat="1" ht="12.75" customHeight="1" x14ac:dyDescent="0.25">
      <c r="A41" s="940"/>
      <c r="B41" s="941" t="s">
        <v>3636</v>
      </c>
      <c r="C41" s="940"/>
      <c r="Q41" s="1034"/>
      <c r="U41" s="2286"/>
    </row>
    <row r="42" spans="1:21" ht="20.100000000000001" customHeight="1" x14ac:dyDescent="0.25">
      <c r="A42" s="940"/>
      <c r="B42" s="794" t="s">
        <v>449</v>
      </c>
      <c r="C42" s="794"/>
    </row>
    <row r="43" spans="1:21" ht="20.100000000000001" customHeight="1" x14ac:dyDescent="0.25">
      <c r="A43" s="940" t="s">
        <v>446</v>
      </c>
      <c r="B43" s="794" t="str">
        <f t="shared" ref="B43:B52" ca="1" si="1">IF(ISNA(INDEX(ErrorTable,MATCH($A$35&amp;$A43&amp;FALSE,ErrorKey,0),6)),"",INDEX(ErrorTable,MATCH($A$35&amp;$A43&amp;FALSE,ErrorKey,0),6))</f>
        <v>GASB number is blank.</v>
      </c>
      <c r="C43" s="794"/>
    </row>
    <row r="44" spans="1:21" ht="20.100000000000001" customHeight="1" x14ac:dyDescent="0.25">
      <c r="A44" s="940" t="s">
        <v>447</v>
      </c>
      <c r="B44" s="794" t="str">
        <f t="shared" ca="1" si="1"/>
        <v/>
      </c>
      <c r="C44" s="794"/>
    </row>
    <row r="45" spans="1:21" ht="20.100000000000001" customHeight="1" x14ac:dyDescent="0.25">
      <c r="A45" s="940" t="s">
        <v>448</v>
      </c>
      <c r="B45" s="794" t="str">
        <f t="shared" ca="1" si="1"/>
        <v/>
      </c>
      <c r="C45" s="794"/>
    </row>
    <row r="46" spans="1:21" ht="20.100000000000001" customHeight="1" x14ac:dyDescent="0.2">
      <c r="A46" s="794" t="s">
        <v>450</v>
      </c>
      <c r="B46" s="794" t="str">
        <f t="shared" ca="1" si="1"/>
        <v/>
      </c>
      <c r="C46" s="794"/>
    </row>
    <row r="47" spans="1:21" ht="20.100000000000001" customHeight="1" x14ac:dyDescent="0.2">
      <c r="A47" s="794" t="s">
        <v>451</v>
      </c>
      <c r="B47" s="794" t="str">
        <f t="shared" ca="1" si="1"/>
        <v/>
      </c>
      <c r="C47" s="794"/>
    </row>
    <row r="48" spans="1:21" ht="20.100000000000001" customHeight="1" x14ac:dyDescent="0.2">
      <c r="A48" s="794" t="s">
        <v>452</v>
      </c>
      <c r="B48" s="794" t="str">
        <f t="shared" ca="1" si="1"/>
        <v/>
      </c>
      <c r="C48" s="794"/>
    </row>
    <row r="49" spans="1:20" ht="20.100000000000001" customHeight="1" x14ac:dyDescent="0.2">
      <c r="A49" s="794" t="s">
        <v>453</v>
      </c>
      <c r="B49" s="794" t="str">
        <f t="shared" ca="1" si="1"/>
        <v/>
      </c>
    </row>
    <row r="50" spans="1:20" ht="20.100000000000001" customHeight="1" x14ac:dyDescent="0.2">
      <c r="A50" s="794" t="s">
        <v>454</v>
      </c>
      <c r="B50" s="794" t="str">
        <f t="shared" ca="1" si="1"/>
        <v/>
      </c>
      <c r="S50" s="479"/>
      <c r="T50" s="479"/>
    </row>
    <row r="51" spans="1:20" ht="20.100000000000001" customHeight="1" x14ac:dyDescent="0.2">
      <c r="A51" s="794" t="s">
        <v>455</v>
      </c>
      <c r="B51" s="794" t="str">
        <f t="shared" ca="1" si="1"/>
        <v/>
      </c>
      <c r="S51" s="479"/>
      <c r="T51" s="479"/>
    </row>
    <row r="52" spans="1:20" ht="20.100000000000001" customHeight="1" x14ac:dyDescent="0.2">
      <c r="A52" s="794" t="s">
        <v>456</v>
      </c>
      <c r="B52" s="794" t="str">
        <f t="shared" ca="1" si="1"/>
        <v/>
      </c>
      <c r="S52" s="479"/>
      <c r="T52" s="479"/>
    </row>
    <row r="53" spans="1:20" ht="20.100000000000001" customHeight="1" x14ac:dyDescent="0.2">
      <c r="S53" s="479"/>
      <c r="T53" s="479"/>
    </row>
    <row r="54" spans="1:20" x14ac:dyDescent="0.2">
      <c r="S54" s="479"/>
      <c r="T54" s="479"/>
    </row>
    <row r="55" spans="1:20" x14ac:dyDescent="0.2">
      <c r="S55" s="479"/>
      <c r="T55" s="479"/>
    </row>
    <row r="56" spans="1:20" x14ac:dyDescent="0.2">
      <c r="S56" s="479"/>
      <c r="T56" s="479"/>
    </row>
    <row r="57" spans="1:20" x14ac:dyDescent="0.2">
      <c r="S57" s="479"/>
      <c r="T57" s="479"/>
    </row>
    <row r="58" spans="1:20" x14ac:dyDescent="0.2">
      <c r="S58" s="479"/>
      <c r="T58" s="479"/>
    </row>
    <row r="59" spans="1:20" x14ac:dyDescent="0.2">
      <c r="S59" s="479"/>
      <c r="T59" s="479"/>
    </row>
  </sheetData>
  <sheetProtection algorithmName="SHA-512" hashValue="3n2dhoYAOIh0StBYOo6XZbzoL4QW5pJ27rYO2QhfWYPNyXm8YetVxkawtUtAzgByoCPTnrksrWmyxo3dQY8R0Q==" saltValue="MCpnadt5JvYPhu+W9GCSfA==" spinCount="100000" sheet="1" objects="1" scenarios="1" autoFilter="0"/>
  <customSheetViews>
    <customSheetView guid="{B08879A4-635B-4C39-9937-AC7883D562FC}" showGridLines="0" fitToPage="1" hiddenRows="1" hiddenColumns="1" topLeftCell="B1">
      <selection activeCell="B12" sqref="B12"/>
      <pageMargins left="0.5" right="0.5" top="0.75" bottom="0.5" header="0.5" footer="0.5"/>
      <printOptions horizontalCentered="1"/>
      <pageSetup pageOrder="overThenDown" orientation="landscape" r:id="rId1"/>
      <headerFooter alignWithMargins="0">
        <oddFooter>&amp;R&amp;A</oddFooter>
      </headerFooter>
    </customSheetView>
    <customSheetView guid="{9FCFC836-1CA5-48BF-958D-24D2EA94B219}" showGridLines="0" fitToPage="1" hiddenRows="1" hiddenColumns="1" topLeftCell="B1">
      <selection activeCell="B12" sqref="B12"/>
      <pageMargins left="0.5" right="0.5" top="0.75" bottom="0.5" header="0.5" footer="0.5"/>
      <printOptions horizontalCentered="1"/>
      <pageSetup pageOrder="overThenDown" orientation="landscape" r:id="rId2"/>
      <headerFooter alignWithMargins="0">
        <oddFooter>&amp;R&amp;A</oddFooter>
      </headerFooter>
    </customSheetView>
  </customSheetViews>
  <mergeCells count="17">
    <mergeCell ref="B28:E28"/>
    <mergeCell ref="B29:E29"/>
    <mergeCell ref="B30:E30"/>
    <mergeCell ref="B21:E21"/>
    <mergeCell ref="B25:E25"/>
    <mergeCell ref="B20:E20"/>
    <mergeCell ref="I6:Q6"/>
    <mergeCell ref="B1:Q1"/>
    <mergeCell ref="R1:R3"/>
    <mergeCell ref="B2:Q2"/>
    <mergeCell ref="B3:Q3"/>
    <mergeCell ref="I5:Q5"/>
    <mergeCell ref="I7:Q7"/>
    <mergeCell ref="I8:Q8"/>
    <mergeCell ref="B17:E17"/>
    <mergeCell ref="B18:E18"/>
    <mergeCell ref="B19:E19"/>
  </mergeCells>
  <conditionalFormatting sqref="R1:R3">
    <cfRule type="cellIs" dxfId="152" priority="1" stopIfTrue="1" operator="equal">
      <formula>"na"</formula>
    </cfRule>
  </conditionalFormatting>
  <dataValidations count="4">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0" xr:uid="{00000000-0002-0000-0800-000000000000}">
      <formula1>0</formula1>
    </dataValidation>
    <dataValidation type="decimal" operator="greaterThanOrEqual" allowBlank="1" showInputMessage="1" showErrorMessage="1" errorTitle="Invalid data!" error="Amount must be positive." sqref="M17:M30" xr:uid="{00000000-0002-0000-0800-000001000000}">
      <formula1>0</formula1>
    </dataValidation>
  </dataValidations>
  <hyperlinks>
    <hyperlink ref="B1:Q1" location="Index!A1" display="Index!A1" xr:uid="{00000000-0004-0000-0800-000000000000}"/>
  </hyperlinks>
  <printOptions horizontalCentered="1"/>
  <pageMargins left="0.5" right="0.5" top="0.75" bottom="0.5" header="0.5" footer="0.5"/>
  <pageSetup scale="74" pageOrder="overThenDown" orientation="landscape" r:id="rId3"/>
  <headerFooter alignWithMargins="0">
    <oddFooter>&amp;R&amp;A</oddFooter>
  </headerFooter>
  <ignoredErrors>
    <ignoredError sqref="G17:G20 G23:G30" unlockedFormula="1"/>
    <ignoredError sqref="I31 M31 T31" formulaRange="1"/>
  </ignoredError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pageSetUpPr fitToPage="1"/>
  </sheetPr>
  <dimension ref="A1:AA72"/>
  <sheetViews>
    <sheetView showGridLines="0" zoomScaleNormal="100" workbookViewId="0">
      <selection activeCell="V39" sqref="V39"/>
    </sheetView>
  </sheetViews>
  <sheetFormatPr defaultColWidth="9.42578125" defaultRowHeight="11.25" x14ac:dyDescent="0.2"/>
  <cols>
    <col min="1" max="1" width="3" style="40" customWidth="1"/>
    <col min="2" max="2" width="11.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8.42578125" style="40" customWidth="1"/>
    <col min="12" max="12" width="6.42578125" style="40" customWidth="1"/>
    <col min="13" max="13" width="15.5703125" style="40" customWidth="1"/>
    <col min="14" max="14" width="4.5703125" style="40" customWidth="1"/>
    <col min="15" max="16384" width="9.42578125" style="40"/>
  </cols>
  <sheetData>
    <row r="1" spans="1:27"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8" t="str">
        <f>IF(Index!$B$25="na","NA","")</f>
        <v/>
      </c>
      <c r="AA1" s="42"/>
    </row>
    <row r="2" spans="1:27" s="41" customFormat="1" ht="15" customHeight="1" x14ac:dyDescent="0.25">
      <c r="A2" s="2808" t="str">
        <f>+Index!$A$2</f>
        <v>2022 ACFR Worksheets</v>
      </c>
      <c r="B2" s="2808"/>
      <c r="C2" s="2808"/>
      <c r="D2" s="2808"/>
      <c r="E2" s="2808"/>
      <c r="F2" s="2808"/>
      <c r="G2" s="2808"/>
      <c r="H2" s="2808"/>
      <c r="I2" s="2808"/>
      <c r="J2" s="2808"/>
      <c r="K2" s="2808"/>
      <c r="L2" s="2808"/>
      <c r="M2" s="2808"/>
      <c r="N2" s="2768"/>
    </row>
    <row r="3" spans="1:27" s="41" customFormat="1" ht="15" customHeight="1" x14ac:dyDescent="0.25">
      <c r="A3" s="2808" t="s">
        <v>3707</v>
      </c>
      <c r="B3" s="2808"/>
      <c r="C3" s="2808"/>
      <c r="D3" s="2808"/>
      <c r="E3" s="2808"/>
      <c r="F3" s="2808"/>
      <c r="G3" s="2808"/>
      <c r="H3" s="2808"/>
      <c r="I3" s="2808"/>
      <c r="J3" s="2808"/>
      <c r="K3" s="2808"/>
      <c r="L3" s="2808"/>
      <c r="M3" s="2808"/>
      <c r="N3" s="2768"/>
    </row>
    <row r="4" spans="1:27" s="132" customFormat="1" ht="15" customHeight="1" x14ac:dyDescent="0.2">
      <c r="H4" s="137"/>
    </row>
    <row r="5" spans="1:27" s="132" customFormat="1" ht="15" customHeight="1" x14ac:dyDescent="0.2">
      <c r="D5" s="137"/>
      <c r="I5" s="134" t="s">
        <v>327</v>
      </c>
      <c r="J5" s="2807" t="str">
        <f>+Index!$E$10</f>
        <v>01</v>
      </c>
      <c r="K5" s="2807"/>
      <c r="L5" s="2807"/>
      <c r="M5" s="2807"/>
    </row>
    <row r="6" spans="1:27" s="132" customFormat="1" ht="15" customHeight="1" x14ac:dyDescent="0.2">
      <c r="I6" s="134" t="s">
        <v>1154</v>
      </c>
      <c r="J6" s="2807" t="str">
        <f>+Index!$E$11</f>
        <v>North Carolina General Assembly</v>
      </c>
      <c r="K6" s="2807"/>
      <c r="L6" s="2807"/>
      <c r="M6" s="2807"/>
    </row>
    <row r="7" spans="1:27" s="132" customFormat="1" ht="15" customHeight="1" x14ac:dyDescent="0.2">
      <c r="A7" s="132" t="s">
        <v>477</v>
      </c>
      <c r="D7" s="135" t="s">
        <v>256</v>
      </c>
      <c r="E7" s="131"/>
      <c r="I7" s="134" t="s">
        <v>972</v>
      </c>
      <c r="J7" s="2809" t="str">
        <f>CONCATENATE(Index!$E$12," ",Index!$E$14)</f>
        <v xml:space="preserve"> </v>
      </c>
      <c r="K7" s="2809"/>
      <c r="L7" s="2809"/>
      <c r="M7" s="2809"/>
    </row>
    <row r="8" spans="1:27" s="132" customFormat="1" ht="15" customHeight="1" x14ac:dyDescent="0.2">
      <c r="D8" s="137"/>
      <c r="I8" s="134" t="s">
        <v>348</v>
      </c>
      <c r="J8" s="2809">
        <f>+Index!$E$13</f>
        <v>0</v>
      </c>
      <c r="K8" s="2809"/>
      <c r="L8" s="2809"/>
      <c r="M8" s="2809"/>
    </row>
    <row r="9" spans="1:27" s="132" customFormat="1" ht="6" customHeight="1" thickBot="1" x14ac:dyDescent="0.25">
      <c r="A9" s="136"/>
      <c r="B9" s="136"/>
      <c r="C9" s="136"/>
      <c r="D9" s="136"/>
      <c r="E9" s="136"/>
      <c r="F9" s="136"/>
      <c r="G9" s="136"/>
      <c r="H9" s="136"/>
      <c r="I9" s="136"/>
      <c r="J9" s="136"/>
      <c r="K9" s="136"/>
      <c r="L9" s="136"/>
      <c r="M9" s="136"/>
    </row>
    <row r="10" spans="1:27" s="132" customFormat="1" ht="11.1" customHeight="1" x14ac:dyDescent="0.2"/>
    <row r="11" spans="1:27" s="132" customFormat="1" ht="15" customHeight="1" x14ac:dyDescent="0.2">
      <c r="A11" s="534" t="s">
        <v>412</v>
      </c>
    </row>
    <row r="12" spans="1:27" s="132" customFormat="1" ht="12.75" customHeight="1" x14ac:dyDescent="0.2">
      <c r="A12" s="534" t="s">
        <v>413</v>
      </c>
    </row>
    <row r="13" spans="1:27" s="132" customFormat="1" ht="9" customHeight="1" x14ac:dyDescent="0.2"/>
    <row r="14" spans="1:27" s="132" customFormat="1" ht="12.75" customHeight="1" x14ac:dyDescent="0.2">
      <c r="A14" s="2810" t="s">
        <v>292</v>
      </c>
      <c r="B14" s="2696"/>
      <c r="C14" s="2696"/>
      <c r="D14" s="2696"/>
      <c r="E14" s="2696"/>
      <c r="F14" s="2696"/>
      <c r="G14" s="2696"/>
      <c r="H14" s="2696"/>
      <c r="I14" s="2696"/>
      <c r="J14" s="2696"/>
      <c r="K14" s="2696"/>
      <c r="L14" s="2696"/>
      <c r="M14" s="2696"/>
    </row>
    <row r="15" spans="1:27" s="132" customFormat="1" ht="12.75" customHeight="1" x14ac:dyDescent="0.2">
      <c r="A15" s="2811" t="s">
        <v>3864</v>
      </c>
      <c r="B15" s="2696"/>
      <c r="C15" s="2696"/>
      <c r="D15" s="2696"/>
      <c r="E15" s="2696"/>
      <c r="F15" s="2696"/>
      <c r="G15" s="2696"/>
      <c r="H15" s="2696"/>
      <c r="I15" s="2696"/>
      <c r="J15" s="2696"/>
      <c r="K15" s="2696"/>
      <c r="L15" s="2696"/>
      <c r="M15" s="2696"/>
    </row>
    <row r="16" spans="1:27" s="132" customFormat="1" ht="12.75" customHeight="1" x14ac:dyDescent="0.2">
      <c r="A16" s="2812" t="s">
        <v>3865</v>
      </c>
      <c r="B16" s="2696"/>
      <c r="C16" s="2696"/>
      <c r="D16" s="2696"/>
      <c r="E16" s="2696"/>
      <c r="F16" s="2696"/>
      <c r="G16" s="2696"/>
      <c r="H16" s="2696"/>
      <c r="I16" s="2696"/>
      <c r="J16" s="2696"/>
      <c r="K16" s="2696"/>
      <c r="L16" s="2696"/>
      <c r="M16" s="2696"/>
    </row>
    <row r="17" spans="1:13" s="132" customFormat="1" ht="12.75" customHeight="1" x14ac:dyDescent="0.2">
      <c r="A17" s="2806" t="s">
        <v>3861</v>
      </c>
      <c r="B17" s="2806"/>
      <c r="C17" s="2806"/>
      <c r="D17" s="2806"/>
      <c r="E17" s="1490"/>
      <c r="F17" s="1490"/>
      <c r="G17" s="1490"/>
      <c r="H17" s="1490"/>
      <c r="I17" s="1490"/>
      <c r="J17" s="1490"/>
      <c r="K17" s="1490"/>
      <c r="L17" s="1490"/>
      <c r="M17" s="1490"/>
    </row>
    <row r="18" spans="1:13" s="132" customFormat="1" ht="8.1" customHeight="1" x14ac:dyDescent="0.2">
      <c r="A18" s="1489"/>
      <c r="B18" s="1490"/>
      <c r="C18" s="1490"/>
      <c r="D18" s="1490"/>
      <c r="E18" s="1490"/>
      <c r="F18" s="1490"/>
      <c r="G18" s="1490"/>
      <c r="H18" s="1490"/>
      <c r="I18" s="1490"/>
      <c r="J18" s="1490"/>
      <c r="K18" s="1490"/>
      <c r="L18" s="1490"/>
      <c r="M18" s="1490"/>
    </row>
    <row r="19" spans="1:13" s="132" customFormat="1" ht="12.75" customHeight="1" x14ac:dyDescent="0.2">
      <c r="A19" s="273" t="s">
        <v>4171</v>
      </c>
      <c r="C19" s="1490"/>
      <c r="D19" s="1490"/>
      <c r="E19" s="1490"/>
      <c r="F19" s="1490"/>
      <c r="G19" s="1490"/>
      <c r="H19" s="1490"/>
      <c r="I19" s="1490"/>
      <c r="J19" s="1490"/>
      <c r="K19" s="1490"/>
      <c r="L19" s="1490"/>
      <c r="M19" s="1490"/>
    </row>
    <row r="20" spans="1:13" s="132" customFormat="1" ht="12.75" customHeight="1" x14ac:dyDescent="0.2">
      <c r="A20" s="273" t="s">
        <v>3863</v>
      </c>
      <c r="C20" s="1490"/>
      <c r="D20" s="1490"/>
      <c r="E20" s="1490"/>
      <c r="F20" s="1490"/>
      <c r="G20" s="1490"/>
      <c r="H20" s="1490"/>
      <c r="I20" s="1490"/>
      <c r="J20" s="1490"/>
      <c r="K20" s="1490"/>
      <c r="L20" s="1490"/>
      <c r="M20" s="1490"/>
    </row>
    <row r="21" spans="1:13" s="132" customFormat="1" ht="8.1" customHeight="1" x14ac:dyDescent="0.2"/>
    <row r="22" spans="1:13" s="132" customFormat="1" ht="12.75" customHeight="1" x14ac:dyDescent="0.2">
      <c r="A22" s="2639" t="s">
        <v>5686</v>
      </c>
    </row>
    <row r="23" spans="1:13" s="132" customFormat="1" ht="12.75" customHeight="1" x14ac:dyDescent="0.2">
      <c r="A23" s="132" t="s">
        <v>293</v>
      </c>
    </row>
    <row r="24" spans="1:13" s="132" customFormat="1" ht="6" customHeight="1" x14ac:dyDescent="0.2"/>
    <row r="25" spans="1:13" s="132" customFormat="1" ht="12.75" customHeight="1" x14ac:dyDescent="0.2">
      <c r="A25" s="536" t="s">
        <v>517</v>
      </c>
      <c r="B25" s="1478" t="s">
        <v>5641</v>
      </c>
      <c r="C25" s="278"/>
      <c r="D25" s="537"/>
      <c r="E25" s="537"/>
      <c r="F25" s="537"/>
      <c r="G25" s="537"/>
      <c r="H25" s="537"/>
      <c r="I25" s="537"/>
      <c r="J25" s="537"/>
      <c r="K25" s="537"/>
    </row>
    <row r="26" spans="1:13" s="132" customFormat="1" ht="4.3499999999999996" customHeight="1" x14ac:dyDescent="0.2">
      <c r="A26" s="536"/>
      <c r="B26" s="538"/>
      <c r="K26" s="137"/>
      <c r="L26" s="133"/>
    </row>
    <row r="27" spans="1:13" s="132" customFormat="1" ht="12.75" customHeight="1" x14ac:dyDescent="0.2">
      <c r="A27" s="536" t="s">
        <v>518</v>
      </c>
      <c r="B27" s="132" t="s">
        <v>294</v>
      </c>
      <c r="C27" s="537"/>
      <c r="K27" s="137"/>
      <c r="L27" s="133"/>
    </row>
    <row r="28" spans="1:13" s="132" customFormat="1" ht="12.75" customHeight="1" x14ac:dyDescent="0.2">
      <c r="A28" s="536"/>
      <c r="B28" s="132" t="s">
        <v>295</v>
      </c>
      <c r="C28" s="537"/>
      <c r="K28" s="137"/>
      <c r="L28" s="133"/>
    </row>
    <row r="29" spans="1:13" s="132" customFormat="1" ht="12.75" customHeight="1" x14ac:dyDescent="0.2">
      <c r="A29" s="536"/>
      <c r="B29" s="132" t="s">
        <v>964</v>
      </c>
      <c r="C29" s="537"/>
      <c r="K29" s="137"/>
      <c r="L29" s="133"/>
      <c r="M29" s="276"/>
    </row>
    <row r="30" spans="1:13" s="132" customFormat="1" ht="6" customHeight="1" x14ac:dyDescent="0.2">
      <c r="A30" s="539"/>
      <c r="B30" s="537"/>
      <c r="C30" s="278"/>
      <c r="D30" s="537"/>
      <c r="E30" s="537"/>
      <c r="F30" s="537"/>
      <c r="G30" s="537"/>
      <c r="H30" s="537"/>
      <c r="I30" s="537"/>
      <c r="J30" s="537"/>
      <c r="K30" s="537"/>
    </row>
    <row r="31" spans="1:13" s="2642" customFormat="1" ht="12" customHeight="1" x14ac:dyDescent="0.2">
      <c r="A31" s="2644" t="s">
        <v>421</v>
      </c>
      <c r="B31" s="1478" t="s">
        <v>5692</v>
      </c>
      <c r="C31" s="278"/>
      <c r="D31" s="537"/>
      <c r="E31" s="537"/>
      <c r="F31" s="537"/>
      <c r="G31" s="537"/>
      <c r="H31" s="537"/>
      <c r="I31" s="537"/>
      <c r="J31" s="537"/>
      <c r="K31" s="537"/>
    </row>
    <row r="32" spans="1:13" s="2642" customFormat="1" ht="12.6" customHeight="1" x14ac:dyDescent="0.2">
      <c r="A32" s="536"/>
      <c r="B32" s="2645" t="s">
        <v>5693</v>
      </c>
      <c r="C32" s="278"/>
      <c r="D32" s="537"/>
      <c r="E32" s="537"/>
      <c r="F32" s="537"/>
      <c r="G32" s="537"/>
      <c r="H32" s="537"/>
      <c r="I32" s="537"/>
      <c r="J32" s="537"/>
      <c r="K32" s="537"/>
    </row>
    <row r="33" spans="1:13" s="2642" customFormat="1" ht="6" customHeight="1" x14ac:dyDescent="0.2">
      <c r="A33" s="2643"/>
      <c r="B33" s="537"/>
      <c r="C33" s="278"/>
      <c r="D33" s="537"/>
      <c r="E33" s="537"/>
      <c r="F33" s="537"/>
      <c r="G33" s="537"/>
      <c r="H33" s="537"/>
      <c r="I33" s="537"/>
      <c r="J33" s="537"/>
      <c r="K33" s="537"/>
    </row>
    <row r="34" spans="1:13" s="2642" customFormat="1" ht="6" customHeight="1" x14ac:dyDescent="0.2">
      <c r="A34" s="2643"/>
      <c r="B34" s="537"/>
      <c r="C34" s="278"/>
      <c r="D34" s="537"/>
      <c r="E34" s="537"/>
      <c r="F34" s="537"/>
      <c r="G34" s="537"/>
      <c r="H34" s="537"/>
      <c r="I34" s="537"/>
      <c r="J34" s="537"/>
      <c r="K34" s="537"/>
    </row>
    <row r="35" spans="1:13" s="132" customFormat="1" ht="12.75" customHeight="1" x14ac:dyDescent="0.2">
      <c r="A35" s="535" t="s">
        <v>965</v>
      </c>
      <c r="B35" s="537"/>
      <c r="C35" s="278"/>
      <c r="D35" s="537"/>
      <c r="E35" s="537"/>
      <c r="F35" s="537"/>
      <c r="G35" s="537"/>
      <c r="H35" s="537"/>
      <c r="I35" s="537"/>
      <c r="J35" s="537"/>
      <c r="K35" s="537"/>
    </row>
    <row r="36" spans="1:13" s="132" customFormat="1" ht="4.3499999999999996" customHeight="1" x14ac:dyDescent="0.2">
      <c r="A36" s="540"/>
      <c r="B36" s="537"/>
      <c r="C36" s="278"/>
      <c r="D36" s="537"/>
      <c r="E36" s="537"/>
      <c r="F36" s="537"/>
      <c r="G36" s="537"/>
      <c r="H36" s="537"/>
      <c r="I36" s="537"/>
      <c r="J36" s="537"/>
      <c r="K36" s="537"/>
    </row>
    <row r="37" spans="1:13" s="132" customFormat="1" ht="13.35" customHeight="1" x14ac:dyDescent="0.2">
      <c r="A37" s="2644" t="s">
        <v>363</v>
      </c>
      <c r="B37" s="537" t="s">
        <v>966</v>
      </c>
      <c r="C37" s="278"/>
      <c r="D37" s="537"/>
      <c r="E37" s="537"/>
      <c r="F37" s="537"/>
      <c r="G37" s="537"/>
      <c r="H37" s="537"/>
      <c r="I37" s="537"/>
      <c r="J37" s="537"/>
      <c r="K37" s="537"/>
      <c r="M37" s="541"/>
    </row>
    <row r="38" spans="1:13" s="132" customFormat="1" ht="13.35" customHeight="1" x14ac:dyDescent="0.2">
      <c r="A38" s="536"/>
      <c r="B38" s="542" t="s">
        <v>983</v>
      </c>
      <c r="C38" s="278"/>
      <c r="D38" s="537"/>
      <c r="E38" s="537"/>
      <c r="F38" s="537"/>
      <c r="G38" s="537"/>
      <c r="H38" s="537"/>
      <c r="I38" s="537"/>
      <c r="J38" s="537"/>
      <c r="K38" s="537"/>
      <c r="M38" s="729"/>
    </row>
    <row r="39" spans="1:13" s="132" customFormat="1" ht="13.5" customHeight="1" x14ac:dyDescent="0.2">
      <c r="A39" s="536"/>
      <c r="B39" s="1478" t="s">
        <v>3839</v>
      </c>
      <c r="C39" s="278"/>
      <c r="D39" s="537"/>
      <c r="E39" s="537"/>
      <c r="F39" s="537"/>
      <c r="G39" s="537"/>
      <c r="H39" s="537"/>
      <c r="I39" s="537"/>
      <c r="J39" s="537"/>
      <c r="K39" s="537"/>
      <c r="M39" s="730"/>
    </row>
    <row r="40" spans="1:13" s="132" customFormat="1" ht="14.1" customHeight="1" thickBot="1" x14ac:dyDescent="0.25">
      <c r="A40" s="536"/>
      <c r="B40" s="537" t="s">
        <v>296</v>
      </c>
      <c r="C40" s="278"/>
      <c r="D40" s="537"/>
      <c r="E40" s="537"/>
      <c r="F40" s="537"/>
      <c r="G40" s="537"/>
      <c r="H40" s="537"/>
      <c r="I40" s="537"/>
      <c r="J40" s="537"/>
      <c r="K40" s="537"/>
      <c r="M40" s="673">
        <f>M38+M39</f>
        <v>0</v>
      </c>
    </row>
    <row r="41" spans="1:13" s="132" customFormat="1" ht="4.3499999999999996" customHeight="1" thickTop="1" x14ac:dyDescent="0.2">
      <c r="A41" s="536"/>
      <c r="B41" s="537"/>
      <c r="C41" s="278"/>
      <c r="D41" s="537"/>
      <c r="E41" s="537"/>
      <c r="F41" s="537"/>
      <c r="G41" s="537"/>
      <c r="H41" s="537"/>
      <c r="I41" s="537"/>
      <c r="J41" s="537"/>
      <c r="K41" s="537"/>
    </row>
    <row r="42" spans="1:13" s="132" customFormat="1" ht="12.75" customHeight="1" x14ac:dyDescent="0.2">
      <c r="A42" s="2644" t="s">
        <v>300</v>
      </c>
      <c r="B42" s="537" t="s">
        <v>297</v>
      </c>
      <c r="C42" s="278"/>
      <c r="D42" s="537"/>
      <c r="E42" s="537"/>
      <c r="F42" s="537"/>
      <c r="G42" s="537"/>
      <c r="H42" s="537"/>
      <c r="I42" s="537"/>
      <c r="J42" s="537"/>
      <c r="K42" s="537"/>
    </row>
    <row r="43" spans="1:13" s="132" customFormat="1" ht="12.75" customHeight="1" x14ac:dyDescent="0.2">
      <c r="A43" s="536"/>
      <c r="B43" s="540" t="s">
        <v>298</v>
      </c>
      <c r="C43" s="278"/>
      <c r="D43" s="537"/>
      <c r="E43" s="537"/>
      <c r="F43" s="537"/>
      <c r="G43" s="537"/>
      <c r="H43" s="537"/>
      <c r="I43" s="537"/>
      <c r="J43" s="537"/>
      <c r="K43" s="537"/>
      <c r="M43" s="729"/>
    </row>
    <row r="44" spans="1:13" s="132" customFormat="1" ht="6" customHeight="1" x14ac:dyDescent="0.2">
      <c r="A44" s="536"/>
      <c r="B44" s="543"/>
      <c r="C44" s="278"/>
      <c r="D44" s="537"/>
      <c r="E44" s="537"/>
      <c r="F44" s="537"/>
      <c r="G44" s="537"/>
      <c r="H44" s="537"/>
      <c r="I44" s="537"/>
      <c r="J44" s="537"/>
      <c r="K44" s="537"/>
    </row>
    <row r="45" spans="1:13" s="2642" customFormat="1" ht="6" customHeight="1" x14ac:dyDescent="0.2">
      <c r="A45" s="536"/>
      <c r="B45" s="543"/>
      <c r="C45" s="278"/>
      <c r="D45" s="537"/>
      <c r="E45" s="537"/>
      <c r="F45" s="537"/>
      <c r="G45" s="537"/>
      <c r="H45" s="537"/>
      <c r="I45" s="537"/>
      <c r="J45" s="537"/>
      <c r="K45" s="537"/>
    </row>
    <row r="46" spans="1:13" s="2642" customFormat="1" ht="6" customHeight="1" x14ac:dyDescent="0.2">
      <c r="A46" s="536"/>
      <c r="B46" s="543"/>
      <c r="C46" s="278"/>
      <c r="D46" s="537"/>
      <c r="E46" s="537"/>
      <c r="F46" s="537"/>
      <c r="G46" s="537"/>
      <c r="H46" s="537"/>
      <c r="I46" s="537"/>
      <c r="J46" s="537"/>
      <c r="K46" s="537"/>
    </row>
    <row r="47" spans="1:13" s="132" customFormat="1" ht="12.75" customHeight="1" x14ac:dyDescent="0.2">
      <c r="A47" s="544" t="s">
        <v>299</v>
      </c>
      <c r="C47" s="278"/>
      <c r="D47" s="537"/>
      <c r="E47" s="537"/>
      <c r="F47" s="537"/>
      <c r="G47" s="537"/>
      <c r="H47" s="537"/>
      <c r="I47" s="537"/>
      <c r="J47" s="537"/>
      <c r="K47" s="537"/>
    </row>
    <row r="48" spans="1:13" s="132" customFormat="1" ht="4.3499999999999996" customHeight="1" x14ac:dyDescent="0.2">
      <c r="A48" s="545"/>
      <c r="B48" s="537"/>
      <c r="C48" s="278"/>
      <c r="D48" s="537"/>
      <c r="E48" s="537"/>
      <c r="F48" s="537"/>
      <c r="G48" s="537"/>
      <c r="H48" s="537"/>
      <c r="I48" s="537"/>
      <c r="J48" s="537"/>
      <c r="K48" s="537"/>
    </row>
    <row r="49" spans="1:14" s="132" customFormat="1" ht="13.35" customHeight="1" x14ac:dyDescent="0.2">
      <c r="A49" s="2644" t="s">
        <v>90</v>
      </c>
      <c r="B49" s="537" t="s">
        <v>323</v>
      </c>
      <c r="C49" s="278"/>
      <c r="D49" s="537"/>
      <c r="E49" s="537"/>
      <c r="F49" s="537"/>
      <c r="G49" s="537"/>
      <c r="H49" s="537"/>
      <c r="I49" s="537"/>
      <c r="J49" s="537"/>
      <c r="K49" s="537"/>
      <c r="M49" s="541"/>
    </row>
    <row r="50" spans="1:14" s="132" customFormat="1" ht="13.35" customHeight="1" x14ac:dyDescent="0.2">
      <c r="A50" s="536"/>
      <c r="B50" s="542" t="s">
        <v>87</v>
      </c>
      <c r="C50" s="278"/>
      <c r="D50" s="537"/>
      <c r="E50" s="537"/>
      <c r="F50" s="537"/>
      <c r="G50" s="537"/>
      <c r="H50" s="537"/>
      <c r="I50" s="537"/>
      <c r="J50" s="537"/>
      <c r="K50" s="537"/>
      <c r="M50" s="729"/>
    </row>
    <row r="51" spans="1:14" s="132" customFormat="1" ht="13.5" customHeight="1" x14ac:dyDescent="0.2">
      <c r="A51" s="536"/>
      <c r="B51" s="537" t="s">
        <v>88</v>
      </c>
      <c r="C51" s="278"/>
      <c r="D51" s="537"/>
      <c r="E51" s="537"/>
      <c r="F51" s="537"/>
      <c r="G51" s="537"/>
      <c r="H51" s="537"/>
      <c r="I51" s="537"/>
      <c r="J51" s="537"/>
      <c r="K51" s="537"/>
      <c r="M51" s="1479"/>
    </row>
    <row r="52" spans="1:14" s="132" customFormat="1" ht="13.5" customHeight="1" x14ac:dyDescent="0.2">
      <c r="A52" s="536"/>
      <c r="B52" s="1478" t="s">
        <v>3957</v>
      </c>
      <c r="C52" s="278"/>
      <c r="D52" s="537"/>
      <c r="E52" s="537"/>
      <c r="F52" s="537"/>
      <c r="G52" s="537"/>
      <c r="H52" s="537"/>
      <c r="I52" s="537"/>
      <c r="J52" s="537"/>
      <c r="K52" s="537"/>
      <c r="M52" s="1479"/>
    </row>
    <row r="53" spans="1:14" s="132" customFormat="1" ht="14.1" customHeight="1" thickBot="1" x14ac:dyDescent="0.25">
      <c r="A53" s="536"/>
      <c r="B53" s="540" t="s">
        <v>89</v>
      </c>
      <c r="C53" s="278"/>
      <c r="D53" s="537"/>
      <c r="E53" s="537"/>
      <c r="F53" s="537"/>
      <c r="G53" s="537"/>
      <c r="H53" s="537"/>
      <c r="I53" s="537"/>
      <c r="J53" s="537"/>
      <c r="K53" s="537"/>
      <c r="M53" s="673">
        <f>M50+M52</f>
        <v>0</v>
      </c>
      <c r="N53" s="541"/>
    </row>
    <row r="54" spans="1:14" s="132" customFormat="1" ht="4.3499999999999996" customHeight="1" thickTop="1" x14ac:dyDescent="0.2">
      <c r="A54" s="545"/>
      <c r="B54" s="537"/>
      <c r="C54" s="278"/>
      <c r="D54" s="537"/>
      <c r="E54" s="537"/>
      <c r="F54" s="537"/>
      <c r="G54" s="537"/>
      <c r="H54" s="537"/>
      <c r="I54" s="537"/>
      <c r="J54" s="537"/>
      <c r="K54" s="537"/>
    </row>
    <row r="55" spans="1:14" s="132" customFormat="1" ht="12.75" customHeight="1" x14ac:dyDescent="0.2">
      <c r="A55" s="2644" t="s">
        <v>92</v>
      </c>
      <c r="B55" s="537" t="s">
        <v>91</v>
      </c>
      <c r="C55" s="537"/>
      <c r="D55" s="537"/>
      <c r="E55" s="537"/>
      <c r="F55" s="537"/>
      <c r="G55" s="537"/>
      <c r="H55" s="537"/>
      <c r="I55" s="537"/>
      <c r="J55" s="537"/>
      <c r="K55" s="537"/>
    </row>
    <row r="56" spans="1:14" s="132" customFormat="1" ht="12.75" customHeight="1" x14ac:dyDescent="0.2">
      <c r="A56" s="537"/>
      <c r="B56" s="543" t="s">
        <v>324</v>
      </c>
      <c r="C56" s="537"/>
      <c r="D56" s="537"/>
      <c r="E56" s="537"/>
      <c r="F56" s="537"/>
      <c r="G56" s="537"/>
      <c r="H56" s="537"/>
      <c r="I56" s="537"/>
      <c r="J56" s="537"/>
      <c r="K56" s="537"/>
      <c r="M56" s="729"/>
    </row>
    <row r="57" spans="1:14" s="132" customFormat="1" ht="4.3499999999999996" customHeight="1" x14ac:dyDescent="0.2">
      <c r="A57" s="537"/>
      <c r="B57" s="543"/>
      <c r="C57" s="537"/>
      <c r="D57" s="537"/>
      <c r="E57" s="537"/>
      <c r="F57" s="537"/>
      <c r="G57" s="537"/>
      <c r="H57" s="537"/>
      <c r="I57" s="537"/>
      <c r="J57" s="537"/>
      <c r="K57" s="537"/>
    </row>
    <row r="58" spans="1:14" s="132" customFormat="1" ht="12.75" customHeight="1" x14ac:dyDescent="0.2">
      <c r="A58" s="2646" t="s">
        <v>5688</v>
      </c>
      <c r="B58" s="537" t="s">
        <v>91</v>
      </c>
      <c r="C58" s="537"/>
      <c r="D58" s="537"/>
      <c r="E58" s="537"/>
      <c r="F58" s="537"/>
      <c r="G58" s="537"/>
      <c r="H58" s="537"/>
      <c r="I58" s="537"/>
      <c r="J58" s="537"/>
      <c r="K58" s="537"/>
    </row>
    <row r="59" spans="1:14" s="132" customFormat="1" ht="12.75" customHeight="1" x14ac:dyDescent="0.2">
      <c r="A59" s="537"/>
      <c r="B59" s="543" t="s">
        <v>325</v>
      </c>
      <c r="C59" s="537"/>
      <c r="D59" s="537"/>
      <c r="E59" s="537"/>
      <c r="F59" s="537"/>
      <c r="G59" s="537"/>
      <c r="H59" s="537"/>
      <c r="I59" s="537"/>
      <c r="J59" s="537"/>
      <c r="K59" s="537"/>
      <c r="M59" s="729"/>
    </row>
    <row r="60" spans="1:14" s="2642" customFormat="1" ht="12.75" customHeight="1" x14ac:dyDescent="0.2">
      <c r="A60" s="537"/>
      <c r="B60" s="543"/>
      <c r="C60" s="537"/>
      <c r="D60" s="537"/>
      <c r="E60" s="537"/>
      <c r="F60" s="537"/>
      <c r="G60" s="537"/>
      <c r="H60" s="537"/>
      <c r="I60" s="537"/>
      <c r="J60" s="537"/>
      <c r="K60" s="537"/>
      <c r="M60" s="2647"/>
    </row>
    <row r="61" spans="1:14" s="2642" customFormat="1" ht="12.75" customHeight="1" x14ac:dyDescent="0.2">
      <c r="A61" s="537"/>
      <c r="B61" s="543"/>
      <c r="C61" s="537"/>
      <c r="D61" s="537"/>
      <c r="E61" s="537"/>
      <c r="F61" s="537"/>
      <c r="G61" s="537"/>
      <c r="H61" s="537"/>
      <c r="I61" s="537"/>
      <c r="J61" s="537"/>
      <c r="K61" s="537"/>
      <c r="M61" s="2647"/>
    </row>
    <row r="62" spans="1:14" s="2642" customFormat="1" ht="10.35" customHeight="1" x14ac:dyDescent="0.2">
      <c r="A62" s="537"/>
      <c r="C62" s="537"/>
      <c r="D62" s="537"/>
      <c r="E62" s="537"/>
      <c r="F62" s="537"/>
      <c r="G62" s="537"/>
      <c r="H62" s="537"/>
      <c r="I62" s="537"/>
      <c r="J62" s="537"/>
      <c r="K62" s="537"/>
    </row>
    <row r="63" spans="1:14" s="132" customFormat="1" ht="12.75" customHeight="1" x14ac:dyDescent="0.2">
      <c r="A63" s="537"/>
      <c r="C63" s="537"/>
      <c r="D63" s="537"/>
      <c r="E63" s="537"/>
      <c r="F63" s="537"/>
      <c r="G63" s="537"/>
      <c r="H63" s="537"/>
      <c r="I63" s="537"/>
      <c r="J63" s="537"/>
      <c r="K63" s="537"/>
    </row>
    <row r="64" spans="1:14" s="132" customFormat="1" ht="12.75" customHeight="1" x14ac:dyDescent="0.2">
      <c r="A64" s="537"/>
      <c r="C64" s="537"/>
      <c r="D64" s="537"/>
      <c r="E64" s="537"/>
      <c r="F64" s="537"/>
      <c r="G64" s="537"/>
      <c r="H64" s="537"/>
      <c r="I64" s="537"/>
      <c r="J64" s="537"/>
      <c r="K64" s="537"/>
    </row>
    <row r="65" spans="1:11" s="132" customFormat="1" ht="12.75" customHeight="1" x14ac:dyDescent="0.2">
      <c r="A65" s="537"/>
      <c r="C65" s="537"/>
      <c r="D65" s="537"/>
      <c r="E65" s="537"/>
      <c r="F65" s="537"/>
      <c r="G65" s="537"/>
      <c r="H65" s="537"/>
      <c r="I65" s="537"/>
      <c r="J65" s="537"/>
      <c r="K65" s="537"/>
    </row>
    <row r="66" spans="1:11" s="132" customFormat="1" ht="12.75" customHeight="1" x14ac:dyDescent="0.2">
      <c r="A66" s="537"/>
      <c r="C66" s="537"/>
      <c r="D66" s="537"/>
      <c r="E66" s="537"/>
      <c r="F66" s="537"/>
      <c r="G66" s="537"/>
      <c r="H66" s="537"/>
      <c r="I66" s="537"/>
      <c r="J66" s="537"/>
      <c r="K66" s="537"/>
    </row>
    <row r="67" spans="1:11" s="132" customFormat="1" ht="12.75" customHeight="1" x14ac:dyDescent="0.2">
      <c r="A67" s="537"/>
      <c r="C67" s="537"/>
      <c r="D67" s="537"/>
      <c r="E67" s="537"/>
      <c r="F67" s="537"/>
      <c r="G67" s="537"/>
      <c r="H67" s="537"/>
      <c r="I67" s="537"/>
      <c r="J67" s="537"/>
      <c r="K67" s="537"/>
    </row>
    <row r="68" spans="1:11" s="132" customFormat="1" ht="12.75" customHeight="1" x14ac:dyDescent="0.2">
      <c r="A68" s="537"/>
      <c r="C68" s="537"/>
      <c r="D68" s="537"/>
      <c r="E68" s="537"/>
      <c r="F68" s="537"/>
      <c r="G68" s="537"/>
      <c r="H68" s="537"/>
      <c r="I68" s="537"/>
      <c r="J68" s="537"/>
      <c r="K68" s="537"/>
    </row>
    <row r="69" spans="1:11" s="132" customFormat="1" ht="12.75" customHeight="1" x14ac:dyDescent="0.2">
      <c r="A69" s="544" t="s">
        <v>1229</v>
      </c>
      <c r="C69" s="537"/>
      <c r="D69" s="537"/>
      <c r="E69" s="537"/>
      <c r="F69" s="537"/>
      <c r="G69" s="537"/>
      <c r="H69" s="537"/>
      <c r="I69" s="537"/>
      <c r="J69" s="537"/>
      <c r="K69" s="537"/>
    </row>
    <row r="70" spans="1:11" s="132" customFormat="1" ht="12.75" customHeight="1" x14ac:dyDescent="0.2">
      <c r="A70" s="273" t="s">
        <v>3711</v>
      </c>
    </row>
    <row r="71" spans="1:11" s="132" customFormat="1" ht="12.75" customHeight="1" x14ac:dyDescent="0.2">
      <c r="A71" s="272" t="s">
        <v>5642</v>
      </c>
      <c r="K71" s="133"/>
    </row>
    <row r="72" spans="1:11" s="132" customFormat="1" ht="12.75" customHeight="1" x14ac:dyDescent="0.2"/>
  </sheetData>
  <sheetProtection algorithmName="SHA-512" hashValue="vPFe94SNjUyGROi7ZrrurylIEupE63ivFy1KANanQxcrVCUHnWW+InvrZSE5VOyraI2aGKdLVbMKDxJ9tszJ3Q==" saltValue="09BMypwPmcnj413HvzVHpg==" spinCount="100000" sheet="1" objects="1" scenarios="1" autoFilter="0"/>
  <customSheetViews>
    <customSheetView guid="{B08879A4-635B-4C39-9937-AC7883D562FC}" showGridLines="0" fitToPage="1">
      <selection sqref="A1:M1"/>
      <pageMargins left="0.75" right="0.5" top="0.5" bottom="0.5" header="0.5" footer="0.25"/>
      <pageSetup scale="89" orientation="portrait" r:id="rId1"/>
      <headerFooter alignWithMargins="0">
        <oddFooter>&amp;R&amp;A</oddFooter>
      </headerFooter>
    </customSheetView>
    <customSheetView guid="{9FCFC836-1CA5-48BF-958D-24D2EA94B219}" showGridLines="0" fitToPage="1">
      <selection sqref="A1:M1"/>
      <pageMargins left="0.75" right="0.5" top="0.5" bottom="0.5" header="0.5" footer="0.25"/>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5" type="noConversion"/>
  <conditionalFormatting sqref="N1:N3">
    <cfRule type="cellIs" dxfId="151"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75" right="0.5" top="0.5" bottom="0.5" header="0.5" footer="0.25"/>
  <pageSetup orientation="portrait" r:id="rId4"/>
  <headerFooter alignWithMargins="0">
    <oddFooter>&amp;R&amp;A</oddFooter>
  </headerFooter>
  <ignoredErrors>
    <ignoredError sqref="A48:A49 A39:A42 A25:A31 A36:A37 A51 A53:A58 A43"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P132"/>
  <sheetViews>
    <sheetView showGridLines="0" zoomScaleNormal="100" workbookViewId="0">
      <selection activeCell="C124" sqref="C124"/>
    </sheetView>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2290" bestFit="1" customWidth="1"/>
    <col min="12" max="12" width="24.85546875" style="2288" customWidth="1"/>
    <col min="13" max="13" width="20.5703125" style="2290" customWidth="1"/>
    <col min="14" max="15" width="9.140625" style="2290"/>
  </cols>
  <sheetData>
    <row r="1" spans="1:16" s="90" customFormat="1" ht="15" customHeight="1" x14ac:dyDescent="0.25">
      <c r="B1" s="2767" t="str">
        <f>+Index!$A$1</f>
        <v xml:space="preserve">                                                               Office of the State Controller                                                                </v>
      </c>
      <c r="C1" s="2767"/>
      <c r="D1" s="2767"/>
      <c r="E1" s="2767"/>
      <c r="F1" s="2767"/>
      <c r="G1" s="2767"/>
      <c r="H1" s="2768" t="str">
        <f>IF(Index!$B$26="na","NA","")</f>
        <v/>
      </c>
      <c r="I1" s="91"/>
      <c r="K1" s="2287"/>
      <c r="L1" s="2288"/>
      <c r="M1" s="2287"/>
      <c r="N1" s="2287"/>
      <c r="O1" s="2287"/>
    </row>
    <row r="2" spans="1:16" s="90" customFormat="1" ht="15" customHeight="1" x14ac:dyDescent="0.25">
      <c r="B2" s="2769" t="str">
        <f>+Index!$A$2</f>
        <v>2022 ACFR Worksheets</v>
      </c>
      <c r="C2" s="2769"/>
      <c r="D2" s="2769"/>
      <c r="E2" s="2769"/>
      <c r="F2" s="2769"/>
      <c r="G2" s="2769"/>
      <c r="H2" s="2768"/>
      <c r="I2" s="91"/>
      <c r="K2" s="2287"/>
      <c r="L2" s="2288"/>
      <c r="M2" s="2287"/>
      <c r="N2" s="2287"/>
      <c r="O2" s="2287"/>
    </row>
    <row r="3" spans="1:16" s="90" customFormat="1" ht="15" customHeight="1" x14ac:dyDescent="0.25">
      <c r="B3" s="2769" t="s">
        <v>3518</v>
      </c>
      <c r="C3" s="2769"/>
      <c r="D3" s="2769"/>
      <c r="E3" s="2769"/>
      <c r="F3" s="2769"/>
      <c r="G3" s="2769"/>
      <c r="H3" s="2768"/>
      <c r="I3" s="91"/>
      <c r="K3" s="2287"/>
      <c r="L3" s="2288"/>
      <c r="M3" s="2287"/>
      <c r="N3" s="2287"/>
      <c r="O3" s="2287"/>
    </row>
    <row r="4" spans="1:16" s="90" customFormat="1" ht="15" customHeight="1" x14ac:dyDescent="0.25">
      <c r="B4" s="547"/>
      <c r="C4" s="547"/>
      <c r="D4" s="547"/>
      <c r="E4" s="547"/>
      <c r="F4" s="93"/>
      <c r="G4" s="547"/>
      <c r="H4" s="546"/>
      <c r="I4" s="91"/>
      <c r="K4" s="2287"/>
      <c r="L4" s="2288"/>
      <c r="M4" s="2287"/>
      <c r="N4" s="2287"/>
      <c r="O4" s="2287"/>
    </row>
    <row r="5" spans="1:16" s="124" customFormat="1" ht="15" customHeight="1" x14ac:dyDescent="0.2">
      <c r="A5" s="122" t="s">
        <v>327</v>
      </c>
      <c r="D5" s="39" t="str">
        <f>+Index!$E$10</f>
        <v>01</v>
      </c>
      <c r="F5" s="122"/>
      <c r="H5" s="668"/>
      <c r="I5" s="126"/>
      <c r="K5" s="2289"/>
      <c r="L5" s="2288"/>
      <c r="M5" s="2289"/>
      <c r="N5" s="2289"/>
      <c r="O5" s="2289"/>
    </row>
    <row r="6" spans="1:16" s="124" customFormat="1" ht="15" customHeight="1" x14ac:dyDescent="0.2">
      <c r="A6" s="122" t="s">
        <v>1154</v>
      </c>
      <c r="D6" s="39" t="str">
        <f>+Index!$E$11</f>
        <v>North Carolina General Assembly</v>
      </c>
      <c r="F6" s="122"/>
      <c r="K6" s="2289"/>
      <c r="L6" s="2288"/>
      <c r="M6" s="2289"/>
      <c r="N6" s="2289"/>
      <c r="O6" s="2289"/>
    </row>
    <row r="7" spans="1:16" s="124" customFormat="1" ht="15" customHeight="1" x14ac:dyDescent="0.2">
      <c r="A7" s="122" t="s">
        <v>972</v>
      </c>
      <c r="D7" s="771" t="str">
        <f>CONCATENATE(Index!$E$12," ",Index!$E$14)</f>
        <v xml:space="preserve"> </v>
      </c>
      <c r="F7" s="122"/>
      <c r="K7" s="2289"/>
      <c r="L7" s="2288"/>
      <c r="M7" s="2289"/>
      <c r="N7" s="2289"/>
      <c r="O7" s="2289"/>
    </row>
    <row r="8" spans="1:16" s="124" customFormat="1" ht="15" customHeight="1" x14ac:dyDescent="0.2">
      <c r="A8" s="122" t="s">
        <v>348</v>
      </c>
      <c r="D8" s="771">
        <f>+Index!$E$13</f>
        <v>0</v>
      </c>
      <c r="F8" s="122"/>
      <c r="K8" s="2289"/>
      <c r="L8" s="2288"/>
      <c r="M8" s="2289"/>
      <c r="N8" s="2289"/>
      <c r="O8" s="2289"/>
    </row>
    <row r="9" spans="1:16" s="124" customFormat="1" ht="7.5" customHeight="1" thickBot="1" x14ac:dyDescent="0.25">
      <c r="A9" s="129"/>
      <c r="B9" s="129"/>
      <c r="C9" s="129"/>
      <c r="D9" s="129"/>
      <c r="E9" s="129"/>
      <c r="F9" s="129"/>
      <c r="G9" s="129"/>
      <c r="K9" s="2289"/>
      <c r="L9" s="2288"/>
      <c r="M9" s="2289"/>
      <c r="N9" s="2289"/>
      <c r="O9" s="2289"/>
    </row>
    <row r="10" spans="1:16" x14ac:dyDescent="0.2">
      <c r="A10" s="566" t="s">
        <v>372</v>
      </c>
    </row>
    <row r="11" spans="1:16" x14ac:dyDescent="0.2">
      <c r="A11" s="504" t="s">
        <v>222</v>
      </c>
    </row>
    <row r="12" spans="1:16" x14ac:dyDescent="0.2">
      <c r="A12" s="1349" t="s">
        <v>3948</v>
      </c>
    </row>
    <row r="13" spans="1:16" x14ac:dyDescent="0.2">
      <c r="A13" s="504"/>
      <c r="K13" s="2290" t="s">
        <v>4990</v>
      </c>
      <c r="L13" s="2290" t="s">
        <v>684</v>
      </c>
      <c r="M13" s="2290" t="s">
        <v>4991</v>
      </c>
      <c r="N13" s="2290" t="s">
        <v>40</v>
      </c>
      <c r="O13" s="2290" t="s">
        <v>4801</v>
      </c>
      <c r="P13" s="2292"/>
    </row>
    <row r="14" spans="1:16" s="335" customFormat="1" ht="12" x14ac:dyDescent="0.2">
      <c r="A14" s="663" t="s">
        <v>235</v>
      </c>
      <c r="B14" s="330"/>
      <c r="C14" s="330"/>
      <c r="D14" s="330"/>
      <c r="K14" s="2288"/>
      <c r="L14" s="2288"/>
      <c r="M14" s="2288"/>
      <c r="N14" s="2288"/>
      <c r="O14" s="2288"/>
      <c r="P14" s="2298"/>
    </row>
    <row r="15" spans="1:16" s="335" customFormat="1" ht="12" x14ac:dyDescent="0.2">
      <c r="A15" s="664" t="s">
        <v>128</v>
      </c>
      <c r="B15" s="330"/>
      <c r="C15" s="330"/>
      <c r="D15" s="330"/>
      <c r="K15" s="2288"/>
      <c r="L15" s="2288"/>
      <c r="M15" s="2288"/>
      <c r="N15" s="2288"/>
      <c r="O15" s="2288"/>
      <c r="P15" s="2298"/>
    </row>
    <row r="16" spans="1:16" s="335" customFormat="1" ht="12" x14ac:dyDescent="0.2">
      <c r="A16" s="330"/>
      <c r="B16" s="665" t="s">
        <v>279</v>
      </c>
      <c r="C16" s="330"/>
      <c r="D16" s="330"/>
      <c r="K16" s="2288"/>
      <c r="L16" s="2288"/>
      <c r="M16" s="2288"/>
      <c r="N16" s="2288"/>
      <c r="O16" s="2288"/>
      <c r="P16" s="2298"/>
    </row>
    <row r="17" spans="1:16" s="335" customFormat="1" ht="12" x14ac:dyDescent="0.2">
      <c r="A17" s="330"/>
      <c r="B17" s="330"/>
      <c r="C17" s="330" t="s">
        <v>765</v>
      </c>
      <c r="D17" s="330"/>
      <c r="G17" s="669"/>
      <c r="K17" s="2288" t="s">
        <v>971</v>
      </c>
      <c r="L17" s="2288" t="s">
        <v>765</v>
      </c>
      <c r="M17" s="2288" t="s">
        <v>279</v>
      </c>
      <c r="N17" s="2288" t="s">
        <v>4992</v>
      </c>
      <c r="O17" s="2288" t="s">
        <v>4993</v>
      </c>
      <c r="P17" s="2298"/>
    </row>
    <row r="18" spans="1:16" s="335" customFormat="1" ht="12" x14ac:dyDescent="0.2">
      <c r="A18" s="330"/>
      <c r="B18" s="330"/>
      <c r="C18" s="330" t="s">
        <v>766</v>
      </c>
      <c r="D18" s="330"/>
      <c r="G18" s="669"/>
      <c r="K18" s="2288" t="s">
        <v>971</v>
      </c>
      <c r="L18" s="2288" t="s">
        <v>766</v>
      </c>
      <c r="M18" s="2288" t="s">
        <v>279</v>
      </c>
      <c r="N18" s="2288" t="s">
        <v>4992</v>
      </c>
      <c r="O18" s="2288" t="s">
        <v>4993</v>
      </c>
      <c r="P18" s="2298"/>
    </row>
    <row r="19" spans="1:16" s="335" customFormat="1" ht="12" x14ac:dyDescent="0.2">
      <c r="A19" s="330"/>
      <c r="B19" s="330"/>
      <c r="C19" s="330" t="s">
        <v>767</v>
      </c>
      <c r="D19" s="330"/>
      <c r="G19" s="669"/>
      <c r="K19" s="2288" t="s">
        <v>971</v>
      </c>
      <c r="L19" s="2288" t="s">
        <v>767</v>
      </c>
      <c r="M19" s="2288" t="s">
        <v>279</v>
      </c>
      <c r="N19" s="2288" t="s">
        <v>4992</v>
      </c>
      <c r="O19" s="2288" t="s">
        <v>4993</v>
      </c>
      <c r="P19" s="2298"/>
    </row>
    <row r="20" spans="1:16" s="335" customFormat="1" ht="12" x14ac:dyDescent="0.2">
      <c r="A20" s="330"/>
      <c r="B20" s="330"/>
      <c r="C20" s="330" t="s">
        <v>768</v>
      </c>
      <c r="D20" s="330"/>
      <c r="G20" s="669"/>
      <c r="K20" s="2288" t="s">
        <v>971</v>
      </c>
      <c r="L20" s="2288" t="s">
        <v>4994</v>
      </c>
      <c r="M20" s="2288" t="s">
        <v>279</v>
      </c>
      <c r="N20" s="2288" t="s">
        <v>4992</v>
      </c>
      <c r="O20" s="2288" t="s">
        <v>4993</v>
      </c>
      <c r="P20" s="2298"/>
    </row>
    <row r="21" spans="1:16" s="335" customFormat="1" ht="7.35" customHeight="1" x14ac:dyDescent="0.2">
      <c r="A21" s="330"/>
      <c r="B21" s="330"/>
      <c r="C21" s="330"/>
      <c r="D21" s="330"/>
      <c r="G21" s="330"/>
      <c r="K21" s="2288"/>
      <c r="L21" s="2288"/>
      <c r="M21" s="2288"/>
      <c r="N21" s="2288"/>
      <c r="O21" s="2288"/>
      <c r="P21" s="2298"/>
    </row>
    <row r="22" spans="1:16" s="335" customFormat="1" ht="12" x14ac:dyDescent="0.2">
      <c r="A22" s="664" t="s">
        <v>2</v>
      </c>
      <c r="B22" s="330"/>
      <c r="C22" s="330"/>
      <c r="D22" s="330"/>
      <c r="G22" s="330"/>
      <c r="K22" s="2288"/>
      <c r="L22" s="2288"/>
      <c r="M22" s="2288"/>
      <c r="N22" s="2288"/>
      <c r="O22" s="2288"/>
      <c r="P22" s="2298"/>
    </row>
    <row r="23" spans="1:16" s="335" customFormat="1" ht="12" x14ac:dyDescent="0.2">
      <c r="A23" s="664"/>
      <c r="B23" s="330"/>
      <c r="C23" s="330" t="s">
        <v>769</v>
      </c>
      <c r="D23" s="330"/>
      <c r="G23" s="669"/>
      <c r="K23" s="2288" t="s">
        <v>971</v>
      </c>
      <c r="L23" s="2288" t="s">
        <v>769</v>
      </c>
      <c r="M23" s="2288" t="s">
        <v>4995</v>
      </c>
      <c r="N23" s="2288" t="s">
        <v>4996</v>
      </c>
      <c r="O23" s="2288" t="s">
        <v>4993</v>
      </c>
      <c r="P23" s="2298"/>
    </row>
    <row r="24" spans="1:16" s="335" customFormat="1" ht="12" x14ac:dyDescent="0.2">
      <c r="A24" s="664"/>
      <c r="B24" s="330"/>
      <c r="C24" s="330" t="s">
        <v>770</v>
      </c>
      <c r="D24" s="330"/>
      <c r="G24" s="669"/>
      <c r="K24" s="2288" t="s">
        <v>971</v>
      </c>
      <c r="L24" s="2288" t="s">
        <v>770</v>
      </c>
      <c r="M24" s="2288" t="s">
        <v>4995</v>
      </c>
      <c r="N24" s="2288" t="s">
        <v>4996</v>
      </c>
      <c r="O24" s="2288" t="s">
        <v>4993</v>
      </c>
      <c r="P24" s="2298"/>
    </row>
    <row r="25" spans="1:16" s="335" customFormat="1" ht="7.35" customHeight="1" x14ac:dyDescent="0.2">
      <c r="A25" s="330"/>
      <c r="B25" s="330"/>
      <c r="C25" s="330"/>
      <c r="D25" s="330"/>
      <c r="G25" s="330"/>
      <c r="K25" s="2288"/>
      <c r="L25" s="2288"/>
      <c r="M25" s="2288"/>
      <c r="N25" s="2288"/>
      <c r="O25" s="2288"/>
      <c r="P25" s="2298"/>
    </row>
    <row r="26" spans="1:16" s="335" customFormat="1" ht="12" x14ac:dyDescent="0.2">
      <c r="A26" s="664" t="s">
        <v>163</v>
      </c>
      <c r="B26" s="330"/>
      <c r="C26" s="330"/>
      <c r="D26" s="330"/>
      <c r="G26" s="330"/>
      <c r="K26" s="2288"/>
      <c r="L26" s="2288"/>
      <c r="M26" s="2288"/>
      <c r="N26" s="2288"/>
      <c r="O26" s="2288"/>
      <c r="P26" s="2298"/>
    </row>
    <row r="27" spans="1:16" s="335" customFormat="1" ht="12" x14ac:dyDescent="0.2">
      <c r="A27" s="664"/>
      <c r="B27" s="665" t="s">
        <v>4054</v>
      </c>
      <c r="C27" s="330"/>
      <c r="D27" s="330"/>
      <c r="G27" s="330"/>
      <c r="K27" s="2288"/>
      <c r="L27" s="2288"/>
      <c r="M27" s="2288"/>
      <c r="N27" s="2288"/>
      <c r="O27" s="2288"/>
      <c r="P27" s="2298"/>
    </row>
    <row r="28" spans="1:16" s="335" customFormat="1" ht="12" x14ac:dyDescent="0.2">
      <c r="A28" s="664"/>
      <c r="B28" s="665"/>
      <c r="C28" s="330" t="s">
        <v>1132</v>
      </c>
      <c r="D28" s="330"/>
      <c r="G28" s="669"/>
      <c r="K28" s="2288" t="s">
        <v>971</v>
      </c>
      <c r="L28" s="2288" t="s">
        <v>1132</v>
      </c>
      <c r="M28" s="2288" t="s">
        <v>4054</v>
      </c>
      <c r="N28" s="2288" t="s">
        <v>4997</v>
      </c>
      <c r="O28" s="2288" t="s">
        <v>4993</v>
      </c>
      <c r="P28" s="2298"/>
    </row>
    <row r="29" spans="1:16" s="335" customFormat="1" ht="12" x14ac:dyDescent="0.2">
      <c r="A29" s="664"/>
      <c r="B29" s="27"/>
      <c r="C29" s="330" t="s">
        <v>1133</v>
      </c>
      <c r="D29" s="330"/>
      <c r="G29" s="669"/>
      <c r="K29" s="2288" t="s">
        <v>971</v>
      </c>
      <c r="L29" s="2288" t="s">
        <v>1133</v>
      </c>
      <c r="M29" s="2288" t="s">
        <v>4054</v>
      </c>
      <c r="N29" s="2288" t="s">
        <v>4997</v>
      </c>
      <c r="O29" s="2288" t="s">
        <v>4993</v>
      </c>
      <c r="P29" s="2298"/>
    </row>
    <row r="30" spans="1:16" s="335" customFormat="1" ht="12" x14ac:dyDescent="0.2">
      <c r="A30" s="664"/>
      <c r="B30" s="27"/>
      <c r="C30" s="330" t="s">
        <v>1134</v>
      </c>
      <c r="D30" s="330"/>
      <c r="G30" s="669"/>
      <c r="K30" s="2288" t="s">
        <v>971</v>
      </c>
      <c r="L30" s="2288" t="s">
        <v>1134</v>
      </c>
      <c r="M30" s="2288" t="s">
        <v>4054</v>
      </c>
      <c r="N30" s="2288" t="s">
        <v>4997</v>
      </c>
      <c r="O30" s="2288" t="s">
        <v>4993</v>
      </c>
      <c r="P30" s="2298"/>
    </row>
    <row r="31" spans="1:16" s="335" customFormat="1" ht="12" x14ac:dyDescent="0.2">
      <c r="A31" s="664"/>
      <c r="B31" s="27"/>
      <c r="C31" s="330" t="s">
        <v>1122</v>
      </c>
      <c r="D31" s="330"/>
      <c r="G31" s="669"/>
      <c r="K31" s="2288" t="s">
        <v>971</v>
      </c>
      <c r="L31" s="2288" t="s">
        <v>1122</v>
      </c>
      <c r="M31" s="2288" t="s">
        <v>4054</v>
      </c>
      <c r="N31" s="2288" t="s">
        <v>4997</v>
      </c>
      <c r="O31" s="2288" t="s">
        <v>4993</v>
      </c>
      <c r="P31" s="2298"/>
    </row>
    <row r="32" spans="1:16" s="335" customFormat="1" ht="12" x14ac:dyDescent="0.2">
      <c r="A32" s="664"/>
      <c r="B32" s="27"/>
      <c r="C32" s="330" t="s">
        <v>1123</v>
      </c>
      <c r="D32" s="330"/>
      <c r="G32" s="669"/>
      <c r="K32" s="2288" t="s">
        <v>971</v>
      </c>
      <c r="L32" s="2288" t="s">
        <v>1123</v>
      </c>
      <c r="M32" s="2288" t="s">
        <v>4054</v>
      </c>
      <c r="N32" s="2288" t="s">
        <v>4997</v>
      </c>
      <c r="O32" s="2288" t="s">
        <v>4993</v>
      </c>
      <c r="P32" s="2298"/>
    </row>
    <row r="33" spans="1:16" s="335" customFormat="1" ht="12" x14ac:dyDescent="0.2">
      <c r="A33" s="664"/>
      <c r="B33" s="27"/>
      <c r="C33" s="330" t="s">
        <v>1124</v>
      </c>
      <c r="D33" s="330"/>
      <c r="G33" s="669"/>
      <c r="K33" s="2288" t="s">
        <v>971</v>
      </c>
      <c r="L33" s="2288" t="s">
        <v>1124</v>
      </c>
      <c r="M33" s="2288" t="s">
        <v>4054</v>
      </c>
      <c r="N33" s="2288" t="s">
        <v>4997</v>
      </c>
      <c r="O33" s="2288" t="s">
        <v>4993</v>
      </c>
      <c r="P33" s="2298"/>
    </row>
    <row r="34" spans="1:16" s="335" customFormat="1" ht="12" x14ac:dyDescent="0.2">
      <c r="A34" s="664"/>
      <c r="B34" s="27"/>
      <c r="C34" s="330" t="s">
        <v>1125</v>
      </c>
      <c r="D34" s="330"/>
      <c r="G34" s="669"/>
      <c r="K34" s="2288" t="s">
        <v>971</v>
      </c>
      <c r="L34" s="2288" t="s">
        <v>1125</v>
      </c>
      <c r="M34" s="2288" t="s">
        <v>4054</v>
      </c>
      <c r="N34" s="2288" t="s">
        <v>4997</v>
      </c>
      <c r="O34" s="2288" t="s">
        <v>4993</v>
      </c>
      <c r="P34" s="2298"/>
    </row>
    <row r="35" spans="1:16" s="335" customFormat="1" ht="12" x14ac:dyDescent="0.2">
      <c r="A35" s="664"/>
      <c r="B35" s="27"/>
      <c r="C35" s="330" t="s">
        <v>1126</v>
      </c>
      <c r="D35" s="330"/>
      <c r="G35" s="669"/>
      <c r="K35" s="2288" t="s">
        <v>971</v>
      </c>
      <c r="L35" s="2288" t="s">
        <v>1126</v>
      </c>
      <c r="M35" s="2288" t="s">
        <v>4054</v>
      </c>
      <c r="N35" s="2288" t="s">
        <v>4997</v>
      </c>
      <c r="O35" s="2288" t="s">
        <v>4993</v>
      </c>
      <c r="P35" s="2298"/>
    </row>
    <row r="36" spans="1:16" s="335" customFormat="1" ht="12" x14ac:dyDescent="0.2">
      <c r="A36" s="664"/>
      <c r="B36" s="665"/>
      <c r="C36" s="330" t="s">
        <v>328</v>
      </c>
      <c r="D36" s="330"/>
      <c r="G36" s="669"/>
      <c r="K36" s="2288" t="s">
        <v>971</v>
      </c>
      <c r="L36" s="2288" t="s">
        <v>328</v>
      </c>
      <c r="M36" s="2288" t="s">
        <v>4054</v>
      </c>
      <c r="N36" s="2288" t="s">
        <v>4997</v>
      </c>
      <c r="O36" s="2288" t="s">
        <v>4993</v>
      </c>
      <c r="P36" s="2298"/>
    </row>
    <row r="37" spans="1:16" s="335" customFormat="1" ht="12" x14ac:dyDescent="0.2">
      <c r="A37" s="330"/>
      <c r="B37" s="330"/>
      <c r="C37" s="330" t="s">
        <v>329</v>
      </c>
      <c r="D37" s="330"/>
      <c r="G37" s="669"/>
      <c r="K37" s="2288" t="s">
        <v>971</v>
      </c>
      <c r="L37" s="2288" t="s">
        <v>4998</v>
      </c>
      <c r="M37" s="2288" t="s">
        <v>4054</v>
      </c>
      <c r="N37" s="2288" t="s">
        <v>4997</v>
      </c>
      <c r="O37" s="2288" t="s">
        <v>4993</v>
      </c>
      <c r="P37" s="2298"/>
    </row>
    <row r="38" spans="1:16" s="335" customFormat="1" ht="12" x14ac:dyDescent="0.2">
      <c r="A38" s="330"/>
      <c r="B38" s="330"/>
      <c r="C38" s="330" t="s">
        <v>330</v>
      </c>
      <c r="D38" s="330"/>
      <c r="G38" s="669"/>
      <c r="K38" s="2288" t="s">
        <v>971</v>
      </c>
      <c r="L38" s="2288" t="s">
        <v>330</v>
      </c>
      <c r="M38" s="2288" t="s">
        <v>4054</v>
      </c>
      <c r="N38" s="2288" t="s">
        <v>4997</v>
      </c>
      <c r="O38" s="2288" t="s">
        <v>4993</v>
      </c>
      <c r="P38" s="2298"/>
    </row>
    <row r="39" spans="1:16" s="335" customFormat="1" ht="12" x14ac:dyDescent="0.2">
      <c r="A39" s="330"/>
      <c r="B39" s="330"/>
      <c r="C39" s="330" t="s">
        <v>331</v>
      </c>
      <c r="D39" s="330"/>
      <c r="G39" s="669"/>
      <c r="K39" s="2288" t="s">
        <v>971</v>
      </c>
      <c r="L39" s="2288" t="s">
        <v>331</v>
      </c>
      <c r="M39" s="2288" t="s">
        <v>4054</v>
      </c>
      <c r="N39" s="2288" t="s">
        <v>4997</v>
      </c>
      <c r="O39" s="2288" t="s">
        <v>4993</v>
      </c>
      <c r="P39" s="2298"/>
    </row>
    <row r="40" spans="1:16" s="335" customFormat="1" ht="12" x14ac:dyDescent="0.2">
      <c r="A40" s="330"/>
      <c r="B40" s="330"/>
      <c r="C40" s="330" t="s">
        <v>332</v>
      </c>
      <c r="D40" s="330"/>
      <c r="G40" s="669"/>
      <c r="K40" s="2288" t="s">
        <v>971</v>
      </c>
      <c r="L40" s="2288" t="s">
        <v>332</v>
      </c>
      <c r="M40" s="2288" t="s">
        <v>4054</v>
      </c>
      <c r="N40" s="2288" t="s">
        <v>4997</v>
      </c>
      <c r="O40" s="2288" t="s">
        <v>4993</v>
      </c>
      <c r="P40" s="2298"/>
    </row>
    <row r="41" spans="1:16" s="335" customFormat="1" ht="7.35" customHeight="1" x14ac:dyDescent="0.2">
      <c r="A41" s="330"/>
      <c r="B41" s="330"/>
      <c r="C41" s="330"/>
      <c r="D41" s="330"/>
      <c r="G41" s="330"/>
      <c r="K41" s="2288"/>
      <c r="L41" s="2288"/>
      <c r="M41" s="2288"/>
      <c r="N41" s="2288"/>
      <c r="O41" s="2288"/>
      <c r="P41" s="2298"/>
    </row>
    <row r="42" spans="1:16" s="335" customFormat="1" ht="12" x14ac:dyDescent="0.2">
      <c r="A42" s="330"/>
      <c r="B42" s="665" t="s">
        <v>4053</v>
      </c>
      <c r="C42" s="330"/>
      <c r="D42" s="330"/>
      <c r="G42" s="330"/>
      <c r="K42" s="2288"/>
      <c r="L42" s="2288"/>
      <c r="M42" s="2288"/>
      <c r="N42" s="2288"/>
      <c r="O42" s="2288"/>
      <c r="P42" s="2298"/>
    </row>
    <row r="43" spans="1:16" s="335" customFormat="1" ht="12" x14ac:dyDescent="0.2">
      <c r="A43" s="330"/>
      <c r="B43" s="665"/>
      <c r="C43" s="330" t="s">
        <v>329</v>
      </c>
      <c r="D43" s="330"/>
      <c r="G43" s="669"/>
      <c r="K43" s="2288" t="s">
        <v>971</v>
      </c>
      <c r="L43" s="2288" t="s">
        <v>4998</v>
      </c>
      <c r="M43" s="2288" t="s">
        <v>4053</v>
      </c>
      <c r="N43" s="2288" t="s">
        <v>4997</v>
      </c>
      <c r="O43" s="2288" t="s">
        <v>4993</v>
      </c>
      <c r="P43" s="2298"/>
    </row>
    <row r="44" spans="1:16" s="335" customFormat="1" ht="12" x14ac:dyDescent="0.2">
      <c r="A44" s="330"/>
      <c r="B44" s="665"/>
      <c r="C44" s="330" t="s">
        <v>330</v>
      </c>
      <c r="D44" s="330"/>
      <c r="G44" s="669"/>
      <c r="K44" s="2288" t="s">
        <v>971</v>
      </c>
      <c r="L44" s="2288" t="s">
        <v>330</v>
      </c>
      <c r="M44" s="2288" t="s">
        <v>4053</v>
      </c>
      <c r="N44" s="2288" t="s">
        <v>4997</v>
      </c>
      <c r="O44" s="2288" t="s">
        <v>4993</v>
      </c>
      <c r="P44" s="2298"/>
    </row>
    <row r="45" spans="1:16" s="335" customFormat="1" ht="12" x14ac:dyDescent="0.2">
      <c r="A45" s="330"/>
      <c r="B45" s="665"/>
      <c r="C45" s="330" t="s">
        <v>331</v>
      </c>
      <c r="D45" s="330"/>
      <c r="G45" s="669"/>
      <c r="K45" s="2288" t="s">
        <v>971</v>
      </c>
      <c r="L45" s="2288" t="s">
        <v>331</v>
      </c>
      <c r="M45" s="2288" t="s">
        <v>4053</v>
      </c>
      <c r="N45" s="2288" t="s">
        <v>4997</v>
      </c>
      <c r="O45" s="2288" t="s">
        <v>4993</v>
      </c>
      <c r="P45" s="2298"/>
    </row>
    <row r="46" spans="1:16" s="335" customFormat="1" ht="12" x14ac:dyDescent="0.2">
      <c r="A46" s="330"/>
      <c r="B46" s="330"/>
      <c r="C46" s="330" t="s">
        <v>332</v>
      </c>
      <c r="D46" s="330"/>
      <c r="G46" s="669"/>
      <c r="K46" s="2288" t="s">
        <v>971</v>
      </c>
      <c r="L46" s="2288" t="s">
        <v>332</v>
      </c>
      <c r="M46" s="2288" t="s">
        <v>4053</v>
      </c>
      <c r="N46" s="2288" t="s">
        <v>4997</v>
      </c>
      <c r="O46" s="2288" t="s">
        <v>4993</v>
      </c>
      <c r="P46" s="2298"/>
    </row>
    <row r="47" spans="1:16" s="335" customFormat="1" ht="7.35" customHeight="1" x14ac:dyDescent="0.2">
      <c r="A47" s="330"/>
      <c r="B47" s="330"/>
      <c r="C47" s="330"/>
      <c r="D47" s="330"/>
      <c r="G47" s="330"/>
      <c r="K47" s="2288"/>
      <c r="L47" s="2288"/>
      <c r="M47" s="2288"/>
      <c r="N47" s="2288"/>
      <c r="O47" s="2288"/>
      <c r="P47" s="2298"/>
    </row>
    <row r="48" spans="1:16" s="335" customFormat="1" ht="12" x14ac:dyDescent="0.2">
      <c r="A48" s="330"/>
      <c r="B48" s="27" t="s">
        <v>1017</v>
      </c>
      <c r="C48" s="330"/>
      <c r="D48" s="330"/>
      <c r="G48" s="330"/>
      <c r="K48" s="2288"/>
      <c r="L48" s="2288"/>
      <c r="M48" s="2288"/>
      <c r="N48" s="2288"/>
      <c r="O48" s="2288"/>
      <c r="P48" s="2298"/>
    </row>
    <row r="49" spans="1:16" s="335" customFormat="1" ht="12" x14ac:dyDescent="0.2">
      <c r="A49" s="330"/>
      <c r="B49" s="330"/>
      <c r="C49" s="330" t="s">
        <v>1127</v>
      </c>
      <c r="D49" s="330"/>
      <c r="G49" s="669"/>
      <c r="K49" s="2288" t="s">
        <v>971</v>
      </c>
      <c r="L49" s="2288" t="s">
        <v>1127</v>
      </c>
      <c r="M49" s="2288" t="s">
        <v>1017</v>
      </c>
      <c r="N49" s="2288" t="s">
        <v>4997</v>
      </c>
      <c r="O49" s="2288" t="s">
        <v>4993</v>
      </c>
      <c r="P49" s="2298"/>
    </row>
    <row r="50" spans="1:16" s="335" customFormat="1" ht="12" x14ac:dyDescent="0.2">
      <c r="A50" s="330"/>
      <c r="B50" s="330"/>
      <c r="C50" s="24" t="s">
        <v>1128</v>
      </c>
      <c r="D50" s="24"/>
      <c r="G50" s="669"/>
      <c r="K50" s="2288" t="s">
        <v>971</v>
      </c>
      <c r="L50" s="2288" t="s">
        <v>1128</v>
      </c>
      <c r="M50" s="2288" t="s">
        <v>1017</v>
      </c>
      <c r="N50" s="2288" t="s">
        <v>4997</v>
      </c>
      <c r="O50" s="2288" t="s">
        <v>4993</v>
      </c>
      <c r="P50" s="2298"/>
    </row>
    <row r="51" spans="1:16" s="335" customFormat="1" ht="12" x14ac:dyDescent="0.2">
      <c r="A51" s="330"/>
      <c r="B51" s="330"/>
      <c r="C51" s="330" t="s">
        <v>329</v>
      </c>
      <c r="D51" s="330"/>
      <c r="G51" s="669"/>
      <c r="K51" s="2288" t="s">
        <v>971</v>
      </c>
      <c r="L51" s="2288" t="s">
        <v>4998</v>
      </c>
      <c r="M51" s="2288" t="s">
        <v>1017</v>
      </c>
      <c r="N51" s="2288" t="s">
        <v>4997</v>
      </c>
      <c r="O51" s="2288" t="s">
        <v>4993</v>
      </c>
      <c r="P51" s="2298"/>
    </row>
    <row r="52" spans="1:16" s="335" customFormat="1" ht="12" x14ac:dyDescent="0.2">
      <c r="A52" s="330"/>
      <c r="B52" s="330"/>
      <c r="C52" s="330" t="s">
        <v>330</v>
      </c>
      <c r="D52" s="330"/>
      <c r="G52" s="669"/>
      <c r="K52" s="2288" t="s">
        <v>971</v>
      </c>
      <c r="L52" s="2288" t="s">
        <v>330</v>
      </c>
      <c r="M52" s="2288" t="s">
        <v>1017</v>
      </c>
      <c r="N52" s="2288" t="s">
        <v>4997</v>
      </c>
      <c r="O52" s="2288" t="s">
        <v>4993</v>
      </c>
      <c r="P52" s="2298"/>
    </row>
    <row r="53" spans="1:16" s="335" customFormat="1" ht="12" x14ac:dyDescent="0.2">
      <c r="A53" s="330"/>
      <c r="B53" s="330"/>
      <c r="C53" s="330" t="s">
        <v>331</v>
      </c>
      <c r="D53" s="330"/>
      <c r="G53" s="669"/>
      <c r="K53" s="2288" t="s">
        <v>971</v>
      </c>
      <c r="L53" s="2288" t="s">
        <v>331</v>
      </c>
      <c r="M53" s="2288" t="s">
        <v>1017</v>
      </c>
      <c r="N53" s="2288" t="s">
        <v>4997</v>
      </c>
      <c r="O53" s="2288" t="s">
        <v>4993</v>
      </c>
      <c r="P53" s="2298"/>
    </row>
    <row r="54" spans="1:16" s="335" customFormat="1" ht="7.35" customHeight="1" x14ac:dyDescent="0.2">
      <c r="A54" s="330"/>
      <c r="B54" s="330"/>
      <c r="C54" s="330"/>
      <c r="D54" s="330"/>
      <c r="G54" s="330"/>
      <c r="K54" s="2288"/>
      <c r="L54" s="2288"/>
      <c r="M54" s="2288"/>
      <c r="N54" s="2288"/>
      <c r="O54" s="2288"/>
      <c r="P54" s="2298"/>
    </row>
    <row r="55" spans="1:16" s="335" customFormat="1" ht="12" x14ac:dyDescent="0.2">
      <c r="A55" s="364" t="s">
        <v>106</v>
      </c>
      <c r="B55" s="330"/>
      <c r="C55" s="330"/>
      <c r="D55" s="330"/>
      <c r="G55" s="330"/>
      <c r="K55" s="2288"/>
      <c r="L55" s="2288"/>
      <c r="M55" s="2288"/>
      <c r="N55" s="2288"/>
      <c r="O55" s="2288"/>
      <c r="P55" s="2298"/>
    </row>
    <row r="56" spans="1:16" s="335" customFormat="1" ht="12" x14ac:dyDescent="0.2">
      <c r="A56" s="330"/>
      <c r="B56" s="665" t="s">
        <v>1841</v>
      </c>
      <c r="C56" s="330"/>
      <c r="D56" s="330"/>
      <c r="G56" s="330"/>
      <c r="K56" s="2288"/>
      <c r="L56" s="2288"/>
      <c r="M56" s="2288"/>
      <c r="N56" s="2288"/>
      <c r="O56" s="2288"/>
      <c r="P56" s="2298"/>
    </row>
    <row r="57" spans="1:16" s="335" customFormat="1" ht="12" x14ac:dyDescent="0.2">
      <c r="A57" s="330"/>
      <c r="B57" s="665"/>
      <c r="C57" s="330" t="s">
        <v>333</v>
      </c>
      <c r="D57" s="330"/>
      <c r="G57" s="669"/>
      <c r="K57" s="2288" t="s">
        <v>971</v>
      </c>
      <c r="L57" s="2288" t="s">
        <v>333</v>
      </c>
      <c r="M57" s="2288" t="s">
        <v>4999</v>
      </c>
      <c r="N57" s="2288" t="s">
        <v>5000</v>
      </c>
      <c r="O57" s="2288" t="s">
        <v>4993</v>
      </c>
      <c r="P57" s="2298"/>
    </row>
    <row r="58" spans="1:16" s="335" customFormat="1" ht="12" x14ac:dyDescent="0.2">
      <c r="A58" s="330"/>
      <c r="B58" s="665"/>
      <c r="C58" s="330" t="s">
        <v>334</v>
      </c>
      <c r="D58" s="330"/>
      <c r="G58" s="669"/>
      <c r="K58" s="2288" t="s">
        <v>971</v>
      </c>
      <c r="L58" s="2288" t="s">
        <v>334</v>
      </c>
      <c r="M58" s="2288" t="s">
        <v>4999</v>
      </c>
      <c r="N58" s="2288" t="s">
        <v>5000</v>
      </c>
      <c r="O58" s="2288" t="s">
        <v>4993</v>
      </c>
      <c r="P58" s="2298"/>
    </row>
    <row r="59" spans="1:16" s="335" customFormat="1" ht="12" x14ac:dyDescent="0.2">
      <c r="A59" s="330"/>
      <c r="B59" s="665"/>
      <c r="C59" s="330" t="s">
        <v>335</v>
      </c>
      <c r="D59" s="330"/>
      <c r="G59" s="669"/>
      <c r="K59" s="2288" t="s">
        <v>971</v>
      </c>
      <c r="L59" s="2288" t="s">
        <v>335</v>
      </c>
      <c r="M59" s="2288" t="s">
        <v>4999</v>
      </c>
      <c r="N59" s="2288" t="s">
        <v>5000</v>
      </c>
      <c r="O59" s="2288" t="s">
        <v>4993</v>
      </c>
      <c r="P59" s="2298"/>
    </row>
    <row r="60" spans="1:16" s="335" customFormat="1" ht="12" x14ac:dyDescent="0.2">
      <c r="A60" s="330"/>
      <c r="B60" s="665"/>
      <c r="C60" s="330" t="s">
        <v>1843</v>
      </c>
      <c r="D60" s="330"/>
      <c r="G60" s="1264"/>
      <c r="K60" s="2288" t="s">
        <v>971</v>
      </c>
      <c r="L60" s="2288" t="s">
        <v>1843</v>
      </c>
      <c r="M60" s="2288" t="s">
        <v>4999</v>
      </c>
      <c r="N60" s="2288" t="s">
        <v>5000</v>
      </c>
      <c r="O60" s="2288" t="s">
        <v>4993</v>
      </c>
      <c r="P60" s="2298"/>
    </row>
    <row r="61" spans="1:16" s="335" customFormat="1" ht="12" x14ac:dyDescent="0.2">
      <c r="A61" s="330"/>
      <c r="B61" s="330"/>
      <c r="C61" s="666" t="s">
        <v>4156</v>
      </c>
      <c r="D61" s="666"/>
      <c r="G61" s="330"/>
      <c r="K61" s="2288"/>
      <c r="L61" s="2288"/>
      <c r="M61" s="2288"/>
      <c r="N61" s="2288"/>
      <c r="O61" s="2288"/>
      <c r="P61" s="2298"/>
    </row>
    <row r="62" spans="1:16" s="335" customFormat="1" ht="12" x14ac:dyDescent="0.2">
      <c r="A62" s="330"/>
      <c r="B62" s="330"/>
      <c r="C62" s="330" t="s">
        <v>682</v>
      </c>
      <c r="D62" s="330"/>
      <c r="G62" s="669"/>
      <c r="K62" s="2288" t="s">
        <v>971</v>
      </c>
      <c r="L62" s="2288" t="s">
        <v>5001</v>
      </c>
      <c r="M62" s="2288" t="s">
        <v>5002</v>
      </c>
      <c r="N62" s="2288" t="s">
        <v>5000</v>
      </c>
      <c r="O62" s="2288" t="s">
        <v>4993</v>
      </c>
      <c r="P62" s="2298"/>
    </row>
    <row r="63" spans="1:16" s="335" customFormat="1" ht="12" x14ac:dyDescent="0.2">
      <c r="A63" s="330"/>
      <c r="B63" s="330"/>
      <c r="C63" s="330" t="s">
        <v>683</v>
      </c>
      <c r="D63" s="330"/>
      <c r="G63" s="669"/>
      <c r="K63" s="2288" t="s">
        <v>971</v>
      </c>
      <c r="L63" s="2288" t="s">
        <v>5003</v>
      </c>
      <c r="M63" s="2288" t="s">
        <v>5002</v>
      </c>
      <c r="N63" s="2288" t="s">
        <v>5000</v>
      </c>
      <c r="O63" s="2288" t="s">
        <v>4993</v>
      </c>
      <c r="P63" s="2298"/>
    </row>
    <row r="64" spans="1:16" s="335" customFormat="1" ht="12" x14ac:dyDescent="0.2">
      <c r="A64" s="330"/>
      <c r="B64" s="330"/>
      <c r="C64" s="330" t="s">
        <v>695</v>
      </c>
      <c r="D64" s="330"/>
      <c r="G64" s="669"/>
      <c r="K64" s="2288" t="s">
        <v>971</v>
      </c>
      <c r="L64" s="2288" t="s">
        <v>5004</v>
      </c>
      <c r="M64" s="2288" t="s">
        <v>5002</v>
      </c>
      <c r="N64" s="2288" t="s">
        <v>5000</v>
      </c>
      <c r="O64" s="2288" t="s">
        <v>4993</v>
      </c>
      <c r="P64" s="2298"/>
    </row>
    <row r="65" spans="1:16" s="335" customFormat="1" ht="12" x14ac:dyDescent="0.2">
      <c r="A65" s="330"/>
      <c r="B65" s="330"/>
      <c r="C65" s="330" t="s">
        <v>697</v>
      </c>
      <c r="D65" s="330"/>
      <c r="G65" s="669"/>
      <c r="K65" s="2288" t="s">
        <v>971</v>
      </c>
      <c r="L65" s="2288" t="s">
        <v>5005</v>
      </c>
      <c r="M65" s="2288" t="s">
        <v>5002</v>
      </c>
      <c r="N65" s="2288" t="s">
        <v>5000</v>
      </c>
      <c r="O65" s="2288" t="s">
        <v>4993</v>
      </c>
      <c r="P65" s="2298"/>
    </row>
    <row r="66" spans="1:16" s="335" customFormat="1" ht="12" x14ac:dyDescent="0.2">
      <c r="A66" s="330"/>
      <c r="B66" s="330"/>
      <c r="C66" s="330" t="s">
        <v>698</v>
      </c>
      <c r="D66" s="330"/>
      <c r="G66" s="669"/>
      <c r="K66" s="2288" t="s">
        <v>971</v>
      </c>
      <c r="L66" s="2288" t="s">
        <v>5006</v>
      </c>
      <c r="M66" s="2288" t="s">
        <v>5002</v>
      </c>
      <c r="N66" s="2288" t="s">
        <v>5000</v>
      </c>
      <c r="O66" s="2288" t="s">
        <v>4993</v>
      </c>
      <c r="P66" s="2298"/>
    </row>
    <row r="67" spans="1:16" s="335" customFormat="1" ht="12" x14ac:dyDescent="0.2">
      <c r="A67" s="330"/>
      <c r="B67" s="330"/>
      <c r="C67" s="330" t="s">
        <v>202</v>
      </c>
      <c r="D67" s="330"/>
      <c r="G67" s="669"/>
      <c r="K67" s="2288" t="s">
        <v>971</v>
      </c>
      <c r="L67" s="2288" t="s">
        <v>5007</v>
      </c>
      <c r="M67" s="2288" t="s">
        <v>5002</v>
      </c>
      <c r="N67" s="2288" t="s">
        <v>5000</v>
      </c>
      <c r="O67" s="2288" t="s">
        <v>4993</v>
      </c>
      <c r="P67" s="2298"/>
    </row>
    <row r="68" spans="1:16" x14ac:dyDescent="0.2">
      <c r="A68" s="330"/>
      <c r="B68" s="330"/>
      <c r="C68" s="330" t="s">
        <v>552</v>
      </c>
      <c r="D68" s="330"/>
      <c r="G68" s="669"/>
      <c r="K68" s="2288" t="s">
        <v>971</v>
      </c>
      <c r="L68" s="2288" t="s">
        <v>5008</v>
      </c>
      <c r="M68" s="2288" t="s">
        <v>5002</v>
      </c>
      <c r="N68" s="2288" t="s">
        <v>5000</v>
      </c>
      <c r="O68" s="2288" t="s">
        <v>4993</v>
      </c>
      <c r="P68" s="2292"/>
    </row>
    <row r="69" spans="1:16" ht="7.35" customHeight="1" x14ac:dyDescent="0.2">
      <c r="A69" s="330"/>
      <c r="B69" s="330"/>
      <c r="C69" s="330"/>
      <c r="D69" s="330"/>
      <c r="G69" s="330"/>
      <c r="P69" s="2292"/>
    </row>
    <row r="70" spans="1:16" x14ac:dyDescent="0.2">
      <c r="A70" s="330"/>
      <c r="B70" s="330"/>
      <c r="C70" s="666" t="s">
        <v>336</v>
      </c>
      <c r="D70" s="666"/>
      <c r="G70" s="330"/>
      <c r="P70" s="2292"/>
    </row>
    <row r="71" spans="1:16" x14ac:dyDescent="0.2">
      <c r="A71" s="330"/>
      <c r="B71" s="330"/>
      <c r="C71" s="330" t="s">
        <v>682</v>
      </c>
      <c r="D71" s="330"/>
      <c r="G71" s="669"/>
      <c r="K71" s="2288" t="s">
        <v>971</v>
      </c>
      <c r="L71" s="2288" t="s">
        <v>5001</v>
      </c>
      <c r="M71" s="2288" t="s">
        <v>5009</v>
      </c>
      <c r="N71" s="2288" t="s">
        <v>5000</v>
      </c>
      <c r="O71" s="2288" t="s">
        <v>4993</v>
      </c>
      <c r="P71" s="2292"/>
    </row>
    <row r="72" spans="1:16" x14ac:dyDescent="0.2">
      <c r="A72" s="330"/>
      <c r="B72" s="330"/>
      <c r="C72" s="330" t="s">
        <v>696</v>
      </c>
      <c r="D72" s="330"/>
      <c r="G72" s="669"/>
      <c r="K72" s="2288" t="s">
        <v>971</v>
      </c>
      <c r="L72" s="2288" t="s">
        <v>5010</v>
      </c>
      <c r="M72" s="2288" t="s">
        <v>5009</v>
      </c>
      <c r="N72" s="2288" t="s">
        <v>5000</v>
      </c>
      <c r="O72" s="2288" t="s">
        <v>4993</v>
      </c>
      <c r="P72" s="2292"/>
    </row>
    <row r="73" spans="1:16" x14ac:dyDescent="0.2">
      <c r="A73" s="330"/>
      <c r="B73" s="330"/>
      <c r="C73" s="330" t="s">
        <v>697</v>
      </c>
      <c r="D73" s="330"/>
      <c r="G73" s="669"/>
      <c r="K73" s="2288" t="s">
        <v>971</v>
      </c>
      <c r="L73" s="2288" t="s">
        <v>5005</v>
      </c>
      <c r="M73" s="2288" t="s">
        <v>5009</v>
      </c>
      <c r="N73" s="2288" t="s">
        <v>5000</v>
      </c>
      <c r="O73" s="2288" t="s">
        <v>4993</v>
      </c>
      <c r="P73" s="2292"/>
    </row>
    <row r="74" spans="1:16" x14ac:dyDescent="0.2">
      <c r="A74" s="330"/>
      <c r="B74" s="330"/>
      <c r="C74" s="330" t="s">
        <v>202</v>
      </c>
      <c r="D74" s="330"/>
      <c r="G74" s="669"/>
      <c r="K74" s="2288" t="s">
        <v>971</v>
      </c>
      <c r="L74" s="2288" t="s">
        <v>5007</v>
      </c>
      <c r="M74" s="2288" t="s">
        <v>5009</v>
      </c>
      <c r="N74" s="2288" t="s">
        <v>5000</v>
      </c>
      <c r="O74" s="2288" t="s">
        <v>4993</v>
      </c>
      <c r="P74" s="2292"/>
    </row>
    <row r="75" spans="1:16" x14ac:dyDescent="0.2">
      <c r="A75" s="330"/>
      <c r="B75" s="330"/>
      <c r="C75" s="330" t="s">
        <v>552</v>
      </c>
      <c r="D75" s="330"/>
      <c r="G75" s="669"/>
      <c r="K75" s="2288" t="s">
        <v>971</v>
      </c>
      <c r="L75" s="2288" t="s">
        <v>5008</v>
      </c>
      <c r="M75" s="2288" t="s">
        <v>5009</v>
      </c>
      <c r="N75" s="2288" t="s">
        <v>5000</v>
      </c>
      <c r="O75" s="2288" t="s">
        <v>4993</v>
      </c>
      <c r="P75" s="2292"/>
    </row>
    <row r="76" spans="1:16" x14ac:dyDescent="0.2">
      <c r="A76" s="330"/>
      <c r="B76" s="330"/>
      <c r="C76" s="330"/>
      <c r="D76" s="330"/>
      <c r="G76" s="1265"/>
      <c r="P76" s="2292"/>
    </row>
    <row r="77" spans="1:16" x14ac:dyDescent="0.2">
      <c r="A77" s="330"/>
      <c r="B77" s="330"/>
      <c r="C77" s="330"/>
      <c r="D77" s="330"/>
      <c r="G77" s="1265"/>
      <c r="P77" s="2292"/>
    </row>
    <row r="78" spans="1:16" x14ac:dyDescent="0.2">
      <c r="A78" s="364" t="s">
        <v>106</v>
      </c>
      <c r="B78" s="330"/>
      <c r="C78" s="330"/>
      <c r="D78" s="330"/>
      <c r="G78" s="330"/>
      <c r="P78" s="2292"/>
    </row>
    <row r="79" spans="1:16" x14ac:dyDescent="0.2">
      <c r="A79" s="330"/>
      <c r="B79" s="665" t="s">
        <v>1841</v>
      </c>
      <c r="C79" s="330"/>
      <c r="D79" s="330"/>
      <c r="G79" s="330"/>
      <c r="P79" s="2292"/>
    </row>
    <row r="80" spans="1:16" x14ac:dyDescent="0.2">
      <c r="A80" s="330"/>
      <c r="B80" s="665"/>
      <c r="C80" s="330" t="s">
        <v>337</v>
      </c>
      <c r="D80" s="330"/>
      <c r="G80" s="330"/>
      <c r="P80" s="2292"/>
    </row>
    <row r="81" spans="1:16" x14ac:dyDescent="0.2">
      <c r="A81" s="330"/>
      <c r="B81" s="665"/>
      <c r="C81" s="666" t="s">
        <v>203</v>
      </c>
      <c r="D81" s="666"/>
      <c r="G81" s="1265"/>
      <c r="P81" s="2292"/>
    </row>
    <row r="82" spans="1:16" x14ac:dyDescent="0.2">
      <c r="A82" s="330"/>
      <c r="B82" s="330"/>
      <c r="C82" s="330" t="s">
        <v>1025</v>
      </c>
      <c r="D82" s="330"/>
      <c r="G82" s="669"/>
      <c r="K82" s="2288" t="s">
        <v>971</v>
      </c>
      <c r="L82" s="2288" t="s">
        <v>5011</v>
      </c>
      <c r="M82" s="2288" t="s">
        <v>5012</v>
      </c>
      <c r="N82" s="2288" t="s">
        <v>5000</v>
      </c>
      <c r="O82" s="2288" t="s">
        <v>4993</v>
      </c>
      <c r="P82" s="2292"/>
    </row>
    <row r="83" spans="1:16" x14ac:dyDescent="0.2">
      <c r="A83" s="330"/>
      <c r="B83" s="330"/>
      <c r="C83" s="666" t="s">
        <v>1026</v>
      </c>
      <c r="D83" s="666"/>
      <c r="G83" s="1265"/>
      <c r="P83" s="2292"/>
    </row>
    <row r="84" spans="1:16" x14ac:dyDescent="0.2">
      <c r="A84" s="330"/>
      <c r="B84" s="330"/>
      <c r="C84" s="330" t="s">
        <v>1027</v>
      </c>
      <c r="D84" s="330"/>
      <c r="G84" s="669"/>
      <c r="K84" s="2288" t="s">
        <v>971</v>
      </c>
      <c r="L84" s="2288" t="s">
        <v>5013</v>
      </c>
      <c r="M84" s="2288" t="s">
        <v>5014</v>
      </c>
      <c r="N84" s="2288" t="s">
        <v>5000</v>
      </c>
      <c r="O84" s="2288" t="s">
        <v>4993</v>
      </c>
      <c r="P84" s="2292"/>
    </row>
    <row r="85" spans="1:16" x14ac:dyDescent="0.2">
      <c r="A85" s="330"/>
      <c r="B85" s="330"/>
      <c r="C85" s="330" t="s">
        <v>1028</v>
      </c>
      <c r="D85" s="330"/>
      <c r="G85" s="669"/>
      <c r="K85" s="2288" t="s">
        <v>971</v>
      </c>
      <c r="L85" s="2288" t="s">
        <v>5015</v>
      </c>
      <c r="M85" s="2288" t="s">
        <v>5014</v>
      </c>
      <c r="N85" s="2288" t="s">
        <v>5000</v>
      </c>
      <c r="O85" s="2288" t="s">
        <v>4993</v>
      </c>
      <c r="P85" s="2292"/>
    </row>
    <row r="86" spans="1:16" x14ac:dyDescent="0.2">
      <c r="A86" s="330"/>
      <c r="B86" s="330"/>
      <c r="C86" s="330" t="s">
        <v>1029</v>
      </c>
      <c r="D86" s="330"/>
      <c r="G86" s="1264"/>
      <c r="K86" s="2288" t="s">
        <v>971</v>
      </c>
      <c r="L86" s="2288" t="s">
        <v>5016</v>
      </c>
      <c r="M86" s="2288" t="s">
        <v>5014</v>
      </c>
      <c r="N86" s="2288" t="s">
        <v>5000</v>
      </c>
      <c r="O86" s="2288" t="s">
        <v>4993</v>
      </c>
      <c r="P86" s="2292"/>
    </row>
    <row r="87" spans="1:16" x14ac:dyDescent="0.2">
      <c r="A87" s="330"/>
      <c r="B87" s="330"/>
      <c r="C87" s="666" t="s">
        <v>4159</v>
      </c>
      <c r="D87" s="330"/>
      <c r="G87" s="1265"/>
      <c r="P87" s="2292"/>
    </row>
    <row r="88" spans="1:16" x14ac:dyDescent="0.2">
      <c r="A88" s="330"/>
      <c r="B88" s="330"/>
      <c r="C88" s="330" t="s">
        <v>1025</v>
      </c>
      <c r="D88" s="330"/>
      <c r="G88" s="669"/>
      <c r="K88" s="2288" t="s">
        <v>971</v>
      </c>
      <c r="L88" s="2288" t="s">
        <v>5011</v>
      </c>
      <c r="M88" s="2288" t="s">
        <v>5017</v>
      </c>
      <c r="N88" s="2288" t="s">
        <v>5000</v>
      </c>
      <c r="O88" s="2288" t="s">
        <v>4993</v>
      </c>
      <c r="P88" s="2292"/>
    </row>
    <row r="89" spans="1:16" x14ac:dyDescent="0.2">
      <c r="A89" s="330"/>
      <c r="B89" s="330"/>
      <c r="C89" s="330" t="s">
        <v>1028</v>
      </c>
      <c r="D89" s="330"/>
      <c r="G89" s="1264"/>
      <c r="K89" s="2288" t="s">
        <v>971</v>
      </c>
      <c r="L89" s="2288" t="s">
        <v>5015</v>
      </c>
      <c r="M89" s="2288" t="s">
        <v>5017</v>
      </c>
      <c r="N89" s="2288" t="s">
        <v>5000</v>
      </c>
      <c r="O89" s="2288" t="s">
        <v>4993</v>
      </c>
      <c r="P89" s="2292"/>
    </row>
    <row r="90" spans="1:16" x14ac:dyDescent="0.2">
      <c r="A90" s="330"/>
      <c r="B90" s="330"/>
      <c r="C90" s="330" t="s">
        <v>1030</v>
      </c>
      <c r="D90" s="330"/>
      <c r="G90" s="330"/>
      <c r="N90" s="2288"/>
      <c r="P90" s="2292"/>
    </row>
    <row r="91" spans="1:16" x14ac:dyDescent="0.2">
      <c r="A91" s="330"/>
      <c r="B91" s="330"/>
      <c r="C91" s="666" t="s">
        <v>1026</v>
      </c>
      <c r="D91" s="666"/>
      <c r="G91" s="1265"/>
      <c r="P91" s="2292"/>
    </row>
    <row r="92" spans="1:16" ht="13.5" customHeight="1" x14ac:dyDescent="0.2">
      <c r="A92" s="330"/>
      <c r="B92" s="330"/>
      <c r="C92" s="330" t="s">
        <v>1031</v>
      </c>
      <c r="D92" s="330"/>
      <c r="G92" s="669"/>
      <c r="K92" s="2288" t="s">
        <v>971</v>
      </c>
      <c r="L92" s="2288" t="s">
        <v>5018</v>
      </c>
      <c r="M92" s="2288" t="s">
        <v>5019</v>
      </c>
      <c r="N92" s="2288" t="s">
        <v>5000</v>
      </c>
      <c r="O92" s="2288" t="s">
        <v>4993</v>
      </c>
      <c r="P92" s="2292"/>
    </row>
    <row r="93" spans="1:16" x14ac:dyDescent="0.2">
      <c r="A93" s="330"/>
      <c r="B93" s="330"/>
      <c r="C93" s="330"/>
      <c r="D93" s="330"/>
      <c r="G93" s="330"/>
      <c r="P93" s="2292"/>
    </row>
    <row r="94" spans="1:16" x14ac:dyDescent="0.2">
      <c r="A94" s="664" t="s">
        <v>729</v>
      </c>
      <c r="B94" s="330"/>
      <c r="C94" s="330"/>
      <c r="D94" s="330"/>
      <c r="G94" s="330"/>
      <c r="P94" s="2292"/>
    </row>
    <row r="95" spans="1:16" x14ac:dyDescent="0.2">
      <c r="A95" s="664"/>
      <c r="B95" s="27" t="s">
        <v>144</v>
      </c>
      <c r="C95" s="330"/>
      <c r="D95" s="330"/>
      <c r="G95" s="330"/>
      <c r="P95" s="2292"/>
    </row>
    <row r="96" spans="1:16" x14ac:dyDescent="0.2">
      <c r="A96" s="330"/>
      <c r="B96" s="665"/>
      <c r="C96" s="330" t="s">
        <v>1116</v>
      </c>
      <c r="D96" s="330"/>
      <c r="G96" s="330"/>
      <c r="P96" s="2292"/>
    </row>
    <row r="97" spans="1:16" x14ac:dyDescent="0.2">
      <c r="A97" s="330"/>
      <c r="B97" s="665"/>
      <c r="C97" s="330" t="s">
        <v>1117</v>
      </c>
      <c r="D97" s="330"/>
      <c r="P97" s="2292"/>
    </row>
    <row r="98" spans="1:16" x14ac:dyDescent="0.2">
      <c r="A98" s="330"/>
      <c r="B98" s="665"/>
      <c r="C98" s="330" t="s">
        <v>1118</v>
      </c>
      <c r="D98" s="330"/>
      <c r="G98" s="669"/>
      <c r="K98" s="2288" t="s">
        <v>971</v>
      </c>
      <c r="L98" s="2288" t="s">
        <v>5020</v>
      </c>
      <c r="M98" s="2288" t="s">
        <v>5021</v>
      </c>
      <c r="N98" s="2288" t="s">
        <v>5022</v>
      </c>
      <c r="O98" s="2288" t="s">
        <v>4993</v>
      </c>
      <c r="P98" s="2292"/>
    </row>
    <row r="99" spans="1:16" x14ac:dyDescent="0.2">
      <c r="A99" s="330"/>
      <c r="B99" s="665"/>
      <c r="C99" s="330" t="s">
        <v>1119</v>
      </c>
      <c r="D99" s="330"/>
      <c r="G99" s="669"/>
      <c r="K99" s="2288" t="s">
        <v>971</v>
      </c>
      <c r="L99" s="2288" t="s">
        <v>5023</v>
      </c>
      <c r="M99" s="2288" t="s">
        <v>5021</v>
      </c>
      <c r="N99" s="2288" t="s">
        <v>5022</v>
      </c>
      <c r="O99" s="2288" t="s">
        <v>4993</v>
      </c>
      <c r="P99" s="2292"/>
    </row>
    <row r="100" spans="1:16" x14ac:dyDescent="0.2">
      <c r="A100" s="330"/>
      <c r="B100" s="330"/>
      <c r="C100" s="330" t="s">
        <v>1120</v>
      </c>
      <c r="D100" s="330"/>
      <c r="G100" s="1265"/>
      <c r="M100" s="2288"/>
      <c r="N100" s="2288"/>
      <c r="P100" s="2292"/>
    </row>
    <row r="101" spans="1:16" x14ac:dyDescent="0.2">
      <c r="C101" s="330" t="s">
        <v>1121</v>
      </c>
      <c r="D101" s="330"/>
      <c r="G101" s="669"/>
      <c r="K101" s="2288" t="s">
        <v>971</v>
      </c>
      <c r="L101" s="2288" t="s">
        <v>5024</v>
      </c>
      <c r="M101" s="2288" t="s">
        <v>5025</v>
      </c>
      <c r="N101" s="2288" t="s">
        <v>5022</v>
      </c>
      <c r="O101" s="2288" t="s">
        <v>4993</v>
      </c>
      <c r="P101" s="2292"/>
    </row>
    <row r="102" spans="1:16" x14ac:dyDescent="0.2">
      <c r="C102" s="330" t="s">
        <v>1000</v>
      </c>
      <c r="D102" s="330"/>
      <c r="G102" s="669"/>
      <c r="K102" s="2288" t="s">
        <v>971</v>
      </c>
      <c r="L102" s="2288" t="s">
        <v>5026</v>
      </c>
      <c r="M102" s="2288" t="s">
        <v>5025</v>
      </c>
      <c r="N102" s="2288" t="s">
        <v>5022</v>
      </c>
      <c r="O102" s="2288" t="s">
        <v>4993</v>
      </c>
      <c r="P102" s="2292"/>
    </row>
    <row r="103" spans="1:16" x14ac:dyDescent="0.2">
      <c r="C103" s="330" t="s">
        <v>1001</v>
      </c>
      <c r="D103" s="330"/>
      <c r="G103" s="669"/>
      <c r="K103" s="2288" t="s">
        <v>971</v>
      </c>
      <c r="L103" s="2288" t="s">
        <v>5027</v>
      </c>
      <c r="M103" s="2288" t="s">
        <v>144</v>
      </c>
      <c r="N103" s="2288" t="s">
        <v>5022</v>
      </c>
      <c r="O103" s="2288" t="s">
        <v>4993</v>
      </c>
      <c r="P103" s="2292"/>
    </row>
    <row r="104" spans="1:16" ht="12" customHeight="1" x14ac:dyDescent="0.2">
      <c r="C104" s="330" t="s">
        <v>1002</v>
      </c>
      <c r="D104" s="330"/>
      <c r="G104" s="669"/>
      <c r="K104" s="2288" t="s">
        <v>971</v>
      </c>
      <c r="L104" s="2288" t="s">
        <v>5028</v>
      </c>
      <c r="M104" s="2288" t="s">
        <v>144</v>
      </c>
      <c r="N104" s="2288" t="s">
        <v>5022</v>
      </c>
      <c r="O104" s="2288" t="s">
        <v>4993</v>
      </c>
      <c r="P104" s="2292"/>
    </row>
    <row r="105" spans="1:16" x14ac:dyDescent="0.2">
      <c r="C105" s="330"/>
      <c r="D105" s="330"/>
      <c r="G105" s="330"/>
      <c r="N105" s="2288"/>
      <c r="P105" s="2292"/>
    </row>
    <row r="106" spans="1:16" x14ac:dyDescent="0.2">
      <c r="A106" s="663" t="s">
        <v>1003</v>
      </c>
      <c r="B106" s="330"/>
      <c r="C106" s="330"/>
      <c r="D106" s="330"/>
      <c r="G106" s="330"/>
      <c r="N106" s="2288"/>
      <c r="P106" s="2292"/>
    </row>
    <row r="107" spans="1:16" x14ac:dyDescent="0.2">
      <c r="A107" s="664" t="s">
        <v>110</v>
      </c>
      <c r="B107" s="330"/>
      <c r="C107" s="330"/>
      <c r="D107" s="330"/>
      <c r="G107" s="330"/>
      <c r="N107" s="2288"/>
      <c r="P107" s="2292"/>
    </row>
    <row r="108" spans="1:16" x14ac:dyDescent="0.2">
      <c r="A108" s="330"/>
      <c r="B108" s="665" t="s">
        <v>1004</v>
      </c>
      <c r="C108" s="330"/>
      <c r="D108" s="330"/>
      <c r="G108" s="1265"/>
      <c r="J108" s="745"/>
      <c r="K108" s="2291"/>
      <c r="N108" s="2288"/>
      <c r="P108" s="2292"/>
    </row>
    <row r="109" spans="1:16" ht="16.5" customHeight="1" x14ac:dyDescent="0.2">
      <c r="A109" s="330"/>
      <c r="B109" s="330"/>
      <c r="C109" s="330" t="s">
        <v>765</v>
      </c>
      <c r="D109" s="330"/>
      <c r="G109" s="669"/>
      <c r="K109" s="2288" t="s">
        <v>971</v>
      </c>
      <c r="L109" s="2288" t="s">
        <v>765</v>
      </c>
      <c r="M109" s="2288" t="s">
        <v>1004</v>
      </c>
      <c r="N109" s="2288" t="s">
        <v>5029</v>
      </c>
      <c r="O109" s="2288" t="s">
        <v>4993</v>
      </c>
      <c r="P109" s="2292"/>
    </row>
    <row r="110" spans="1:16" x14ac:dyDescent="0.2">
      <c r="A110" s="330"/>
      <c r="B110" s="330"/>
      <c r="C110" s="330"/>
      <c r="D110" s="330"/>
      <c r="G110" s="330"/>
      <c r="K110" s="2288"/>
      <c r="M110" s="2288"/>
      <c r="N110" s="2288"/>
      <c r="P110" s="2292"/>
    </row>
    <row r="111" spans="1:16" x14ac:dyDescent="0.2">
      <c r="A111" s="330"/>
      <c r="B111" s="665" t="s">
        <v>304</v>
      </c>
      <c r="C111" s="330"/>
      <c r="D111" s="330"/>
      <c r="G111" s="1265"/>
      <c r="J111" s="745"/>
      <c r="K111" s="2288"/>
      <c r="M111" s="2288"/>
      <c r="N111" s="2288"/>
      <c r="O111" s="2288"/>
      <c r="P111" s="2292"/>
    </row>
    <row r="112" spans="1:16" x14ac:dyDescent="0.2">
      <c r="A112" s="330"/>
      <c r="B112" s="665"/>
      <c r="C112" s="330" t="s">
        <v>338</v>
      </c>
      <c r="D112" s="330"/>
      <c r="G112" s="669"/>
      <c r="J112" s="745"/>
      <c r="K112" s="2288" t="s">
        <v>971</v>
      </c>
      <c r="L112" s="2288" t="s">
        <v>338</v>
      </c>
      <c r="M112" s="2288" t="s">
        <v>304</v>
      </c>
      <c r="N112" s="2288" t="s">
        <v>5029</v>
      </c>
      <c r="O112" s="2288" t="s">
        <v>4993</v>
      </c>
      <c r="P112" s="2292"/>
    </row>
    <row r="113" spans="1:16" x14ac:dyDescent="0.2">
      <c r="A113" s="330"/>
      <c r="B113" s="665"/>
      <c r="C113" s="330" t="s">
        <v>339</v>
      </c>
      <c r="D113" s="330"/>
      <c r="G113" s="669"/>
      <c r="J113" s="745"/>
      <c r="K113" s="2288" t="s">
        <v>971</v>
      </c>
      <c r="L113" s="2288" t="s">
        <v>339</v>
      </c>
      <c r="M113" s="2288" t="s">
        <v>304</v>
      </c>
      <c r="N113" s="2288" t="s">
        <v>5029</v>
      </c>
      <c r="O113" s="2288" t="s">
        <v>4993</v>
      </c>
      <c r="P113" s="2292"/>
    </row>
    <row r="114" spans="1:16" ht="12.75" customHeight="1" x14ac:dyDescent="0.2">
      <c r="A114" s="330"/>
      <c r="B114" s="330"/>
      <c r="C114" s="330" t="s">
        <v>1453</v>
      </c>
      <c r="D114" s="330"/>
      <c r="G114" s="669"/>
      <c r="K114" s="2288" t="s">
        <v>971</v>
      </c>
      <c r="L114" s="2288" t="s">
        <v>1453</v>
      </c>
      <c r="M114" s="2288" t="s">
        <v>304</v>
      </c>
      <c r="N114" s="2288" t="s">
        <v>5029</v>
      </c>
      <c r="O114" s="2288" t="s">
        <v>4993</v>
      </c>
      <c r="P114" s="2292"/>
    </row>
    <row r="115" spans="1:16" x14ac:dyDescent="0.2">
      <c r="A115" s="330"/>
      <c r="B115" s="665"/>
      <c r="J115" s="745"/>
      <c r="K115" s="2288"/>
      <c r="M115" s="2288"/>
      <c r="N115" s="2288"/>
      <c r="P115" s="2292"/>
    </row>
    <row r="116" spans="1:16" x14ac:dyDescent="0.2">
      <c r="A116" s="330"/>
      <c r="B116" s="665" t="s">
        <v>1454</v>
      </c>
      <c r="D116" s="27"/>
      <c r="G116" s="1265"/>
      <c r="K116" s="2288"/>
      <c r="M116" s="2288"/>
      <c r="N116" s="2288"/>
      <c r="P116" s="2292"/>
    </row>
    <row r="117" spans="1:16" x14ac:dyDescent="0.2">
      <c r="A117" s="330"/>
      <c r="B117" s="330" t="s">
        <v>340</v>
      </c>
      <c r="D117" s="330"/>
      <c r="G117" s="669"/>
      <c r="K117" s="2288" t="s">
        <v>971</v>
      </c>
      <c r="L117" s="2288" t="s">
        <v>5030</v>
      </c>
      <c r="M117" s="2288" t="s">
        <v>1454</v>
      </c>
      <c r="N117" s="2288" t="s">
        <v>5029</v>
      </c>
      <c r="O117" s="2288" t="s">
        <v>4993</v>
      </c>
      <c r="P117" s="2292"/>
    </row>
    <row r="118" spans="1:16" x14ac:dyDescent="0.2">
      <c r="A118" s="330"/>
      <c r="B118" s="330" t="s">
        <v>341</v>
      </c>
      <c r="D118" s="330"/>
      <c r="G118" s="669"/>
      <c r="K118" s="2288" t="s">
        <v>971</v>
      </c>
      <c r="L118" s="2288" t="s">
        <v>5031</v>
      </c>
      <c r="M118" s="2288" t="s">
        <v>1454</v>
      </c>
      <c r="N118" s="2288" t="s">
        <v>5029</v>
      </c>
      <c r="O118" s="2288" t="s">
        <v>4993</v>
      </c>
      <c r="P118" s="2292"/>
    </row>
    <row r="119" spans="1:16" x14ac:dyDescent="0.2">
      <c r="A119" s="330"/>
      <c r="B119" s="330" t="s">
        <v>905</v>
      </c>
      <c r="D119" s="330"/>
      <c r="G119" s="669"/>
      <c r="K119" s="2288" t="s">
        <v>971</v>
      </c>
      <c r="L119" s="2288" t="s">
        <v>5032</v>
      </c>
      <c r="M119" s="2288" t="s">
        <v>1454</v>
      </c>
      <c r="N119" s="2288" t="s">
        <v>5029</v>
      </c>
      <c r="O119" s="2288" t="s">
        <v>4993</v>
      </c>
      <c r="P119" s="2292"/>
    </row>
    <row r="120" spans="1:16" x14ac:dyDescent="0.2">
      <c r="A120" s="330"/>
      <c r="B120" s="330" t="s">
        <v>906</v>
      </c>
      <c r="D120" s="330"/>
      <c r="G120" s="669"/>
      <c r="K120" s="2288" t="s">
        <v>971</v>
      </c>
      <c r="L120" s="2288" t="s">
        <v>5033</v>
      </c>
      <c r="M120" s="2288" t="s">
        <v>1454</v>
      </c>
      <c r="N120" s="2288" t="s">
        <v>5029</v>
      </c>
      <c r="O120" s="2288" t="s">
        <v>4993</v>
      </c>
      <c r="P120" s="2292"/>
    </row>
    <row r="121" spans="1:16" x14ac:dyDescent="0.2">
      <c r="N121" s="2288"/>
      <c r="P121" s="2292"/>
    </row>
    <row r="122" spans="1:16" x14ac:dyDescent="0.2">
      <c r="B122" s="272" t="s">
        <v>3949</v>
      </c>
    </row>
    <row r="124" spans="1:16" x14ac:dyDescent="0.2">
      <c r="B124" s="1584"/>
      <c r="C124" s="1584"/>
      <c r="D124" s="1584"/>
      <c r="E124" s="1584"/>
      <c r="F124" s="1584"/>
      <c r="G124" s="1584"/>
    </row>
    <row r="125" spans="1:16" x14ac:dyDescent="0.2">
      <c r="B125" s="1585"/>
      <c r="C125" s="1585"/>
      <c r="D125" s="1585"/>
      <c r="E125" s="1585"/>
      <c r="F125" s="1585"/>
      <c r="G125" s="1585"/>
    </row>
    <row r="126" spans="1:16" x14ac:dyDescent="0.2">
      <c r="B126" s="1585"/>
      <c r="C126" s="1585"/>
      <c r="D126" s="1585"/>
      <c r="E126" s="1585"/>
      <c r="F126" s="1585"/>
      <c r="G126" s="1585"/>
    </row>
    <row r="127" spans="1:16" x14ac:dyDescent="0.2">
      <c r="B127" s="1585"/>
      <c r="C127" s="1585"/>
      <c r="D127" s="1585"/>
      <c r="E127" s="1585"/>
      <c r="F127" s="1585"/>
      <c r="G127" s="1585"/>
    </row>
    <row r="128" spans="1:16" x14ac:dyDescent="0.2">
      <c r="B128" s="1585"/>
      <c r="C128" s="1585"/>
      <c r="D128" s="1585"/>
      <c r="E128" s="1585"/>
      <c r="F128" s="1585"/>
      <c r="G128" s="1585"/>
    </row>
    <row r="129" spans="2:7" x14ac:dyDescent="0.2">
      <c r="B129" s="1585"/>
      <c r="C129" s="1585"/>
      <c r="D129" s="1585"/>
      <c r="E129" s="1585"/>
      <c r="F129" s="1585"/>
      <c r="G129" s="1585"/>
    </row>
    <row r="130" spans="2:7" x14ac:dyDescent="0.2">
      <c r="B130" s="1585"/>
      <c r="C130" s="1585"/>
      <c r="D130" s="1585"/>
      <c r="E130" s="1585"/>
      <c r="F130" s="1585"/>
      <c r="G130" s="1585"/>
    </row>
    <row r="131" spans="2:7" x14ac:dyDescent="0.2">
      <c r="B131" s="1585"/>
      <c r="C131" s="1585"/>
      <c r="D131" s="1585"/>
      <c r="E131" s="1585"/>
      <c r="F131" s="1585"/>
      <c r="G131" s="1585"/>
    </row>
    <row r="132" spans="2:7" x14ac:dyDescent="0.2">
      <c r="B132" s="1584"/>
      <c r="C132" s="1584"/>
      <c r="D132" s="1584"/>
      <c r="E132" s="1584"/>
      <c r="F132" s="1584"/>
      <c r="G132" s="1584"/>
    </row>
  </sheetData>
  <sheetProtection algorithmName="SHA-512" hashValue="YjG6IdP+a9itd7kPTYT26qO8PrMFmW7JxzTMx8iK3Jfd5BmrHh5Vbd6MrpReTfcMyTrgQ279HmF/d020MxdReg==" saltValue="8n7L226m64beD09KuZ0E5w==" spinCount="100000" sheet="1" objects="1" scenarios="1" autoFilter="0"/>
  <customSheetViews>
    <customSheetView guid="{B08879A4-635B-4C39-9937-AC7883D562FC}" showGridLines="0" fitToPage="1">
      <selection activeCell="B12" sqref="B12"/>
      <rowBreaks count="1" manualBreakCount="1">
        <brk id="58" max="9" man="1"/>
      </rowBreaks>
      <pageMargins left="0.75" right="0.5" top="0.5" bottom="0.5" header="0.5" footer="0.25"/>
      <pageSetup scale="91" fitToHeight="2" orientation="portrait" r:id="rId1"/>
      <headerFooter alignWithMargins="0">
        <oddFooter>&amp;R&amp;A (&amp;P of &amp;N)</oddFooter>
      </headerFooter>
    </customSheetView>
    <customSheetView guid="{9FCFC836-1CA5-48BF-958D-24D2EA94B219}" showGridLines="0" fitToPage="1">
      <selection activeCell="B12" sqref="B12"/>
      <rowBreaks count="1" manualBreakCount="1">
        <brk id="58" max="9" man="1"/>
      </rowBreaks>
      <pageMargins left="0.75" right="0.5" top="0.5" bottom="0.5" header="0.5" footer="0.25"/>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5" type="noConversion"/>
  <conditionalFormatting sqref="H1:H4">
    <cfRule type="cellIs" dxfId="150"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1:G77 G81 G91 G98:G103 G108 G116:G119 G23:G24 G62:G68 G57:G60 G43:G46 G28:G40 G17:G20 G111:G114 G83:G89 G49:G53" xr:uid="{00000000-0002-0000-0A00-000000000000}">
      <formula1>0</formula1>
    </dataValidation>
  </dataValidations>
  <hyperlinks>
    <hyperlink ref="B1:G1" location="Index!A1" display="Index!A1" xr:uid="{00000000-0004-0000-0A00-000000000000}"/>
  </hyperlinks>
  <pageMargins left="0.75" right="0.5" top="0.5" bottom="0.5" header="0.5" footer="0.25"/>
  <pageSetup scale="50" fitToHeight="2" orientation="portrait" r:id="rId3"/>
  <headerFooter alignWithMargins="0">
    <oddFooter>&amp;R&amp;A (&amp;P of &amp;N)</oddFooter>
  </headerFooter>
  <rowBreaks count="1" manualBreakCount="1">
    <brk id="6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F103"/>
  <sheetViews>
    <sheetView showGridLines="0" topLeftCell="C1" zoomScaleNormal="100" workbookViewId="0">
      <selection activeCell="C2" sqref="C2:K2"/>
    </sheetView>
  </sheetViews>
  <sheetFormatPr defaultColWidth="9.42578125" defaultRowHeight="12.75" x14ac:dyDescent="0.2"/>
  <cols>
    <col min="1" max="1" width="7" style="43" hidden="1" customWidth="1"/>
    <col min="2" max="2" width="8.42578125" style="43" hidden="1" customWidth="1"/>
    <col min="3" max="3" width="2.5703125" style="43" customWidth="1"/>
    <col min="4" max="4" width="15.42578125" style="43" customWidth="1"/>
    <col min="5" max="5" width="21.7109375" style="43" customWidth="1"/>
    <col min="6" max="6" width="2.85546875" style="43" customWidth="1"/>
    <col min="7" max="7" width="15.5703125" style="43" bestFit="1" customWidth="1"/>
    <col min="8" max="8" width="1.42578125" style="43" customWidth="1"/>
    <col min="9" max="9" width="16.5703125" style="43" customWidth="1"/>
    <col min="10" max="10" width="2.5703125" style="43" customWidth="1"/>
    <col min="11" max="11" width="16.5703125" style="43" customWidth="1"/>
    <col min="12" max="12" width="4" style="43" customWidth="1"/>
    <col min="13" max="13" width="4.42578125" style="43" hidden="1" customWidth="1"/>
    <col min="14" max="14" width="9.5703125" style="43" hidden="1" customWidth="1"/>
    <col min="15" max="15" width="10.5703125" style="43" hidden="1" customWidth="1"/>
    <col min="16" max="19" width="9.5703125" style="43" hidden="1" customWidth="1"/>
    <col min="20" max="28" width="10.5703125" style="43" hidden="1" customWidth="1"/>
    <col min="29" max="29" width="0" style="43" hidden="1" customWidth="1"/>
    <col min="30" max="30" width="9.42578125" style="43"/>
    <col min="31" max="31" width="13.42578125" style="2311" customWidth="1"/>
    <col min="32" max="16384" width="9.42578125" style="43"/>
  </cols>
  <sheetData>
    <row r="1" spans="1:32" s="90" customFormat="1" ht="25.15" customHeight="1" x14ac:dyDescent="0.25">
      <c r="A1" s="90" t="str">
        <f t="shared" ref="A1:A30" si="0">AgyIdx</f>
        <v>01</v>
      </c>
      <c r="C1" s="2767" t="str">
        <f>+Index!$A$1</f>
        <v xml:space="preserve">                                                               Office of the State Controller                                                                </v>
      </c>
      <c r="D1" s="2767"/>
      <c r="E1" s="2767"/>
      <c r="F1" s="2767"/>
      <c r="G1" s="2767"/>
      <c r="H1" s="2767"/>
      <c r="I1" s="2767"/>
      <c r="J1" s="2767"/>
      <c r="K1" s="2767"/>
      <c r="L1" s="2768"/>
      <c r="M1" s="91"/>
      <c r="N1" s="91"/>
      <c r="AD1" s="2649" t="str">
        <f>IF(Index!$B$27="na","NA","")</f>
        <v/>
      </c>
      <c r="AE1" s="2310"/>
    </row>
    <row r="2" spans="1:32" s="90" customFormat="1" ht="15" customHeight="1" x14ac:dyDescent="0.25">
      <c r="A2" s="90" t="str">
        <f t="shared" si="0"/>
        <v>01</v>
      </c>
      <c r="C2" s="2769" t="str">
        <f>+Index!$A$2</f>
        <v>2022 ACFR Worksheets</v>
      </c>
      <c r="D2" s="2769"/>
      <c r="E2" s="2769"/>
      <c r="F2" s="2769"/>
      <c r="G2" s="2769"/>
      <c r="H2" s="2769"/>
      <c r="I2" s="2769"/>
      <c r="J2" s="2769"/>
      <c r="K2" s="2769"/>
      <c r="L2" s="2768"/>
      <c r="M2" s="91"/>
      <c r="N2" s="91"/>
      <c r="AD2" s="2649"/>
      <c r="AE2" s="2310"/>
    </row>
    <row r="3" spans="1:32" s="90" customFormat="1" ht="15" customHeight="1" x14ac:dyDescent="0.25">
      <c r="A3" s="90" t="str">
        <f t="shared" si="0"/>
        <v>01</v>
      </c>
      <c r="C3" s="2769" t="s">
        <v>5474</v>
      </c>
      <c r="D3" s="2769"/>
      <c r="E3" s="2769"/>
      <c r="F3" s="2769"/>
      <c r="G3" s="2769"/>
      <c r="H3" s="2769"/>
      <c r="I3" s="2769"/>
      <c r="J3" s="2769"/>
      <c r="K3" s="2769"/>
      <c r="L3" s="2768"/>
      <c r="M3" s="91"/>
      <c r="N3" s="91"/>
      <c r="AD3" s="2649"/>
      <c r="AE3" s="2310"/>
    </row>
    <row r="4" spans="1:32" s="92" customFormat="1" ht="15" customHeight="1" x14ac:dyDescent="0.25">
      <c r="A4" s="90" t="str">
        <f t="shared" si="0"/>
        <v>01</v>
      </c>
      <c r="I4" s="760" t="s">
        <v>136</v>
      </c>
      <c r="AE4" s="2309"/>
    </row>
    <row r="5" spans="1:32" s="92" customFormat="1" ht="15" customHeight="1" x14ac:dyDescent="0.25">
      <c r="A5" s="90" t="str">
        <f t="shared" si="0"/>
        <v>01</v>
      </c>
      <c r="G5" s="2813" t="str">
        <f>+Index!$E$10</f>
        <v>01</v>
      </c>
      <c r="H5" s="2813"/>
      <c r="I5" s="2813"/>
      <c r="J5" s="2813"/>
      <c r="K5" s="2813"/>
      <c r="AE5" s="2309"/>
    </row>
    <row r="6" spans="1:32" s="92" customFormat="1" ht="15" customHeight="1" x14ac:dyDescent="0.25">
      <c r="A6" s="90" t="str">
        <f t="shared" si="0"/>
        <v>01</v>
      </c>
      <c r="C6" s="92" t="s">
        <v>973</v>
      </c>
      <c r="G6" s="2813" t="str">
        <f>+Index!$E$11</f>
        <v>North Carolina General Assembly</v>
      </c>
      <c r="H6" s="2813"/>
      <c r="I6" s="2813"/>
      <c r="J6" s="2813"/>
      <c r="K6" s="2813"/>
      <c r="AE6" s="2309"/>
    </row>
    <row r="7" spans="1:32" s="92" customFormat="1" ht="15" customHeight="1" x14ac:dyDescent="0.25">
      <c r="A7" s="90" t="str">
        <f t="shared" si="0"/>
        <v>01</v>
      </c>
      <c r="C7" s="92" t="s">
        <v>477</v>
      </c>
      <c r="E7" s="2527" t="s">
        <v>971</v>
      </c>
      <c r="G7" s="2814" t="str">
        <f>CONCATENATE(Index!$E$12," ",Index!$E$14)</f>
        <v xml:space="preserve"> </v>
      </c>
      <c r="H7" s="2814"/>
      <c r="I7" s="2814"/>
      <c r="J7" s="2814"/>
      <c r="K7" s="2814"/>
      <c r="AE7" s="2309"/>
    </row>
    <row r="8" spans="1:32" s="92" customFormat="1" ht="15" customHeight="1" x14ac:dyDescent="0.25">
      <c r="A8" s="90" t="str">
        <f t="shared" si="0"/>
        <v>01</v>
      </c>
      <c r="G8" s="2814">
        <f>+Index!$E$13</f>
        <v>0</v>
      </c>
      <c r="H8" s="2814"/>
      <c r="I8" s="2814"/>
      <c r="J8" s="2814"/>
      <c r="K8" s="2814"/>
      <c r="AE8" s="2309"/>
    </row>
    <row r="9" spans="1:32" s="92" customFormat="1" ht="9" customHeight="1" thickBot="1" x14ac:dyDescent="0.3">
      <c r="A9" s="90" t="str">
        <f t="shared" si="0"/>
        <v>01</v>
      </c>
      <c r="C9" s="108"/>
      <c r="D9" s="108"/>
      <c r="E9" s="108"/>
      <c r="F9" s="108"/>
      <c r="G9" s="108"/>
      <c r="H9" s="108"/>
      <c r="I9" s="108"/>
      <c r="J9" s="108"/>
      <c r="K9" s="108"/>
      <c r="AE9" s="2309"/>
    </row>
    <row r="10" spans="1:32" s="92" customFormat="1" ht="6" customHeight="1" x14ac:dyDescent="0.25">
      <c r="A10" s="90" t="str">
        <f t="shared" si="0"/>
        <v>01</v>
      </c>
      <c r="AE10" s="2309"/>
    </row>
    <row r="11" spans="1:32" s="92" customFormat="1" ht="15" customHeight="1" x14ac:dyDescent="0.25">
      <c r="A11" s="90" t="str">
        <f t="shared" si="0"/>
        <v>01</v>
      </c>
      <c r="C11" s="2522" t="s">
        <v>5507</v>
      </c>
      <c r="D11" s="15"/>
      <c r="E11" s="2523"/>
      <c r="F11" s="15"/>
      <c r="G11" s="15"/>
      <c r="H11" s="15"/>
      <c r="I11" s="15"/>
      <c r="J11" s="15"/>
      <c r="K11" s="2524" t="s">
        <v>5444</v>
      </c>
      <c r="L11" s="2525"/>
      <c r="M11" s="2525"/>
      <c r="N11" s="2525"/>
      <c r="O11" s="2525"/>
      <c r="P11" s="2525"/>
      <c r="Q11" s="2525"/>
      <c r="R11" s="2525"/>
      <c r="S11" s="2525"/>
      <c r="T11" s="2525"/>
      <c r="U11" s="2525"/>
      <c r="V11" s="2525"/>
      <c r="W11" s="2525"/>
      <c r="X11" s="2525"/>
      <c r="Y11" s="2525"/>
      <c r="Z11" s="2525"/>
      <c r="AA11" s="2525"/>
      <c r="AB11" s="2525"/>
      <c r="AC11" s="2525"/>
      <c r="AE11" s="2526"/>
      <c r="AF11" s="2525"/>
    </row>
    <row r="12" spans="1:32" s="92" customFormat="1" ht="15" customHeight="1" x14ac:dyDescent="0.25">
      <c r="A12" s="90"/>
      <c r="C12" s="2522" t="s">
        <v>5508</v>
      </c>
      <c r="D12" s="15"/>
      <c r="E12" s="2523"/>
      <c r="F12" s="15"/>
      <c r="G12" s="15"/>
      <c r="H12" s="15"/>
      <c r="I12" s="15"/>
      <c r="J12" s="15"/>
      <c r="K12" s="2524"/>
      <c r="L12" s="2525"/>
      <c r="M12" s="2525"/>
      <c r="N12" s="2525"/>
      <c r="O12" s="2525"/>
      <c r="P12" s="2525"/>
      <c r="Q12" s="2525"/>
      <c r="R12" s="2525"/>
      <c r="S12" s="2525"/>
      <c r="T12" s="2525"/>
      <c r="U12" s="2525"/>
      <c r="V12" s="2525"/>
      <c r="W12" s="2525"/>
      <c r="X12" s="2525"/>
      <c r="Y12" s="2525"/>
      <c r="Z12" s="2525"/>
      <c r="AA12" s="2525"/>
      <c r="AB12" s="2525"/>
      <c r="AC12" s="2525"/>
      <c r="AE12" s="2526"/>
      <c r="AF12" s="2525"/>
    </row>
    <row r="13" spans="1:32" s="92" customFormat="1" ht="15" customHeight="1" x14ac:dyDescent="0.25">
      <c r="A13" s="90"/>
      <c r="C13" s="2522" t="s">
        <v>5510</v>
      </c>
      <c r="D13" s="15"/>
      <c r="E13" s="2523"/>
      <c r="F13" s="15"/>
      <c r="G13" s="15"/>
      <c r="H13" s="15"/>
      <c r="I13" s="15"/>
      <c r="J13" s="15"/>
      <c r="K13" s="2524"/>
      <c r="L13" s="2525"/>
      <c r="M13" s="2525"/>
      <c r="N13" s="2525"/>
      <c r="O13" s="2525"/>
      <c r="P13" s="2525"/>
      <c r="Q13" s="2525"/>
      <c r="R13" s="2525"/>
      <c r="S13" s="2525"/>
      <c r="T13" s="2525"/>
      <c r="U13" s="2525"/>
      <c r="V13" s="2525"/>
      <c r="W13" s="2525"/>
      <c r="X13" s="2525"/>
      <c r="Y13" s="2525"/>
      <c r="Z13" s="2525"/>
      <c r="AA13" s="2525"/>
      <c r="AB13" s="2525"/>
      <c r="AC13" s="2525"/>
      <c r="AE13" s="2526"/>
      <c r="AF13" s="2525"/>
    </row>
    <row r="14" spans="1:32" s="92" customFormat="1" ht="15" customHeight="1" x14ac:dyDescent="0.25">
      <c r="A14" s="90"/>
      <c r="C14" s="2522" t="s">
        <v>5509</v>
      </c>
      <c r="D14" s="15"/>
      <c r="E14" s="2523"/>
      <c r="F14" s="15"/>
      <c r="G14" s="15"/>
      <c r="H14" s="15"/>
      <c r="I14" s="15"/>
      <c r="J14" s="15"/>
      <c r="K14" s="2524"/>
      <c r="L14" s="2525"/>
      <c r="M14" s="2525"/>
      <c r="N14" s="2525"/>
      <c r="O14" s="2525"/>
      <c r="P14" s="2525"/>
      <c r="Q14" s="2525"/>
      <c r="R14" s="2525"/>
      <c r="S14" s="2525"/>
      <c r="T14" s="2525"/>
      <c r="U14" s="2525"/>
      <c r="V14" s="2525"/>
      <c r="W14" s="2525"/>
      <c r="X14" s="2525"/>
      <c r="Y14" s="2525"/>
      <c r="Z14" s="2525"/>
      <c r="AA14" s="2525"/>
      <c r="AB14" s="2525"/>
      <c r="AC14" s="2525"/>
      <c r="AE14" s="2526"/>
      <c r="AF14" s="2525"/>
    </row>
    <row r="15" spans="1:32" s="1196" customFormat="1" ht="15" customHeight="1" x14ac:dyDescent="0.25">
      <c r="A15" s="90" t="str">
        <f t="shared" si="0"/>
        <v>01</v>
      </c>
      <c r="C15" s="1279" t="s">
        <v>1880</v>
      </c>
      <c r="D15" s="272"/>
      <c r="E15" s="357"/>
      <c r="F15" s="272"/>
      <c r="G15" s="272"/>
      <c r="H15" s="272"/>
      <c r="I15" s="272"/>
      <c r="J15" s="272"/>
      <c r="AE15" s="2309"/>
    </row>
    <row r="16" spans="1:32" s="1196" customFormat="1" ht="13.5" customHeight="1" x14ac:dyDescent="0.25">
      <c r="A16" s="90" t="str">
        <f t="shared" si="0"/>
        <v>01</v>
      </c>
      <c r="C16" s="1203" t="s">
        <v>4924</v>
      </c>
      <c r="D16" s="272"/>
      <c r="E16" s="357"/>
      <c r="F16" s="272"/>
      <c r="G16" s="272"/>
      <c r="H16" s="272"/>
      <c r="I16" s="272"/>
      <c r="J16" s="272"/>
      <c r="AE16" s="2309"/>
    </row>
    <row r="17" spans="1:31" s="1196" customFormat="1" ht="12" customHeight="1" x14ac:dyDescent="0.25">
      <c r="A17" s="90" t="str">
        <f t="shared" si="0"/>
        <v>01</v>
      </c>
      <c r="C17" s="1279" t="s">
        <v>1732</v>
      </c>
      <c r="D17" s="272"/>
      <c r="E17" s="357"/>
      <c r="F17" s="272"/>
      <c r="G17" s="272"/>
      <c r="H17" s="272"/>
      <c r="I17" s="272"/>
      <c r="J17" s="272"/>
      <c r="AE17" s="2309"/>
    </row>
    <row r="18" spans="1:31" s="1196" customFormat="1" ht="12" customHeight="1" x14ac:dyDescent="0.25">
      <c r="A18" s="90" t="str">
        <f t="shared" si="0"/>
        <v>01</v>
      </c>
      <c r="C18" s="1279" t="s">
        <v>5511</v>
      </c>
      <c r="D18" s="272"/>
      <c r="E18" s="357"/>
      <c r="F18" s="272"/>
      <c r="G18" s="272"/>
      <c r="H18" s="272"/>
      <c r="I18" s="272"/>
      <c r="J18" s="272"/>
      <c r="AE18" s="2309"/>
    </row>
    <row r="19" spans="1:31" s="1196" customFormat="1" ht="12" customHeight="1" x14ac:dyDescent="0.25">
      <c r="A19" s="90" t="str">
        <f t="shared" si="0"/>
        <v>01</v>
      </c>
      <c r="C19" s="1279" t="s">
        <v>5512</v>
      </c>
      <c r="D19" s="272"/>
      <c r="E19" s="357"/>
      <c r="F19" s="272"/>
      <c r="G19" s="272"/>
      <c r="H19" s="272"/>
      <c r="I19" s="272"/>
      <c r="J19" s="272"/>
      <c r="AE19" s="2309"/>
    </row>
    <row r="20" spans="1:31" s="92" customFormat="1" ht="12.6" customHeight="1" x14ac:dyDescent="0.25">
      <c r="A20" s="90"/>
      <c r="C20" s="14"/>
      <c r="D20" s="14"/>
      <c r="E20" s="14"/>
      <c r="F20" s="14"/>
      <c r="G20" s="14"/>
      <c r="H20" s="14"/>
      <c r="I20" s="14"/>
      <c r="J20" s="14"/>
      <c r="K20" s="14"/>
      <c r="L20" s="14"/>
      <c r="AE20" s="2309"/>
    </row>
    <row r="21" spans="1:31" s="92" customFormat="1" ht="13.15" customHeight="1" x14ac:dyDescent="0.25">
      <c r="A21" s="90"/>
      <c r="C21" s="2514" t="s">
        <v>806</v>
      </c>
      <c r="D21" s="2514" t="s">
        <v>5517</v>
      </c>
      <c r="E21" s="14"/>
      <c r="F21" s="14"/>
      <c r="G21" s="14"/>
      <c r="H21" s="14"/>
      <c r="I21" s="14"/>
      <c r="J21" s="14"/>
      <c r="K21" s="14"/>
      <c r="L21" s="14"/>
      <c r="AE21" s="2309"/>
    </row>
    <row r="22" spans="1:31" s="92" customFormat="1" ht="15" customHeight="1" x14ac:dyDescent="0.25">
      <c r="A22" s="90" t="str">
        <f t="shared" si="0"/>
        <v>01</v>
      </c>
      <c r="C22" s="14"/>
      <c r="D22" s="14" t="s">
        <v>613</v>
      </c>
      <c r="E22" s="14"/>
      <c r="F22" s="14"/>
      <c r="G22" s="14"/>
      <c r="H22" s="14"/>
      <c r="I22" s="14"/>
      <c r="J22" s="14"/>
      <c r="K22" s="14"/>
      <c r="L22" s="14"/>
      <c r="AE22" s="2309"/>
    </row>
    <row r="23" spans="1:31" s="92" customFormat="1" ht="17.45" customHeight="1" x14ac:dyDescent="0.25">
      <c r="A23" s="90" t="str">
        <f t="shared" si="0"/>
        <v>01</v>
      </c>
      <c r="C23" s="14"/>
      <c r="D23" s="14"/>
      <c r="E23" s="14"/>
      <c r="F23" s="2308"/>
      <c r="G23" s="2307" t="s">
        <v>5034</v>
      </c>
      <c r="H23" s="2308"/>
      <c r="I23" s="2307" t="s">
        <v>5035</v>
      </c>
      <c r="J23" s="2306"/>
      <c r="K23" s="2306" t="s">
        <v>5036</v>
      </c>
      <c r="L23" s="14"/>
      <c r="AE23" s="2309"/>
    </row>
    <row r="24" spans="1:31" s="92" customFormat="1" ht="14.1" customHeight="1" x14ac:dyDescent="0.25">
      <c r="A24" s="90" t="str">
        <f t="shared" si="0"/>
        <v>01</v>
      </c>
      <c r="C24" s="14"/>
      <c r="D24" s="4" t="s">
        <v>614</v>
      </c>
      <c r="E24" s="94"/>
      <c r="F24" s="4"/>
      <c r="G24" s="2815"/>
      <c r="H24" s="2816"/>
      <c r="I24" s="2816"/>
      <c r="J24" s="2817"/>
      <c r="K24" s="2818"/>
      <c r="L24" s="14"/>
      <c r="AE24" s="2309"/>
    </row>
    <row r="25" spans="1:31" s="92" customFormat="1" ht="14.1" customHeight="1" x14ac:dyDescent="0.25">
      <c r="A25" s="90" t="str">
        <f t="shared" si="0"/>
        <v>01</v>
      </c>
      <c r="C25" s="14"/>
      <c r="D25" s="4" t="s">
        <v>615</v>
      </c>
      <c r="E25" s="94"/>
      <c r="F25" s="272"/>
      <c r="G25" s="4" t="s">
        <v>1724</v>
      </c>
      <c r="H25" s="272"/>
      <c r="I25" s="4" t="s">
        <v>1725</v>
      </c>
      <c r="J25" s="4"/>
      <c r="K25" s="4" t="s">
        <v>1130</v>
      </c>
      <c r="L25" s="14"/>
      <c r="AE25" s="2309"/>
    </row>
    <row r="26" spans="1:31" s="92" customFormat="1" ht="17.25" x14ac:dyDescent="0.25">
      <c r="A26" s="90" t="str">
        <f t="shared" si="0"/>
        <v>01</v>
      </c>
      <c r="C26" s="14"/>
      <c r="D26" s="26" t="s">
        <v>1727</v>
      </c>
      <c r="E26" s="94"/>
      <c r="F26" s="272"/>
      <c r="G26" s="26" t="s">
        <v>1726</v>
      </c>
      <c r="H26" s="272"/>
      <c r="I26" s="26" t="s">
        <v>1882</v>
      </c>
      <c r="J26" s="4"/>
      <c r="K26" s="26" t="s">
        <v>1881</v>
      </c>
      <c r="L26" s="14"/>
      <c r="AE26" s="2309"/>
    </row>
    <row r="27" spans="1:31" s="92" customFormat="1" ht="15.6" hidden="1" customHeight="1" x14ac:dyDescent="0.25">
      <c r="A27" s="90" t="str">
        <f t="shared" si="0"/>
        <v>01</v>
      </c>
      <c r="C27" s="14"/>
      <c r="D27" s="4"/>
      <c r="E27" s="94"/>
      <c r="F27" s="14"/>
      <c r="G27" s="1199" t="s">
        <v>1737</v>
      </c>
      <c r="H27" s="14"/>
      <c r="I27" s="1199" t="s">
        <v>1738</v>
      </c>
      <c r="J27" s="4"/>
      <c r="K27" s="1199" t="s">
        <v>1846</v>
      </c>
      <c r="L27" s="14"/>
      <c r="AE27" s="2309"/>
    </row>
    <row r="28" spans="1:31" s="92" customFormat="1" ht="15.75" x14ac:dyDescent="0.25">
      <c r="A28" s="90" t="str">
        <f t="shared" si="0"/>
        <v>01</v>
      </c>
      <c r="B28" s="92">
        <v>105</v>
      </c>
      <c r="C28" s="14"/>
      <c r="D28" s="94">
        <f>+YEAR(Data!$A$2)+1</f>
        <v>2023</v>
      </c>
      <c r="E28" s="94"/>
      <c r="F28" s="96"/>
      <c r="G28" s="480">
        <v>0</v>
      </c>
      <c r="H28" s="96"/>
      <c r="I28" s="480"/>
      <c r="J28" s="96"/>
      <c r="K28" s="480"/>
      <c r="L28" s="14"/>
      <c r="M28" s="92" t="str">
        <f>+__Agy301</f>
        <v>01</v>
      </c>
      <c r="N28" s="92" t="s">
        <v>827</v>
      </c>
      <c r="O28" s="742" t="e">
        <f>+#REF!</f>
        <v>#REF!</v>
      </c>
      <c r="P28" s="742" t="e">
        <f>+#REF!</f>
        <v>#REF!</v>
      </c>
      <c r="Q28" s="742" t="e">
        <f>+#REF!</f>
        <v>#REF!</v>
      </c>
      <c r="R28" s="742" t="e">
        <f>+#REF!</f>
        <v>#REF!</v>
      </c>
      <c r="S28" s="742" t="e">
        <f>+#REF!</f>
        <v>#REF!</v>
      </c>
      <c r="T28" s="742" t="e">
        <f>+#REF!</f>
        <v>#REF!</v>
      </c>
      <c r="U28" s="742" t="e">
        <f>+#REF!</f>
        <v>#REF!</v>
      </c>
      <c r="V28" s="742" t="e">
        <f>+#REF!</f>
        <v>#REF!</v>
      </c>
      <c r="W28" s="742" t="e">
        <f>+#REF!</f>
        <v>#REF!</v>
      </c>
      <c r="X28" s="742" t="e">
        <f>+#REF!</f>
        <v>#REF!</v>
      </c>
      <c r="Y28" s="742" t="e">
        <f>+#REF!</f>
        <v>#REF!</v>
      </c>
      <c r="Z28" s="742" t="e">
        <f>+#REF!</f>
        <v>#REF!</v>
      </c>
      <c r="AA28" s="742" t="e">
        <f>+#REF!</f>
        <v>#REF!</v>
      </c>
      <c r="AB28" s="742" t="e">
        <f>+#REF!</f>
        <v>#REF!</v>
      </c>
      <c r="AE28" s="2309" t="s">
        <v>5037</v>
      </c>
    </row>
    <row r="29" spans="1:31" s="92" customFormat="1" ht="14.1" customHeight="1" x14ac:dyDescent="0.25">
      <c r="A29" s="90" t="str">
        <f t="shared" si="0"/>
        <v>01</v>
      </c>
      <c r="B29" s="92">
        <v>110</v>
      </c>
      <c r="C29" s="14"/>
      <c r="D29" s="94">
        <f>D28+1</f>
        <v>2024</v>
      </c>
      <c r="E29" s="94"/>
      <c r="F29" s="96"/>
      <c r="G29" s="480"/>
      <c r="H29" s="96"/>
      <c r="I29" s="480"/>
      <c r="J29" s="96"/>
      <c r="K29" s="480"/>
      <c r="L29" s="14"/>
      <c r="M29" s="92" t="str">
        <f>+M28</f>
        <v>01</v>
      </c>
      <c r="N29" s="92" t="s">
        <v>828</v>
      </c>
      <c r="O29" s="742" t="e">
        <f>+#REF!+$G$28+$I$28+$K$28</f>
        <v>#REF!</v>
      </c>
      <c r="P29" s="742" t="e">
        <f>+#REF!+$G$29+$I$29+$K$29</f>
        <v>#REF!</v>
      </c>
      <c r="Q29" s="742" t="e">
        <f>+#REF!+$G$30+$I$30+$K$30</f>
        <v>#REF!</v>
      </c>
      <c r="R29" s="742" t="e">
        <f>+#REF!+$G$31+$I$31+$K$31</f>
        <v>#REF!</v>
      </c>
      <c r="S29" s="742" t="e">
        <f>+#REF!+$G$32+$I$32+$K$32</f>
        <v>#REF!</v>
      </c>
      <c r="T29" s="742" t="e">
        <f>+#REF!+$G$33+$I$33+$K$33</f>
        <v>#REF!</v>
      </c>
      <c r="U29" s="742" t="e">
        <f>+#REF!+$G$34+$I$34+$K$34</f>
        <v>#REF!</v>
      </c>
      <c r="V29" s="742" t="e">
        <f>+#REF!+$G$35+$I$35+$K$35</f>
        <v>#REF!</v>
      </c>
      <c r="W29" s="742" t="e">
        <f>+#REF!+$G$36+$I$36+$K$36</f>
        <v>#REF!</v>
      </c>
      <c r="X29" s="742" t="e">
        <f>+#REF!+$G$37+$I$37+$K$37</f>
        <v>#REF!</v>
      </c>
      <c r="Y29" s="742" t="e">
        <f>+#REF!+$G$38+$I$38+$K$38</f>
        <v>#REF!</v>
      </c>
      <c r="Z29" s="742" t="e">
        <f>+#REF!+$G$39+$I$39+$K$39</f>
        <v>#REF!</v>
      </c>
      <c r="AA29" s="742" t="e">
        <f>+#REF!+$G$40+$I$40+$K$40</f>
        <v>#REF!</v>
      </c>
      <c r="AB29" s="742" t="e">
        <f>+#REF!+$G$41+$I$41+$K$41</f>
        <v>#REF!</v>
      </c>
      <c r="AC29" s="742" t="e">
        <f>+#REF!+G45+I45+K45</f>
        <v>#REF!</v>
      </c>
      <c r="AE29" s="2309" t="s">
        <v>5038</v>
      </c>
    </row>
    <row r="30" spans="1:31" s="92" customFormat="1" ht="14.1" customHeight="1" x14ac:dyDescent="0.25">
      <c r="A30" s="90" t="str">
        <f t="shared" si="0"/>
        <v>01</v>
      </c>
      <c r="B30" s="92">
        <v>115</v>
      </c>
      <c r="C30" s="14"/>
      <c r="D30" s="94">
        <f>D29+1</f>
        <v>2025</v>
      </c>
      <c r="E30" s="94"/>
      <c r="F30" s="96"/>
      <c r="G30" s="480"/>
      <c r="H30" s="96"/>
      <c r="I30" s="480"/>
      <c r="J30" s="96"/>
      <c r="K30" s="480"/>
      <c r="L30" s="14"/>
      <c r="O30" s="742"/>
      <c r="AE30" s="2309" t="s">
        <v>5039</v>
      </c>
    </row>
    <row r="31" spans="1:31" s="92" customFormat="1" ht="14.1" customHeight="1" x14ac:dyDescent="0.25">
      <c r="A31" s="90" t="str">
        <f t="shared" ref="A31:A53" si="1">AgyIdx</f>
        <v>01</v>
      </c>
      <c r="B31" s="92">
        <v>120</v>
      </c>
      <c r="C31" s="14"/>
      <c r="D31" s="94">
        <f>D30+1</f>
        <v>2026</v>
      </c>
      <c r="E31" s="94"/>
      <c r="F31" s="96"/>
      <c r="G31" s="480"/>
      <c r="H31" s="96"/>
      <c r="I31" s="480"/>
      <c r="J31" s="96"/>
      <c r="K31" s="480"/>
      <c r="L31" s="14"/>
      <c r="O31" s="742"/>
      <c r="AE31" s="2309" t="s">
        <v>5040</v>
      </c>
    </row>
    <row r="32" spans="1:31" s="92" customFormat="1" ht="14.1" customHeight="1" x14ac:dyDescent="0.25">
      <c r="A32" s="90" t="str">
        <f t="shared" si="1"/>
        <v>01</v>
      </c>
      <c r="B32" s="92">
        <v>125</v>
      </c>
      <c r="C32" s="14"/>
      <c r="D32" s="94">
        <f>D31+1</f>
        <v>2027</v>
      </c>
      <c r="E32" s="94"/>
      <c r="F32" s="96"/>
      <c r="G32" s="480"/>
      <c r="H32" s="96"/>
      <c r="I32" s="480"/>
      <c r="J32" s="96"/>
      <c r="K32" s="480"/>
      <c r="L32" s="14"/>
      <c r="O32" s="742"/>
      <c r="AE32" s="2309" t="s">
        <v>5041</v>
      </c>
    </row>
    <row r="33" spans="1:31" s="92" customFormat="1" ht="14.1" customHeight="1" x14ac:dyDescent="0.25">
      <c r="A33" s="90" t="str">
        <f t="shared" si="1"/>
        <v>01</v>
      </c>
      <c r="B33" s="92">
        <v>130</v>
      </c>
      <c r="C33" s="100">
        <f>D32+1</f>
        <v>2028</v>
      </c>
      <c r="D33" s="97" t="str">
        <f>(C33)&amp;" - "&amp;(C33+4)</f>
        <v>2028 - 2032</v>
      </c>
      <c r="E33" s="94"/>
      <c r="F33" s="96"/>
      <c r="G33" s="480"/>
      <c r="H33" s="96"/>
      <c r="I33" s="480"/>
      <c r="J33" s="96"/>
      <c r="K33" s="480"/>
      <c r="L33" s="14"/>
      <c r="O33" s="742"/>
      <c r="AE33" s="2309" t="s">
        <v>5042</v>
      </c>
    </row>
    <row r="34" spans="1:31" s="92" customFormat="1" ht="14.1" customHeight="1" x14ac:dyDescent="0.25">
      <c r="A34" s="90" t="str">
        <f t="shared" si="1"/>
        <v>01</v>
      </c>
      <c r="B34" s="92">
        <v>135</v>
      </c>
      <c r="C34" s="100">
        <f t="shared" ref="C34:C42" si="2">C33+5</f>
        <v>2033</v>
      </c>
      <c r="D34" s="97" t="str">
        <f>(C34)&amp;" - "&amp;(C34+4)</f>
        <v>2033 - 2037</v>
      </c>
      <c r="E34" s="94"/>
      <c r="F34" s="96"/>
      <c r="G34" s="480">
        <v>0</v>
      </c>
      <c r="H34" s="96"/>
      <c r="I34" s="480">
        <v>0</v>
      </c>
      <c r="J34" s="96"/>
      <c r="K34" s="480">
        <v>0</v>
      </c>
      <c r="L34" s="14"/>
      <c r="O34" s="742"/>
      <c r="AE34" s="2309" t="s">
        <v>5043</v>
      </c>
    </row>
    <row r="35" spans="1:31" s="92" customFormat="1" ht="14.1" customHeight="1" x14ac:dyDescent="0.25">
      <c r="A35" s="90" t="str">
        <f t="shared" si="1"/>
        <v>01</v>
      </c>
      <c r="B35" s="92">
        <v>140</v>
      </c>
      <c r="C35" s="100">
        <f t="shared" si="2"/>
        <v>2038</v>
      </c>
      <c r="D35" s="97" t="str">
        <f>(C35)&amp;" - "&amp;(C35+4)</f>
        <v>2038 - 2042</v>
      </c>
      <c r="E35" s="94"/>
      <c r="F35" s="96"/>
      <c r="G35" s="480"/>
      <c r="H35" s="96"/>
      <c r="I35" s="480">
        <v>0</v>
      </c>
      <c r="J35" s="96"/>
      <c r="K35" s="480">
        <v>0</v>
      </c>
      <c r="L35" s="14"/>
      <c r="O35" s="742"/>
      <c r="AE35" s="2309" t="s">
        <v>5044</v>
      </c>
    </row>
    <row r="36" spans="1:31" s="92" customFormat="1" ht="14.1" customHeight="1" x14ac:dyDescent="0.25">
      <c r="A36" s="90" t="str">
        <f t="shared" si="1"/>
        <v>01</v>
      </c>
      <c r="B36" s="92">
        <v>145</v>
      </c>
      <c r="C36" s="100">
        <f t="shared" si="2"/>
        <v>2043</v>
      </c>
      <c r="D36" s="97" t="str">
        <f t="shared" ref="D36:D41" si="3">(C36)&amp;" - "&amp;(C36+4)</f>
        <v>2043 - 2047</v>
      </c>
      <c r="E36" s="94"/>
      <c r="F36" s="96"/>
      <c r="G36" s="480">
        <v>0</v>
      </c>
      <c r="H36" s="96"/>
      <c r="I36" s="480"/>
      <c r="J36" s="96"/>
      <c r="K36" s="480">
        <v>0</v>
      </c>
      <c r="L36" s="14"/>
      <c r="O36" s="742"/>
      <c r="AE36" s="2309" t="s">
        <v>5045</v>
      </c>
    </row>
    <row r="37" spans="1:31" s="92" customFormat="1" ht="14.1" customHeight="1" x14ac:dyDescent="0.25">
      <c r="A37" s="90" t="str">
        <f t="shared" si="1"/>
        <v>01</v>
      </c>
      <c r="B37" s="92">
        <v>150</v>
      </c>
      <c r="C37" s="100">
        <f t="shared" si="2"/>
        <v>2048</v>
      </c>
      <c r="D37" s="97" t="str">
        <f t="shared" si="3"/>
        <v>2048 - 2052</v>
      </c>
      <c r="E37" s="94"/>
      <c r="F37" s="96"/>
      <c r="G37" s="480">
        <v>0</v>
      </c>
      <c r="H37" s="96"/>
      <c r="I37" s="480"/>
      <c r="J37" s="96"/>
      <c r="K37" s="480"/>
      <c r="L37" s="14"/>
      <c r="O37" s="742"/>
      <c r="AE37" s="2309" t="s">
        <v>5046</v>
      </c>
    </row>
    <row r="38" spans="1:31" s="92" customFormat="1" ht="14.1" customHeight="1" x14ac:dyDescent="0.25">
      <c r="A38" s="90" t="str">
        <f t="shared" si="1"/>
        <v>01</v>
      </c>
      <c r="B38" s="92">
        <v>155</v>
      </c>
      <c r="C38" s="100">
        <f t="shared" si="2"/>
        <v>2053</v>
      </c>
      <c r="D38" s="97" t="str">
        <f t="shared" si="3"/>
        <v>2053 - 2057</v>
      </c>
      <c r="E38" s="94"/>
      <c r="F38" s="96"/>
      <c r="G38" s="480">
        <v>0</v>
      </c>
      <c r="H38" s="96"/>
      <c r="I38" s="480"/>
      <c r="J38" s="96"/>
      <c r="K38" s="480"/>
      <c r="L38" s="14"/>
      <c r="O38" s="742"/>
      <c r="AE38" s="2309" t="s">
        <v>5047</v>
      </c>
    </row>
    <row r="39" spans="1:31" s="92" customFormat="1" ht="14.1" customHeight="1" x14ac:dyDescent="0.25">
      <c r="A39" s="90" t="str">
        <f t="shared" si="1"/>
        <v>01</v>
      </c>
      <c r="B39" s="92">
        <v>160</v>
      </c>
      <c r="C39" s="100">
        <f t="shared" si="2"/>
        <v>2058</v>
      </c>
      <c r="D39" s="97" t="str">
        <f t="shared" si="3"/>
        <v>2058 - 2062</v>
      </c>
      <c r="E39" s="94"/>
      <c r="F39" s="96"/>
      <c r="G39" s="480"/>
      <c r="H39" s="96"/>
      <c r="I39" s="480"/>
      <c r="J39" s="96"/>
      <c r="K39" s="480"/>
      <c r="L39" s="14"/>
      <c r="O39" s="742"/>
      <c r="AE39" s="2309" t="s">
        <v>5048</v>
      </c>
    </row>
    <row r="40" spans="1:31" s="92" customFormat="1" ht="14.1" customHeight="1" x14ac:dyDescent="0.25">
      <c r="A40" s="90" t="str">
        <f t="shared" si="1"/>
        <v>01</v>
      </c>
      <c r="B40" s="92">
        <v>165</v>
      </c>
      <c r="C40" s="100">
        <f t="shared" si="2"/>
        <v>2063</v>
      </c>
      <c r="D40" s="97" t="str">
        <f t="shared" si="3"/>
        <v>2063 - 2067</v>
      </c>
      <c r="E40" s="94"/>
      <c r="F40" s="96"/>
      <c r="G40" s="480"/>
      <c r="H40" s="96"/>
      <c r="I40" s="480"/>
      <c r="J40" s="96"/>
      <c r="K40" s="480"/>
      <c r="L40" s="14"/>
      <c r="O40" s="742"/>
      <c r="AE40" s="2309" t="s">
        <v>5049</v>
      </c>
    </row>
    <row r="41" spans="1:31" s="92" customFormat="1" ht="14.1" customHeight="1" x14ac:dyDescent="0.25">
      <c r="A41" s="90" t="str">
        <f t="shared" si="1"/>
        <v>01</v>
      </c>
      <c r="B41" s="92">
        <v>170</v>
      </c>
      <c r="C41" s="100">
        <f t="shared" si="2"/>
        <v>2068</v>
      </c>
      <c r="D41" s="97" t="str">
        <f t="shared" si="3"/>
        <v>2068 - 2072</v>
      </c>
      <c r="E41" s="94"/>
      <c r="F41" s="96"/>
      <c r="G41" s="1198"/>
      <c r="H41" s="96"/>
      <c r="I41" s="1198"/>
      <c r="J41" s="96"/>
      <c r="K41" s="1198"/>
      <c r="L41" s="14"/>
      <c r="O41" s="742"/>
      <c r="AE41" s="2309" t="s">
        <v>5050</v>
      </c>
    </row>
    <row r="42" spans="1:31" s="92" customFormat="1" ht="14.1" customHeight="1" thickBot="1" x14ac:dyDescent="0.3">
      <c r="A42" s="90" t="str">
        <f t="shared" si="1"/>
        <v>01</v>
      </c>
      <c r="B42" s="92">
        <v>175</v>
      </c>
      <c r="C42" s="100">
        <f t="shared" si="2"/>
        <v>2073</v>
      </c>
      <c r="D42" s="97" t="str">
        <f>(C42)&amp;" - " &amp;"Beyond"</f>
        <v>2073 - Beyond</v>
      </c>
      <c r="E42" s="94"/>
      <c r="F42" s="96"/>
      <c r="G42" s="1197"/>
      <c r="H42" s="96"/>
      <c r="I42" s="1197"/>
      <c r="J42" s="96"/>
      <c r="K42" s="1197"/>
      <c r="L42" s="14"/>
      <c r="O42" s="742"/>
      <c r="AE42" s="2309" t="s">
        <v>5051</v>
      </c>
    </row>
    <row r="43" spans="1:31" s="92" customFormat="1" ht="4.3499999999999996" customHeight="1" x14ac:dyDescent="0.25">
      <c r="A43" s="90" t="str">
        <f t="shared" si="1"/>
        <v>01</v>
      </c>
      <c r="C43" s="14"/>
      <c r="D43" s="97"/>
      <c r="E43" s="94"/>
      <c r="F43" s="96"/>
      <c r="G43" s="96"/>
      <c r="H43" s="96"/>
      <c r="I43" s="96"/>
      <c r="J43" s="96"/>
      <c r="K43" s="96"/>
      <c r="L43" s="14"/>
      <c r="O43" s="742"/>
      <c r="AE43" s="2309"/>
    </row>
    <row r="44" spans="1:31" s="92" customFormat="1" ht="14.1" customHeight="1" x14ac:dyDescent="0.3">
      <c r="A44" s="90" t="str">
        <f t="shared" si="1"/>
        <v>01</v>
      </c>
      <c r="B44" s="92">
        <v>180</v>
      </c>
      <c r="C44" s="14"/>
      <c r="D44" s="1200"/>
      <c r="E44" s="94"/>
      <c r="F44" s="96"/>
      <c r="G44" s="96"/>
      <c r="H44" s="96"/>
      <c r="I44" s="96"/>
      <c r="J44" s="96"/>
      <c r="K44" s="96"/>
      <c r="L44" s="14"/>
      <c r="AE44" s="2309"/>
    </row>
    <row r="45" spans="1:31" s="92" customFormat="1" ht="14.1" customHeight="1" x14ac:dyDescent="0.25">
      <c r="A45" s="90" t="str">
        <f t="shared" si="1"/>
        <v>01</v>
      </c>
      <c r="B45" s="92">
        <v>185</v>
      </c>
      <c r="C45" s="14"/>
      <c r="D45" s="272" t="s">
        <v>1731</v>
      </c>
      <c r="E45" s="94"/>
      <c r="F45" s="96"/>
      <c r="G45" s="480">
        <v>0</v>
      </c>
      <c r="H45" s="96"/>
      <c r="I45" s="480"/>
      <c r="J45" s="96"/>
      <c r="K45" s="1195">
        <v>0</v>
      </c>
      <c r="L45" s="14"/>
      <c r="AE45" s="2309" t="s">
        <v>1731</v>
      </c>
    </row>
    <row r="46" spans="1:31" s="92" customFormat="1" ht="4.9000000000000004" customHeight="1" x14ac:dyDescent="0.25">
      <c r="A46" s="90" t="str">
        <f t="shared" si="1"/>
        <v>01</v>
      </c>
      <c r="C46" s="14"/>
      <c r="E46" s="94"/>
      <c r="F46" s="96"/>
      <c r="G46" s="96"/>
      <c r="H46" s="96"/>
      <c r="I46" s="96"/>
      <c r="J46" s="96"/>
      <c r="K46" s="1268"/>
      <c r="L46" s="14"/>
      <c r="AE46" s="2309"/>
    </row>
    <row r="47" spans="1:31" s="92" customFormat="1" ht="16.5" thickBot="1" x14ac:dyDescent="0.3">
      <c r="A47" s="90" t="str">
        <f t="shared" si="1"/>
        <v>01</v>
      </c>
      <c r="B47" s="92">
        <v>190</v>
      </c>
      <c r="C47" s="14"/>
      <c r="D47" s="272" t="s">
        <v>5513</v>
      </c>
      <c r="E47" s="94"/>
      <c r="F47" s="96"/>
      <c r="G47" s="101">
        <f>SUM(G28:G46)</f>
        <v>0</v>
      </c>
      <c r="H47" s="96"/>
      <c r="I47" s="101">
        <f>SUM(I28:I46)</f>
        <v>0</v>
      </c>
      <c r="J47" s="96"/>
      <c r="K47" s="101">
        <f>SUM(K28:K46)</f>
        <v>0</v>
      </c>
      <c r="L47" s="14"/>
      <c r="AE47" s="2309"/>
    </row>
    <row r="48" spans="1:31" s="92" customFormat="1" ht="16.5" thickTop="1" x14ac:dyDescent="0.25">
      <c r="A48" s="90" t="str">
        <f t="shared" si="1"/>
        <v>01</v>
      </c>
      <c r="C48" s="14"/>
      <c r="D48" s="14"/>
      <c r="E48" s="14"/>
      <c r="F48" s="14"/>
      <c r="G48" s="14"/>
      <c r="H48" s="14"/>
      <c r="I48" s="14"/>
      <c r="J48" s="14"/>
      <c r="K48" s="14"/>
      <c r="L48" s="14"/>
      <c r="AE48" s="2309"/>
    </row>
    <row r="49" spans="1:32" s="92" customFormat="1" ht="15" customHeight="1" x14ac:dyDescent="0.25">
      <c r="A49" s="90" t="str">
        <f t="shared" si="1"/>
        <v>01</v>
      </c>
      <c r="C49" s="14"/>
      <c r="D49" s="1202" t="s">
        <v>1733</v>
      </c>
      <c r="E49" s="2513" t="s">
        <v>5514</v>
      </c>
      <c r="F49" s="14"/>
      <c r="G49" s="14"/>
      <c r="H49" s="14"/>
      <c r="I49" s="14"/>
      <c r="J49" s="14"/>
      <c r="K49" s="14"/>
      <c r="L49" s="14"/>
      <c r="AE49" s="2309"/>
    </row>
    <row r="50" spans="1:32" s="92" customFormat="1" ht="15" customHeight="1" x14ac:dyDescent="0.25">
      <c r="A50" s="90"/>
      <c r="C50" s="1277" t="s">
        <v>350</v>
      </c>
      <c r="D50" s="2625" t="s">
        <v>5515</v>
      </c>
      <c r="E50" s="2625"/>
      <c r="F50" s="2625"/>
      <c r="G50" s="2625"/>
      <c r="H50" s="2625"/>
      <c r="I50" s="2625"/>
      <c r="J50" s="2625"/>
      <c r="K50" s="2625"/>
      <c r="L50" s="14"/>
      <c r="AE50" s="2309"/>
    </row>
    <row r="51" spans="1:32" s="92" customFormat="1" ht="15.75" x14ac:dyDescent="0.25">
      <c r="A51" s="90"/>
      <c r="C51" s="1277"/>
      <c r="D51" s="1278" t="s">
        <v>5516</v>
      </c>
      <c r="E51" s="272"/>
      <c r="F51" s="272"/>
      <c r="G51" s="272"/>
      <c r="H51" s="272"/>
      <c r="I51" s="272"/>
      <c r="J51" s="272"/>
      <c r="K51" s="272"/>
      <c r="L51" s="14"/>
      <c r="AE51" s="2309"/>
    </row>
    <row r="52" spans="1:32" s="92" customFormat="1" ht="15.75" x14ac:dyDescent="0.25">
      <c r="A52" s="90"/>
      <c r="C52" s="1277"/>
      <c r="D52" s="1278"/>
      <c r="E52" s="2637"/>
      <c r="F52" s="2637"/>
      <c r="G52" s="2637"/>
      <c r="H52" s="2637"/>
      <c r="I52" s="2637"/>
      <c r="J52" s="2637"/>
      <c r="K52" s="2637"/>
      <c r="L52" s="14"/>
      <c r="AE52" s="2309"/>
    </row>
    <row r="53" spans="1:32" s="92" customFormat="1" ht="15.75" x14ac:dyDescent="0.25">
      <c r="A53" s="90" t="str">
        <f t="shared" si="1"/>
        <v>01</v>
      </c>
      <c r="C53" s="2640" t="s">
        <v>5689</v>
      </c>
      <c r="D53" s="1190"/>
      <c r="E53" s="1190"/>
      <c r="F53" s="1190"/>
      <c r="G53" s="2640"/>
      <c r="H53" s="2640"/>
      <c r="I53" s="2640"/>
      <c r="J53" s="2640"/>
      <c r="K53" s="2640"/>
      <c r="L53" s="2640"/>
      <c r="AE53" s="2309"/>
    </row>
    <row r="54" spans="1:32" ht="17.45" customHeight="1" x14ac:dyDescent="0.25">
      <c r="A54" s="90"/>
      <c r="C54" s="2528"/>
    </row>
    <row r="55" spans="1:32" ht="18" customHeight="1" x14ac:dyDescent="0.25">
      <c r="A55" s="90"/>
      <c r="C55" s="2528" t="s">
        <v>5765</v>
      </c>
    </row>
    <row r="56" spans="1:32" ht="17.45" customHeight="1" x14ac:dyDescent="0.25">
      <c r="A56" s="90"/>
      <c r="C56" s="2528"/>
      <c r="D56" s="2528"/>
      <c r="E56" s="43" t="s">
        <v>5559</v>
      </c>
      <c r="G56" s="2592"/>
      <c r="H56" s="2593"/>
      <c r="J56" s="43" t="s">
        <v>5558</v>
      </c>
      <c r="K56" s="2592"/>
      <c r="AE56" s="1443" t="str">
        <f>IF(AND(ISBLANK($G$56),ISBLANK($K$56))=TRUE,"Answer Missing"," ")</f>
        <v>Answer Missing</v>
      </c>
    </row>
    <row r="57" spans="1:32" s="2679" customFormat="1" ht="20.45" customHeight="1" x14ac:dyDescent="0.2">
      <c r="C57" s="2680" t="s">
        <v>5770</v>
      </c>
      <c r="D57" s="43"/>
    </row>
    <row r="58" spans="1:32" ht="13.15" customHeight="1" x14ac:dyDescent="0.25">
      <c r="A58" s="90"/>
      <c r="C58" s="2528" t="s">
        <v>5684</v>
      </c>
      <c r="G58" s="2592"/>
      <c r="H58" s="2592"/>
      <c r="I58" s="2592"/>
      <c r="J58" s="2592"/>
      <c r="K58" s="2592"/>
      <c r="L58" s="2592"/>
      <c r="M58" s="2592"/>
      <c r="N58" s="2592"/>
      <c r="O58" s="2592"/>
      <c r="P58" s="2592"/>
      <c r="Q58" s="2592"/>
      <c r="R58" s="2592"/>
      <c r="S58" s="2592"/>
      <c r="T58" s="2592"/>
      <c r="U58" s="2592"/>
      <c r="V58" s="2592"/>
      <c r="W58" s="2592"/>
      <c r="X58" s="2592"/>
      <c r="Y58" s="2592"/>
      <c r="Z58" s="2592"/>
      <c r="AA58" s="2592"/>
      <c r="AB58" s="2592"/>
      <c r="AC58" s="2592"/>
      <c r="AD58" s="2592"/>
      <c r="AE58" s="1443"/>
    </row>
    <row r="59" spans="1:32" ht="24" customHeight="1" x14ac:dyDescent="0.25">
      <c r="A59" s="90"/>
      <c r="C59" s="2528" t="s">
        <v>5766</v>
      </c>
      <c r="E59" s="2685"/>
      <c r="G59" s="2594"/>
      <c r="H59" s="2594"/>
      <c r="I59" s="2594"/>
      <c r="J59" s="2594"/>
      <c r="K59" s="2594"/>
      <c r="L59" s="2594"/>
      <c r="M59" s="2594"/>
      <c r="N59" s="2594"/>
      <c r="O59" s="2594"/>
      <c r="P59" s="2594"/>
      <c r="Q59" s="2594"/>
      <c r="R59" s="2594"/>
      <c r="S59" s="2594"/>
      <c r="T59" s="2594"/>
      <c r="U59" s="2594"/>
      <c r="V59" s="2594"/>
      <c r="W59" s="2594"/>
      <c r="X59" s="2594"/>
      <c r="Y59" s="2594"/>
      <c r="Z59" s="2594"/>
      <c r="AA59" s="2594"/>
      <c r="AB59" s="2594"/>
      <c r="AC59" s="2594"/>
      <c r="AD59" s="2594"/>
      <c r="AE59" s="1443"/>
    </row>
    <row r="60" spans="1:32" ht="16.899999999999999" customHeight="1" x14ac:dyDescent="0.25">
      <c r="A60" s="90"/>
      <c r="C60" s="43" t="s">
        <v>5767</v>
      </c>
      <c r="E60" s="2689"/>
      <c r="F60" s="2689"/>
      <c r="G60" s="2689"/>
      <c r="H60" s="2594"/>
      <c r="I60" s="2688" t="s">
        <v>5768</v>
      </c>
      <c r="J60" s="2594"/>
      <c r="K60" s="2692"/>
      <c r="L60" s="2594"/>
      <c r="M60" s="2594"/>
      <c r="N60" s="2594"/>
      <c r="O60" s="2594"/>
      <c r="P60" s="2594"/>
      <c r="Q60" s="2594"/>
      <c r="R60" s="2594"/>
      <c r="S60" s="2594"/>
      <c r="T60" s="2594"/>
      <c r="U60" s="2594"/>
      <c r="V60" s="2594"/>
      <c r="W60" s="2594"/>
      <c r="X60" s="2594"/>
      <c r="Y60" s="2594"/>
      <c r="Z60" s="2594"/>
      <c r="AA60" s="2594"/>
      <c r="AB60" s="2594"/>
      <c r="AC60" s="2594"/>
      <c r="AD60" s="2594"/>
      <c r="AE60" s="1443"/>
    </row>
    <row r="61" spans="1:32" ht="17.45" customHeight="1" x14ac:dyDescent="0.25">
      <c r="A61" s="90"/>
      <c r="C61" s="2528"/>
      <c r="D61" s="2528"/>
      <c r="G61" s="2594"/>
      <c r="H61" s="2594"/>
      <c r="I61" s="2594"/>
      <c r="J61" s="2594"/>
      <c r="K61" s="2594"/>
      <c r="L61" s="2594"/>
      <c r="M61" s="2594"/>
      <c r="N61" s="2594"/>
      <c r="O61" s="2594"/>
      <c r="P61" s="2594"/>
      <c r="Q61" s="2594"/>
      <c r="R61" s="2594"/>
      <c r="S61" s="2594"/>
      <c r="T61" s="2594"/>
      <c r="U61" s="2594"/>
      <c r="V61" s="2594"/>
      <c r="W61" s="2594"/>
      <c r="X61" s="2594"/>
      <c r="Y61" s="2594"/>
      <c r="Z61" s="2594"/>
      <c r="AA61" s="2594"/>
      <c r="AB61" s="2594"/>
      <c r="AC61" s="2594"/>
      <c r="AD61" s="2594"/>
      <c r="AE61" s="1443"/>
    </row>
    <row r="62" spans="1:32" ht="17.45" customHeight="1" x14ac:dyDescent="0.25">
      <c r="A62" s="90"/>
      <c r="C62" s="2528" t="s">
        <v>5769</v>
      </c>
    </row>
    <row r="63" spans="1:32" ht="17.45" customHeight="1" x14ac:dyDescent="0.25">
      <c r="A63" s="90"/>
      <c r="C63" s="2528"/>
      <c r="D63" s="2682" t="s">
        <v>5772</v>
      </c>
      <c r="E63" s="2638"/>
      <c r="F63" s="2683" t="s">
        <v>5558</v>
      </c>
      <c r="G63" s="2691"/>
      <c r="I63" s="2682" t="s">
        <v>345</v>
      </c>
      <c r="K63" s="2687"/>
      <c r="L63" s="2684"/>
      <c r="AE63" s="1443" t="str">
        <f>IF(AND(ISBLANK($E$63),ISBLANK($G$63),ISBLANK($K$63))=TRUE,"Answer Missing"," ")</f>
        <v>Answer Missing</v>
      </c>
    </row>
    <row r="64" spans="1:32" ht="22.15" customHeight="1" x14ac:dyDescent="0.25">
      <c r="A64" s="90"/>
      <c r="C64" s="2680" t="s">
        <v>5771</v>
      </c>
      <c r="D64" s="1892"/>
      <c r="E64" s="1892"/>
      <c r="F64" s="1892"/>
      <c r="G64" s="1892"/>
      <c r="H64" s="1892"/>
      <c r="I64" s="1892"/>
      <c r="J64" s="2679"/>
      <c r="L64" s="2679"/>
      <c r="M64" s="2679"/>
      <c r="N64" s="2679"/>
      <c r="O64" s="2679"/>
      <c r="P64" s="2679"/>
      <c r="Q64" s="2679"/>
      <c r="R64" s="2679"/>
      <c r="S64" s="2679"/>
      <c r="T64" s="2679"/>
      <c r="U64" s="2679"/>
      <c r="V64" s="2679"/>
      <c r="W64" s="2679"/>
      <c r="X64" s="2679"/>
      <c r="Y64" s="2679"/>
      <c r="Z64" s="2679"/>
      <c r="AA64" s="2679"/>
      <c r="AB64" s="2679"/>
      <c r="AC64" s="2679"/>
      <c r="AD64" s="2679"/>
      <c r="AE64" s="2679"/>
      <c r="AF64" s="2679"/>
    </row>
    <row r="65" spans="1:31" ht="14.45" customHeight="1" x14ac:dyDescent="0.25">
      <c r="A65" s="90"/>
      <c r="C65" s="2528" t="s">
        <v>5643</v>
      </c>
      <c r="D65" s="2528"/>
      <c r="G65" s="2638"/>
      <c r="H65" s="2797"/>
      <c r="I65" s="2797"/>
      <c r="J65" s="2797"/>
      <c r="K65" s="2797"/>
      <c r="L65" s="2797"/>
      <c r="M65" s="2797"/>
      <c r="N65" s="2797"/>
      <c r="O65" s="2797"/>
      <c r="P65" s="2797"/>
      <c r="Q65" s="2797"/>
      <c r="R65" s="2797"/>
      <c r="S65" s="2797"/>
      <c r="T65" s="2797"/>
      <c r="U65" s="2797"/>
      <c r="V65" s="2797"/>
      <c r="W65" s="2797"/>
      <c r="X65" s="2797"/>
      <c r="Y65" s="2797"/>
      <c r="Z65" s="2797"/>
      <c r="AA65" s="2797"/>
      <c r="AB65" s="2797"/>
      <c r="AC65" s="2797"/>
      <c r="AD65" s="2797"/>
      <c r="AE65" s="1443"/>
    </row>
    <row r="66" spans="1:31" ht="25.15" customHeight="1" x14ac:dyDescent="0.25">
      <c r="A66" s="90"/>
      <c r="C66" s="2528" t="s">
        <v>5775</v>
      </c>
      <c r="E66" s="2685"/>
      <c r="G66" s="2594"/>
      <c r="H66" s="2594"/>
      <c r="I66" s="2594"/>
      <c r="J66" s="2594"/>
      <c r="K66" s="2594"/>
    </row>
    <row r="67" spans="1:31" ht="17.45" customHeight="1" x14ac:dyDescent="0.25">
      <c r="A67" s="90"/>
      <c r="C67" s="43" t="s">
        <v>5767</v>
      </c>
      <c r="E67" s="2689"/>
      <c r="F67" s="2689"/>
      <c r="G67" s="2689"/>
      <c r="H67" s="2594"/>
      <c r="I67" s="2688" t="s">
        <v>5768</v>
      </c>
      <c r="J67" s="2594"/>
      <c r="K67" s="2692"/>
    </row>
    <row r="68" spans="1:31" ht="17.45" customHeight="1" x14ac:dyDescent="0.25">
      <c r="A68" s="90"/>
      <c r="C68" s="2528"/>
      <c r="D68" s="2528"/>
    </row>
    <row r="69" spans="1:31" x14ac:dyDescent="0.2">
      <c r="C69" s="2528" t="s">
        <v>616</v>
      </c>
      <c r="D69" s="2528" t="s">
        <v>5518</v>
      </c>
    </row>
    <row r="70" spans="1:31" x14ac:dyDescent="0.2">
      <c r="C70" s="2528"/>
      <c r="D70" s="2528"/>
    </row>
    <row r="71" spans="1:31" x14ac:dyDescent="0.2">
      <c r="C71" s="2528" t="s">
        <v>5690</v>
      </c>
      <c r="D71" s="2528"/>
    </row>
    <row r="72" spans="1:31" ht="19.899999999999999" customHeight="1" x14ac:dyDescent="0.2">
      <c r="C72" s="2528"/>
      <c r="D72" s="2528"/>
      <c r="E72" s="43" t="s">
        <v>5559</v>
      </c>
      <c r="G72" s="2641"/>
      <c r="H72" s="2593"/>
      <c r="J72" s="43" t="s">
        <v>5558</v>
      </c>
      <c r="K72" s="2641"/>
      <c r="AE72" s="1443" t="str">
        <f>IF(AND(ISBLANK($G$72),ISBLANK($K$72))=TRUE,"Answer Missing"," ")</f>
        <v>Answer Missing</v>
      </c>
    </row>
    <row r="73" spans="1:31" ht="10.15" customHeight="1" x14ac:dyDescent="0.2">
      <c r="C73" s="2528"/>
      <c r="D73" s="2528"/>
    </row>
    <row r="74" spans="1:31" x14ac:dyDescent="0.2">
      <c r="C74" s="2528" t="s">
        <v>5691</v>
      </c>
      <c r="D74" s="2528"/>
    </row>
    <row r="75" spans="1:31" x14ac:dyDescent="0.2">
      <c r="C75" s="2528"/>
      <c r="D75" s="2528"/>
    </row>
    <row r="76" spans="1:31" ht="19.149999999999999" customHeight="1" x14ac:dyDescent="0.2">
      <c r="C76" s="2528" t="s">
        <v>5560</v>
      </c>
    </row>
    <row r="77" spans="1:31" ht="18" customHeight="1" x14ac:dyDescent="0.2">
      <c r="C77" s="2528"/>
      <c r="D77" s="2528"/>
      <c r="E77" s="43" t="s">
        <v>5559</v>
      </c>
      <c r="G77" s="2592"/>
      <c r="H77" s="2593"/>
      <c r="J77" s="43" t="s">
        <v>5558</v>
      </c>
      <c r="K77" s="2592"/>
      <c r="AE77" s="1443" t="str">
        <f>IF(AND(ISBLANK($G$77),ISBLANK($K$77))=TRUE,"Answer Missing"," ")</f>
        <v>Answer Missing</v>
      </c>
    </row>
    <row r="78" spans="1:31" ht="21" customHeight="1" x14ac:dyDescent="0.2">
      <c r="C78" s="2680" t="s">
        <v>5773</v>
      </c>
      <c r="E78" s="2679"/>
      <c r="F78" s="2679"/>
      <c r="G78" s="2679"/>
      <c r="H78" s="2679"/>
      <c r="I78" s="2679"/>
      <c r="J78" s="2679"/>
      <c r="K78" s="2679"/>
      <c r="L78" s="2679"/>
      <c r="M78" s="2679"/>
      <c r="N78" s="2679"/>
      <c r="O78" s="2679"/>
      <c r="P78" s="2679"/>
      <c r="Q78" s="2679"/>
      <c r="R78" s="2679"/>
      <c r="S78" s="2679"/>
      <c r="T78" s="2679"/>
      <c r="U78" s="2679"/>
      <c r="V78" s="2679"/>
      <c r="W78" s="2679"/>
      <c r="X78" s="2679"/>
      <c r="Y78" s="2679"/>
      <c r="Z78" s="2679"/>
      <c r="AA78" s="2679"/>
      <c r="AB78" s="2679"/>
      <c r="AC78" s="2679"/>
      <c r="AD78" s="2679"/>
      <c r="AE78" s="2679"/>
    </row>
    <row r="79" spans="1:31" ht="16.899999999999999" customHeight="1" x14ac:dyDescent="0.2">
      <c r="C79" s="2595" t="s">
        <v>5685</v>
      </c>
      <c r="D79" s="2595"/>
      <c r="G79" s="2592"/>
      <c r="H79" s="2592"/>
      <c r="I79" s="2592"/>
      <c r="J79" s="2592"/>
      <c r="K79" s="2592"/>
      <c r="L79" s="2592"/>
      <c r="M79" s="2592"/>
      <c r="N79" s="2592"/>
      <c r="O79" s="2592"/>
      <c r="P79" s="2592"/>
      <c r="Q79" s="2592"/>
      <c r="R79" s="2592"/>
      <c r="S79" s="2592"/>
      <c r="T79" s="2592"/>
      <c r="U79" s="2592"/>
      <c r="V79" s="2592"/>
      <c r="W79" s="2592"/>
      <c r="X79" s="2592"/>
      <c r="Y79" s="2592"/>
      <c r="Z79" s="2592"/>
      <c r="AA79" s="2592"/>
      <c r="AB79" s="2592"/>
      <c r="AC79" s="2592"/>
      <c r="AD79" s="2592"/>
      <c r="AE79" s="1443"/>
    </row>
    <row r="80" spans="1:31" ht="25.9" customHeight="1" x14ac:dyDescent="0.2">
      <c r="C80" s="2528" t="s">
        <v>5778</v>
      </c>
      <c r="E80" s="2685"/>
      <c r="G80" s="2594"/>
      <c r="H80" s="2594"/>
      <c r="I80" s="2594"/>
      <c r="J80" s="2594"/>
      <c r="K80" s="2594"/>
      <c r="L80" s="2594"/>
      <c r="M80" s="2594"/>
      <c r="N80" s="2594"/>
      <c r="O80" s="2594"/>
      <c r="P80" s="2594"/>
      <c r="Q80" s="2594"/>
      <c r="R80" s="2594"/>
      <c r="S80" s="2594"/>
      <c r="T80" s="2594"/>
      <c r="U80" s="2594"/>
      <c r="V80" s="2594"/>
      <c r="W80" s="2594"/>
      <c r="X80" s="2594"/>
      <c r="Y80" s="2594"/>
      <c r="Z80" s="2594"/>
      <c r="AA80" s="2594"/>
      <c r="AB80" s="2594"/>
      <c r="AC80" s="2594"/>
      <c r="AD80" s="2594"/>
      <c r="AE80" s="1443"/>
    </row>
    <row r="81" spans="2:31" x14ac:dyDescent="0.2">
      <c r="C81" s="43" t="s">
        <v>5767</v>
      </c>
      <c r="E81" s="2689"/>
      <c r="F81" s="2689"/>
      <c r="G81" s="2689"/>
      <c r="H81" s="2594"/>
      <c r="I81" s="2688" t="s">
        <v>5768</v>
      </c>
      <c r="J81" s="2594"/>
      <c r="K81" s="2692"/>
      <c r="L81" s="2594"/>
      <c r="M81" s="2594"/>
      <c r="N81" s="2594"/>
      <c r="O81" s="2594"/>
      <c r="P81" s="2594"/>
      <c r="Q81" s="2594"/>
      <c r="R81" s="2594"/>
      <c r="S81" s="2594"/>
      <c r="T81" s="2594"/>
      <c r="U81" s="2594"/>
      <c r="V81" s="2594"/>
      <c r="W81" s="2594"/>
      <c r="X81" s="2594"/>
      <c r="Y81" s="2594"/>
      <c r="Z81" s="2594"/>
      <c r="AA81" s="2594"/>
      <c r="AB81" s="2594"/>
      <c r="AC81" s="2594"/>
      <c r="AD81" s="2594"/>
      <c r="AE81" s="1443"/>
    </row>
    <row r="82" spans="2:31" x14ac:dyDescent="0.2">
      <c r="C82" s="2528"/>
      <c r="D82" s="2528"/>
      <c r="G82" s="2594"/>
      <c r="H82" s="2594"/>
      <c r="I82" s="2594"/>
      <c r="J82" s="2594"/>
      <c r="K82" s="2594"/>
      <c r="L82" s="2594"/>
      <c r="M82" s="2594"/>
      <c r="N82" s="2594"/>
      <c r="O82" s="2594"/>
      <c r="P82" s="2594"/>
      <c r="Q82" s="2594"/>
      <c r="R82" s="2594"/>
      <c r="S82" s="2594"/>
      <c r="T82" s="2594"/>
      <c r="U82" s="2594"/>
      <c r="V82" s="2594"/>
      <c r="W82" s="2594"/>
      <c r="X82" s="2594"/>
      <c r="Y82" s="2594"/>
      <c r="Z82" s="2594"/>
      <c r="AA82" s="2594"/>
      <c r="AB82" s="2594"/>
      <c r="AC82" s="2594"/>
      <c r="AD82" s="2594"/>
      <c r="AE82" s="1443"/>
    </row>
    <row r="83" spans="2:31" ht="26.45" customHeight="1" x14ac:dyDescent="0.2">
      <c r="C83" s="2528" t="s">
        <v>5774</v>
      </c>
    </row>
    <row r="84" spans="2:31" ht="21" customHeight="1" x14ac:dyDescent="0.2">
      <c r="C84" s="2528"/>
      <c r="D84" s="2682" t="s">
        <v>5772</v>
      </c>
      <c r="E84" s="2681"/>
      <c r="F84" s="2683" t="s">
        <v>5558</v>
      </c>
      <c r="G84" s="2691"/>
      <c r="I84" s="2682" t="s">
        <v>345</v>
      </c>
      <c r="K84" s="2687"/>
      <c r="L84" s="2684"/>
      <c r="AE84" s="1443" t="str">
        <f>IF(AND(ISBLANK($E$84),ISBLANK($G$84),ISBLANK($K$84))=TRUE,"Answer Missing"," ")</f>
        <v>Answer Missing</v>
      </c>
    </row>
    <row r="85" spans="2:31" ht="28.9" customHeight="1" x14ac:dyDescent="0.2">
      <c r="C85" s="2679" t="s">
        <v>5776</v>
      </c>
      <c r="E85" s="2679"/>
      <c r="F85" s="2679"/>
      <c r="G85" s="2679"/>
      <c r="H85" s="2679"/>
      <c r="I85" s="2679"/>
      <c r="J85" s="2679"/>
      <c r="K85" s="2679"/>
      <c r="L85" s="2679"/>
      <c r="AE85" s="1443"/>
    </row>
    <row r="86" spans="2:31" ht="16.899999999999999" customHeight="1" x14ac:dyDescent="0.2">
      <c r="C86" s="2528" t="s">
        <v>5561</v>
      </c>
      <c r="D86" s="2528"/>
      <c r="G86" s="2638"/>
      <c r="H86" s="2592"/>
      <c r="I86" s="2592"/>
      <c r="J86" s="2592"/>
      <c r="K86" s="2592"/>
      <c r="L86" s="2592"/>
      <c r="M86" s="2592"/>
      <c r="N86" s="2592"/>
      <c r="O86" s="2592"/>
      <c r="P86" s="2592"/>
      <c r="Q86" s="2592"/>
      <c r="R86" s="2592"/>
      <c r="S86" s="2592"/>
      <c r="T86" s="2592"/>
      <c r="U86" s="2592"/>
      <c r="V86" s="2592"/>
      <c r="W86" s="2592"/>
      <c r="X86" s="2592"/>
      <c r="Y86" s="2592"/>
      <c r="Z86" s="2592"/>
      <c r="AA86" s="2592"/>
      <c r="AB86" s="2592"/>
      <c r="AC86" s="2592"/>
      <c r="AD86" s="2592"/>
      <c r="AE86" s="1443"/>
    </row>
    <row r="87" spans="2:31" ht="32.450000000000003" customHeight="1" x14ac:dyDescent="0.2">
      <c r="C87" s="2528" t="s">
        <v>5777</v>
      </c>
      <c r="E87" s="2685"/>
      <c r="G87" s="2594"/>
      <c r="H87" s="2594"/>
      <c r="I87" s="2594"/>
      <c r="J87" s="2594"/>
      <c r="K87" s="2594"/>
    </row>
    <row r="88" spans="2:31" ht="16.899999999999999" customHeight="1" x14ac:dyDescent="0.2">
      <c r="C88" s="43" t="s">
        <v>5767</v>
      </c>
      <c r="E88" s="2690"/>
      <c r="F88" s="2690"/>
      <c r="G88" s="2690"/>
      <c r="H88" s="2594"/>
      <c r="I88" s="2688" t="s">
        <v>5768</v>
      </c>
      <c r="J88" s="2594"/>
      <c r="K88" s="2692"/>
    </row>
    <row r="89" spans="2:31" x14ac:dyDescent="0.2">
      <c r="C89" s="2528"/>
      <c r="D89" s="2528"/>
    </row>
    <row r="90" spans="2:31" x14ac:dyDescent="0.2">
      <c r="C90" s="2528"/>
      <c r="D90" s="2528"/>
    </row>
    <row r="91" spans="2:31" x14ac:dyDescent="0.2">
      <c r="C91" s="2528"/>
      <c r="D91" s="2528"/>
    </row>
    <row r="93" spans="2:31" ht="15" x14ac:dyDescent="0.2">
      <c r="B93" s="443" t="str">
        <f ca="1">MID(CELL("filename",B24),FIND("]",CELL("filename",B24))+1,256)</f>
        <v>301</v>
      </c>
      <c r="C93" s="443" t="s">
        <v>449</v>
      </c>
      <c r="D93" s="443"/>
    </row>
    <row r="94" spans="2:31" ht="15" x14ac:dyDescent="0.2">
      <c r="B94" s="443" t="s">
        <v>446</v>
      </c>
      <c r="C94" s="443" t="str">
        <f t="shared" ref="C94:C103" ca="1" si="4">IF(ISNA(INDEX(ErrorTable,MATCH($B$93&amp;$B94&amp;FALSE,ErrorKey,0),6)),"",INDEX(ErrorTable,MATCH($B$93&amp;$B94&amp;FALSE,ErrorKey,0),6))</f>
        <v/>
      </c>
      <c r="D94" s="443"/>
    </row>
    <row r="95" spans="2:31" ht="15" x14ac:dyDescent="0.2">
      <c r="B95" s="443" t="s">
        <v>447</v>
      </c>
      <c r="C95" s="443" t="str">
        <f t="shared" ca="1" si="4"/>
        <v/>
      </c>
      <c r="D95" s="443"/>
    </row>
    <row r="96" spans="2:31" ht="15" x14ac:dyDescent="0.2">
      <c r="B96" s="443" t="s">
        <v>448</v>
      </c>
      <c r="C96" s="443" t="str">
        <f t="shared" ca="1" si="4"/>
        <v/>
      </c>
      <c r="D96" s="443"/>
    </row>
    <row r="97" spans="2:4" ht="15" x14ac:dyDescent="0.2">
      <c r="B97" s="443" t="s">
        <v>450</v>
      </c>
      <c r="C97" s="443" t="str">
        <f t="shared" ca="1" si="4"/>
        <v/>
      </c>
      <c r="D97" s="443"/>
    </row>
    <row r="98" spans="2:4" ht="15" x14ac:dyDescent="0.2">
      <c r="B98" s="443" t="s">
        <v>451</v>
      </c>
      <c r="C98" s="443" t="str">
        <f t="shared" ca="1" si="4"/>
        <v/>
      </c>
      <c r="D98" s="443"/>
    </row>
    <row r="99" spans="2:4" ht="15" x14ac:dyDescent="0.2">
      <c r="B99" s="443" t="s">
        <v>452</v>
      </c>
      <c r="C99" s="443" t="str">
        <f t="shared" ca="1" si="4"/>
        <v/>
      </c>
      <c r="D99" s="443"/>
    </row>
    <row r="100" spans="2:4" ht="15" x14ac:dyDescent="0.2">
      <c r="B100" s="443" t="s">
        <v>453</v>
      </c>
      <c r="C100" s="443" t="str">
        <f t="shared" ca="1" si="4"/>
        <v/>
      </c>
      <c r="D100" s="443"/>
    </row>
    <row r="101" spans="2:4" ht="15" x14ac:dyDescent="0.2">
      <c r="B101" s="443" t="s">
        <v>454</v>
      </c>
      <c r="C101" s="443" t="str">
        <f t="shared" ca="1" si="4"/>
        <v/>
      </c>
      <c r="D101" s="443"/>
    </row>
    <row r="102" spans="2:4" ht="15" x14ac:dyDescent="0.2">
      <c r="B102" s="443" t="s">
        <v>455</v>
      </c>
      <c r="C102" s="443" t="str">
        <f t="shared" ca="1" si="4"/>
        <v/>
      </c>
      <c r="D102" s="443"/>
    </row>
    <row r="103" spans="2:4" ht="15" x14ac:dyDescent="0.2">
      <c r="B103" s="443" t="s">
        <v>456</v>
      </c>
      <c r="C103" s="443" t="str">
        <f t="shared" ca="1" si="4"/>
        <v/>
      </c>
      <c r="D103" s="443"/>
    </row>
  </sheetData>
  <sheetProtection algorithmName="SHA-512" hashValue="D6KiE5mq6Z0isXr0L0/MqlKdIiRCN+oKYLvectHR10DdK1rrGSgWGuFqhQKNV+iAY7advLZZu7zwKhMiXbNB8w==" saltValue="+JFvfxc5cEyj93JDIonnoA==" spinCount="100000" sheet="1" autoFilter="0"/>
  <customSheetViews>
    <customSheetView guid="{B08879A4-635B-4C39-9937-AC7883D562FC}" showGridLines="0" fitToPage="1" hiddenRows="1" hiddenColumns="1" topLeftCell="C1">
      <selection activeCell="AH26" sqref="AH26"/>
      <pageMargins left="0.75" right="0.5" top="0.5" bottom="0.5" header="0.5" footer="0.5"/>
      <pageSetup scale="82" orientation="portrait" r:id="rId1"/>
      <headerFooter alignWithMargins="0">
        <oddHeader xml:space="preserve">&amp;C &amp;R
</oddHeader>
        <oddFooter>&amp;R&amp;A</oddFooter>
      </headerFooter>
    </customSheetView>
    <customSheetView guid="{1250FD07-FF56-4A9D-AF9E-C27124A7EBE9}" showGridLines="0" fitToPage="1" showRuler="0">
      <selection sqref="A1:L1"/>
      <pageMargins left="0.75" right="0.5" top="0.5" bottom="0.5" header="0.5" footer="0.5"/>
      <pageSetup scale="81" orientation="portrait" horizontalDpi="300" verticalDpi="300" r:id="rId2"/>
      <headerFooter alignWithMargins="0">
        <oddHeader xml:space="preserve">&amp;C &amp;R
</oddHeader>
        <oddFooter>&amp;R&amp;A</oddFooter>
      </headerFooter>
    </customSheetView>
    <customSheetView guid="{BEA4BE86-04D1-4C96-9358-7A260B9D2B2D}" showGridLines="0" fitToPage="1" showRuler="0">
      <selection sqref="A1:L1"/>
      <pageMargins left="0.75" right="0.5" top="0.5" bottom="0.5" header="0.5" footer="0.5"/>
      <pageSetup scale="81" orientation="portrait" horizontalDpi="300" verticalDpi="300" r:id="rId3"/>
      <headerFooter alignWithMargins="0">
        <oddHeader xml:space="preserve">&amp;C &amp;R
</oddHeader>
        <oddFooter>&amp;R&amp;A</oddFooter>
      </headerFooter>
    </customSheetView>
    <customSheetView guid="{9FCFC836-1CA5-48BF-958D-24D2EA94B219}" showGridLines="0" fitToPage="1" printArea="1" hiddenRows="1" hiddenColumns="1" topLeftCell="C1">
      <selection activeCell="AH26" sqref="AH26"/>
      <pageMargins left="0.75" right="0.5" top="0.5" bottom="0.5" header="0.5" footer="0.5"/>
      <pageSetup scale="82" orientation="portrait" r:id="rId4"/>
      <headerFooter alignWithMargins="0">
        <oddHeader xml:space="preserve">&amp;C &amp;R
</oddHeader>
        <oddFooter>&amp;R&amp;A</oddFooter>
      </headerFooter>
    </customSheetView>
  </customSheetViews>
  <mergeCells count="10">
    <mergeCell ref="H65:AD65"/>
    <mergeCell ref="L1:L3"/>
    <mergeCell ref="G5:K5"/>
    <mergeCell ref="G6:K6"/>
    <mergeCell ref="G7:K7"/>
    <mergeCell ref="C1:K1"/>
    <mergeCell ref="C2:K2"/>
    <mergeCell ref="C3:K3"/>
    <mergeCell ref="G24:K24"/>
    <mergeCell ref="G8:K8"/>
  </mergeCells>
  <phoneticPr fontId="15" type="noConversion"/>
  <conditionalFormatting sqref="L1:L3">
    <cfRule type="cellIs" dxfId="149" priority="11" stopIfTrue="1" operator="equal">
      <formula>"na"</formula>
    </cfRule>
  </conditionalFormatting>
  <conditionalFormatting sqref="AE56 AE58:AE61">
    <cfRule type="containsText" dxfId="148" priority="10" stopIfTrue="1" operator="containsText" text="Answer Missing">
      <formula>NOT(ISERROR(SEARCH("Answer Missing",AE56)))</formula>
    </cfRule>
  </conditionalFormatting>
  <conditionalFormatting sqref="AE65">
    <cfRule type="containsText" dxfId="147" priority="8" stopIfTrue="1" operator="containsText" text="Answer Missing">
      <formula>NOT(ISERROR(SEARCH("Answer Missing",AE65)))</formula>
    </cfRule>
  </conditionalFormatting>
  <conditionalFormatting sqref="AE77 AE79:AE82">
    <cfRule type="containsText" dxfId="146" priority="7" stopIfTrue="1" operator="containsText" text="Answer Missing">
      <formula>NOT(ISERROR(SEARCH("Answer Missing",AE77)))</formula>
    </cfRule>
  </conditionalFormatting>
  <conditionalFormatting sqref="AE85">
    <cfRule type="containsText" dxfId="145" priority="6" stopIfTrue="1" operator="containsText" text="Answer Missing">
      <formula>NOT(ISERROR(SEARCH("Answer Missing",AE85)))</formula>
    </cfRule>
  </conditionalFormatting>
  <conditionalFormatting sqref="AE86">
    <cfRule type="containsText" dxfId="144" priority="5" stopIfTrue="1" operator="containsText" text="Answer Missing">
      <formula>NOT(ISERROR(SEARCH("Answer Missing",AE86)))</formula>
    </cfRule>
  </conditionalFormatting>
  <conditionalFormatting sqref="AD1:AD3">
    <cfRule type="cellIs" dxfId="143" priority="4" stopIfTrue="1" operator="equal">
      <formula>"na"</formula>
    </cfRule>
  </conditionalFormatting>
  <conditionalFormatting sqref="AE72">
    <cfRule type="containsText" dxfId="142" priority="3" stopIfTrue="1" operator="containsText" text="Answer Missing">
      <formula>NOT(ISERROR(SEARCH("Answer Missing",AE72)))</formula>
    </cfRule>
  </conditionalFormatting>
  <conditionalFormatting sqref="AE63">
    <cfRule type="containsText" dxfId="141" priority="2" stopIfTrue="1" operator="containsText" text="Answer Missing">
      <formula>NOT(ISERROR(SEARCH("Answer Missing",AE63)))</formula>
    </cfRule>
  </conditionalFormatting>
  <conditionalFormatting sqref="AE84">
    <cfRule type="containsText" dxfId="140" priority="1" stopIfTrue="1" operator="containsText" text="Answer Missing">
      <formula>NOT(ISERROR(SEARCH("Answer Missing",AE84)))</formula>
    </cfRule>
  </conditionalFormatting>
  <dataValidations disablePrompts="1" count="1">
    <dataValidation type="decimal" operator="lessThanOrEqual" allowBlank="1" showInputMessage="1" showErrorMessage="1" errorTitle="Invalid data!" error="Amount must be negative." sqref="G45 I45 K45" xr:uid="{00000000-0002-0000-0B00-000000000000}">
      <formula1>0</formula1>
    </dataValidation>
  </dataValidations>
  <hyperlinks>
    <hyperlink ref="C1:K1" location="Index!A1" display="Index!A1" xr:uid="{00000000-0004-0000-0B00-000000000000}"/>
  </hyperlinks>
  <pageMargins left="0.75" right="0.5" top="0.5" bottom="0.5" header="0.5" footer="0.5"/>
  <pageSetup scale="78" orientation="portrait" r:id="rId5"/>
  <headerFooter alignWithMargins="0">
    <oddHeader xml:space="preserve">&amp;C &amp;R
</oddHeader>
    <oddFooter>&amp;R&amp;A</oddFooter>
  </headerFooter>
  <ignoredErrors>
    <ignoredError sqref="C5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6"/>
  <sheetViews>
    <sheetView showGridLines="0" topLeftCell="B1" zoomScaleNormal="100" workbookViewId="0">
      <selection activeCell="E7" sqref="E7:E8"/>
    </sheetView>
  </sheetViews>
  <sheetFormatPr defaultColWidth="16.5703125" defaultRowHeight="12.75" x14ac:dyDescent="0.2"/>
  <cols>
    <col min="1" max="1" width="5.42578125" style="493" hidden="1" customWidth="1"/>
    <col min="2" max="2" width="16.5703125" style="494" customWidth="1"/>
    <col min="3" max="3" width="1.42578125" style="494" customWidth="1"/>
    <col min="4" max="4" width="11.5703125" style="494" customWidth="1"/>
    <col min="5" max="5" width="15.5703125" style="494" customWidth="1"/>
    <col min="6" max="6" width="1.42578125" style="494" customWidth="1"/>
    <col min="7" max="7" width="15.5703125" style="494" customWidth="1"/>
    <col min="8" max="8" width="1.42578125" style="494" customWidth="1"/>
    <col min="9" max="9" width="15.5703125" style="494" customWidth="1"/>
    <col min="10" max="10" width="1.42578125" style="494" customWidth="1"/>
    <col min="11" max="11" width="15.5703125" style="494" customWidth="1"/>
    <col min="12" max="12" width="1.42578125" style="494" customWidth="1"/>
    <col min="13" max="13" width="15.5703125" style="494" customWidth="1"/>
    <col min="14" max="14" width="1.42578125" style="494" customWidth="1"/>
    <col min="15" max="15" width="15.5703125" style="494" customWidth="1"/>
    <col min="16" max="16" width="4.5703125" style="494" customWidth="1"/>
    <col min="17" max="19" width="9.42578125" style="494" customWidth="1"/>
    <col min="20" max="20" width="21.7109375" style="494" bestFit="1" customWidth="1"/>
    <col min="21" max="21" width="10.28515625" style="494" bestFit="1" customWidth="1"/>
    <col min="22" max="22" width="13.85546875" style="494" customWidth="1"/>
    <col min="23" max="24" width="9.42578125" style="494" customWidth="1"/>
    <col min="25" max="25" width="10.5703125" style="494" customWidth="1"/>
    <col min="26" max="33" width="9.42578125" style="494" customWidth="1"/>
    <col min="34" max="16384" width="16.5703125" style="494"/>
  </cols>
  <sheetData>
    <row r="1" spans="1:22" s="16" customFormat="1" ht="25.15" customHeight="1" x14ac:dyDescent="0.25">
      <c r="A1" s="481"/>
      <c r="B1" s="2767" t="str">
        <f>+Index!$A$1</f>
        <v xml:space="preserve">                                                               Office of the State Controller                                                                </v>
      </c>
      <c r="C1" s="2767"/>
      <c r="D1" s="2767"/>
      <c r="E1" s="2767"/>
      <c r="F1" s="2767"/>
      <c r="G1" s="2767"/>
      <c r="H1" s="2767"/>
      <c r="I1" s="2767"/>
      <c r="J1" s="2767"/>
      <c r="K1" s="2767"/>
      <c r="L1" s="2767"/>
      <c r="M1" s="2767"/>
      <c r="N1" s="2767"/>
      <c r="O1" s="2767"/>
      <c r="P1" s="1423" t="str">
        <f>IF(Index!$B$28="na","NA","")</f>
        <v/>
      </c>
    </row>
    <row r="2" spans="1:22" s="16" customFormat="1" ht="15" customHeight="1" x14ac:dyDescent="0.25">
      <c r="A2" s="481"/>
      <c r="B2" s="2827" t="str">
        <f>+Index!$A$2</f>
        <v>2022 ACFR Worksheets</v>
      </c>
      <c r="C2" s="2827"/>
      <c r="D2" s="2827"/>
      <c r="E2" s="2827"/>
      <c r="F2" s="2827"/>
      <c r="G2" s="2827"/>
      <c r="H2" s="2827"/>
      <c r="I2" s="2827"/>
      <c r="J2" s="2827"/>
      <c r="K2" s="2827"/>
      <c r="L2" s="2827"/>
      <c r="M2" s="2827"/>
      <c r="N2" s="2827"/>
      <c r="O2" s="2827"/>
      <c r="P2" s="1423"/>
    </row>
    <row r="3" spans="1:22" s="16" customFormat="1" ht="15" customHeight="1" x14ac:dyDescent="0.25">
      <c r="A3" s="481"/>
      <c r="B3" s="2827" t="s">
        <v>3498</v>
      </c>
      <c r="C3" s="2827"/>
      <c r="D3" s="2827"/>
      <c r="E3" s="2827"/>
      <c r="F3" s="2827"/>
      <c r="G3" s="2827"/>
      <c r="H3" s="2827"/>
      <c r="I3" s="2827"/>
      <c r="J3" s="2827"/>
      <c r="K3" s="2827"/>
      <c r="L3" s="2827"/>
      <c r="M3" s="2827"/>
      <c r="N3" s="2827"/>
      <c r="O3" s="2827"/>
      <c r="P3" s="1423"/>
    </row>
    <row r="4" spans="1:22" s="102" customFormat="1" ht="15" customHeight="1" x14ac:dyDescent="0.25">
      <c r="A4" s="202"/>
      <c r="B4" s="2827" t="s">
        <v>1100</v>
      </c>
      <c r="C4" s="2827"/>
      <c r="D4" s="2827"/>
      <c r="E4" s="2827"/>
      <c r="F4" s="2827"/>
      <c r="G4" s="2827"/>
      <c r="H4" s="2827"/>
      <c r="I4" s="2827"/>
      <c r="J4" s="2827"/>
      <c r="K4" s="2827"/>
      <c r="L4" s="2827"/>
      <c r="M4" s="2827"/>
      <c r="N4" s="2827"/>
      <c r="O4" s="2827"/>
      <c r="P4" s="429"/>
      <c r="T4" s="494"/>
      <c r="U4" s="494"/>
      <c r="V4" s="494"/>
    </row>
    <row r="5" spans="1:22" s="102" customFormat="1" ht="12.75" customHeight="1" x14ac:dyDescent="0.25">
      <c r="A5" s="202"/>
      <c r="B5" s="429"/>
      <c r="C5" s="429"/>
      <c r="D5" s="429"/>
      <c r="E5" s="429"/>
      <c r="F5" s="429"/>
      <c r="G5" s="429"/>
      <c r="H5" s="429"/>
      <c r="I5" s="2828"/>
      <c r="J5" s="2828"/>
      <c r="K5" s="2828"/>
      <c r="L5" s="2828"/>
      <c r="M5" s="2828"/>
      <c r="N5" s="2828"/>
      <c r="O5" s="2828"/>
      <c r="P5" s="429"/>
      <c r="T5" s="494"/>
      <c r="U5" s="494"/>
      <c r="V5" s="494"/>
    </row>
    <row r="6" spans="1:22" s="102" customFormat="1" ht="14.85" customHeight="1" x14ac:dyDescent="0.2">
      <c r="A6" s="202"/>
      <c r="D6" s="202"/>
      <c r="I6" s="103" t="s">
        <v>327</v>
      </c>
      <c r="J6" s="482"/>
      <c r="K6" s="2819" t="str">
        <f>+Index!$E$10</f>
        <v>01</v>
      </c>
      <c r="L6" s="2819"/>
      <c r="M6" s="2819"/>
      <c r="N6" s="2819"/>
      <c r="O6" s="2819"/>
      <c r="T6" s="494"/>
      <c r="U6" s="494"/>
      <c r="V6" s="494"/>
    </row>
    <row r="7" spans="1:22" s="102" customFormat="1" ht="14.85" customHeight="1" x14ac:dyDescent="0.2">
      <c r="A7" s="202"/>
      <c r="B7" s="2266" t="s">
        <v>4981</v>
      </c>
      <c r="C7" s="494"/>
      <c r="D7" s="2394" t="s">
        <v>4982</v>
      </c>
      <c r="E7" s="2826"/>
      <c r="I7" s="103" t="s">
        <v>1154</v>
      </c>
      <c r="J7" s="482"/>
      <c r="K7" s="2820" t="str">
        <f>+Index!$E$11</f>
        <v>North Carolina General Assembly</v>
      </c>
      <c r="L7" s="2820"/>
      <c r="M7" s="2820"/>
      <c r="N7" s="2820"/>
      <c r="O7" s="2820"/>
      <c r="T7" s="494"/>
      <c r="U7" s="494"/>
      <c r="V7" s="494"/>
    </row>
    <row r="8" spans="1:22" s="102" customFormat="1" ht="14.85" customHeight="1" x14ac:dyDescent="0.2">
      <c r="A8" s="202"/>
      <c r="B8" s="759" t="s">
        <v>477</v>
      </c>
      <c r="C8" s="202"/>
      <c r="D8" s="2256">
        <v>5200</v>
      </c>
      <c r="E8" s="2826"/>
      <c r="I8" s="103" t="s">
        <v>972</v>
      </c>
      <c r="J8" s="482"/>
      <c r="K8" s="2821" t="str">
        <f>CONCATENATE(Index!$E$12," ",Index!$E$14)</f>
        <v xml:space="preserve"> </v>
      </c>
      <c r="L8" s="2821"/>
      <c r="M8" s="2821"/>
      <c r="N8" s="2821"/>
      <c r="O8" s="2821"/>
      <c r="T8" s="494"/>
      <c r="U8" s="494"/>
      <c r="V8" s="494"/>
    </row>
    <row r="9" spans="1:22" s="102" customFormat="1" ht="14.85" customHeight="1" x14ac:dyDescent="0.2">
      <c r="A9" s="202"/>
      <c r="B9" s="759"/>
      <c r="C9" s="202"/>
      <c r="D9" s="772"/>
      <c r="E9" s="769"/>
      <c r="I9" s="103" t="s">
        <v>348</v>
      </c>
      <c r="J9" s="482"/>
      <c r="K9" s="2821">
        <f>+Index!$E$13</f>
        <v>0</v>
      </c>
      <c r="L9" s="2821"/>
      <c r="M9" s="2821"/>
      <c r="N9" s="2821"/>
      <c r="O9" s="2821"/>
      <c r="T9" s="494"/>
      <c r="U9" s="494"/>
      <c r="V9" s="494"/>
    </row>
    <row r="10" spans="1:22" s="102" customFormat="1" ht="6" customHeight="1" thickBot="1" x14ac:dyDescent="0.25">
      <c r="A10" s="202"/>
      <c r="B10" s="107"/>
      <c r="C10" s="107"/>
      <c r="D10" s="107"/>
      <c r="E10" s="107"/>
      <c r="F10" s="107"/>
      <c r="G10" s="107"/>
      <c r="H10" s="107"/>
      <c r="I10" s="107"/>
      <c r="J10" s="107"/>
      <c r="K10" s="107"/>
      <c r="L10" s="107"/>
      <c r="M10" s="107"/>
      <c r="N10" s="107"/>
      <c r="O10" s="107"/>
      <c r="T10" s="494"/>
      <c r="U10" s="494"/>
      <c r="V10" s="494"/>
    </row>
    <row r="11" spans="1:22" s="102" customFormat="1" ht="5.25" customHeight="1" x14ac:dyDescent="0.2">
      <c r="A11" s="202"/>
      <c r="T11" s="494"/>
      <c r="U11" s="494"/>
      <c r="V11" s="494"/>
    </row>
    <row r="12" spans="1:22" s="102" customFormat="1" ht="12" customHeight="1" x14ac:dyDescent="0.2">
      <c r="A12" s="202"/>
      <c r="B12" s="483"/>
      <c r="C12" s="483"/>
      <c r="D12" s="484"/>
      <c r="E12" s="484" t="s">
        <v>1160</v>
      </c>
      <c r="F12" s="484"/>
      <c r="G12" s="484" t="s">
        <v>648</v>
      </c>
      <c r="H12" s="484"/>
      <c r="I12" s="484"/>
      <c r="J12" s="484"/>
      <c r="K12" s="484"/>
      <c r="L12" s="484"/>
      <c r="M12" s="484" t="s">
        <v>1160</v>
      </c>
      <c r="N12" s="483"/>
      <c r="O12" s="484" t="s">
        <v>422</v>
      </c>
      <c r="T12" s="494"/>
      <c r="U12" s="494"/>
      <c r="V12" s="494"/>
    </row>
    <row r="13" spans="1:22" s="102" customFormat="1" ht="12" customHeight="1" x14ac:dyDescent="0.2">
      <c r="A13" s="202"/>
      <c r="B13" s="484"/>
      <c r="C13" s="484"/>
      <c r="D13" s="484"/>
      <c r="E13" s="485" t="str">
        <f>+TEXT(Data!$A$3,"mmmm d, yyyy")</f>
        <v>July 1, 2021</v>
      </c>
      <c r="F13" s="484"/>
      <c r="G13" s="486" t="s">
        <v>1052</v>
      </c>
      <c r="H13" s="484"/>
      <c r="I13" s="486" t="s">
        <v>1050</v>
      </c>
      <c r="J13" s="484"/>
      <c r="K13" s="486" t="s">
        <v>1059</v>
      </c>
      <c r="L13" s="484"/>
      <c r="M13" s="485" t="str">
        <f>+TEXT(Data!$A$2,"mmmm d, yyyy")</f>
        <v>June 30, 2022</v>
      </c>
      <c r="N13" s="483"/>
      <c r="O13" s="486" t="s">
        <v>423</v>
      </c>
      <c r="T13" s="494"/>
      <c r="U13" s="494"/>
      <c r="V13" s="494"/>
    </row>
    <row r="14" spans="1:22" s="102" customFormat="1" ht="12" customHeight="1" x14ac:dyDescent="0.2">
      <c r="A14" s="202"/>
      <c r="B14" s="484"/>
      <c r="C14" s="484"/>
      <c r="D14" s="484"/>
      <c r="E14" s="2312"/>
      <c r="F14" s="484"/>
      <c r="G14" s="2313" t="s">
        <v>4983</v>
      </c>
      <c r="H14" s="2314"/>
      <c r="I14" s="2395" t="s">
        <v>5145</v>
      </c>
      <c r="J14" s="2396"/>
      <c r="K14" s="2395" t="s">
        <v>5146</v>
      </c>
      <c r="L14" s="2314"/>
      <c r="M14" s="2315"/>
      <c r="N14" s="2316"/>
      <c r="O14" s="2313" t="s">
        <v>5052</v>
      </c>
      <c r="T14" s="2266"/>
      <c r="U14" s="2317"/>
      <c r="V14" s="494"/>
    </row>
    <row r="15" spans="1:22" s="102" customFormat="1" ht="11.1" customHeight="1" x14ac:dyDescent="0.2">
      <c r="A15" s="202"/>
      <c r="B15" s="483"/>
      <c r="C15" s="483"/>
      <c r="D15" s="484"/>
      <c r="E15" s="766" t="s">
        <v>118</v>
      </c>
      <c r="F15" s="767"/>
      <c r="G15" s="766" t="s">
        <v>119</v>
      </c>
      <c r="H15" s="767"/>
      <c r="I15" s="766" t="s">
        <v>996</v>
      </c>
      <c r="J15" s="767"/>
      <c r="K15" s="766" t="s">
        <v>997</v>
      </c>
      <c r="L15" s="767"/>
      <c r="M15" s="766" t="s">
        <v>998</v>
      </c>
      <c r="N15" s="767"/>
      <c r="O15" s="766" t="s">
        <v>999</v>
      </c>
      <c r="T15" s="494"/>
      <c r="U15" s="494"/>
      <c r="V15" s="494"/>
    </row>
    <row r="16" spans="1:22" s="102" customFormat="1" ht="12.75" customHeight="1" x14ac:dyDescent="0.2">
      <c r="A16" s="202"/>
      <c r="B16" s="1192" t="s">
        <v>3978</v>
      </c>
      <c r="C16" s="487"/>
      <c r="D16" s="488"/>
      <c r="E16" s="489"/>
      <c r="F16" s="489"/>
      <c r="G16" s="489"/>
      <c r="H16" s="489"/>
      <c r="I16" s="489"/>
      <c r="J16" s="489"/>
      <c r="K16" s="489"/>
      <c r="L16" s="489"/>
      <c r="M16" s="489"/>
      <c r="N16" s="489"/>
      <c r="O16" s="489"/>
      <c r="T16" s="494"/>
      <c r="U16" s="494"/>
      <c r="V16" s="494"/>
    </row>
    <row r="17" spans="2:25" s="102" customFormat="1" ht="14.1" customHeight="1" x14ac:dyDescent="0.2">
      <c r="B17" s="490" t="s">
        <v>506</v>
      </c>
      <c r="C17" s="483"/>
      <c r="D17" s="488"/>
      <c r="E17" s="276"/>
      <c r="F17" s="489"/>
      <c r="G17" s="276"/>
      <c r="H17" s="489"/>
      <c r="I17" s="276"/>
      <c r="J17" s="489"/>
      <c r="K17" s="276"/>
      <c r="L17" s="489"/>
      <c r="M17" s="491">
        <f t="shared" ref="M17:M23" si="0">E17+G17+I17+K17</f>
        <v>0</v>
      </c>
      <c r="N17" s="489"/>
      <c r="O17" s="276"/>
      <c r="S17" s="202"/>
      <c r="T17" s="2317">
        <v>22610100</v>
      </c>
      <c r="U17" s="2267">
        <v>21610100</v>
      </c>
      <c r="V17" s="2267" t="s">
        <v>4982</v>
      </c>
      <c r="W17" s="501"/>
      <c r="X17" s="501"/>
      <c r="Y17" s="501"/>
    </row>
    <row r="18" spans="2:25" s="102" customFormat="1" ht="14.1" customHeight="1" x14ac:dyDescent="0.2">
      <c r="B18" s="490" t="s">
        <v>45</v>
      </c>
      <c r="C18" s="483"/>
      <c r="D18" s="488"/>
      <c r="E18" s="276"/>
      <c r="F18" s="489"/>
      <c r="G18" s="276"/>
      <c r="H18" s="489"/>
      <c r="I18" s="276"/>
      <c r="J18" s="489"/>
      <c r="K18" s="276"/>
      <c r="L18" s="489"/>
      <c r="M18" s="491">
        <f t="shared" si="0"/>
        <v>0</v>
      </c>
      <c r="N18" s="489"/>
      <c r="O18" s="276"/>
      <c r="S18" s="202"/>
      <c r="T18" s="2317">
        <v>22610300</v>
      </c>
      <c r="U18" s="2267">
        <v>21610300</v>
      </c>
      <c r="V18" s="2267" t="s">
        <v>4982</v>
      </c>
      <c r="W18" s="501"/>
      <c r="X18" s="501"/>
      <c r="Y18" s="501"/>
    </row>
    <row r="19" spans="2:25" s="102" customFormat="1" ht="14.1" customHeight="1" x14ac:dyDescent="0.2">
      <c r="B19" s="1310" t="s">
        <v>4701</v>
      </c>
      <c r="C19" s="483"/>
      <c r="D19" s="488"/>
      <c r="E19" s="276"/>
      <c r="F19" s="489"/>
      <c r="G19" s="276"/>
      <c r="H19" s="489"/>
      <c r="I19" s="276"/>
      <c r="J19" s="489"/>
      <c r="K19" s="276"/>
      <c r="L19" s="489"/>
      <c r="M19" s="491">
        <f t="shared" si="0"/>
        <v>0</v>
      </c>
      <c r="N19" s="489"/>
      <c r="O19" s="276"/>
      <c r="S19" s="202"/>
      <c r="T19" s="2266">
        <v>22610400</v>
      </c>
      <c r="U19" s="2267">
        <v>21610400</v>
      </c>
      <c r="V19" s="2267" t="s">
        <v>4982</v>
      </c>
      <c r="W19" s="501"/>
      <c r="X19" s="501"/>
      <c r="Y19" s="501"/>
    </row>
    <row r="20" spans="2:25" s="102" customFormat="1" ht="14.1" customHeight="1" x14ac:dyDescent="0.2">
      <c r="B20" s="490" t="s">
        <v>507</v>
      </c>
      <c r="C20" s="483"/>
      <c r="D20" s="488"/>
      <c r="E20" s="276"/>
      <c r="F20" s="489"/>
      <c r="G20" s="276"/>
      <c r="H20" s="489"/>
      <c r="I20" s="276"/>
      <c r="J20" s="489"/>
      <c r="K20" s="276"/>
      <c r="L20" s="489"/>
      <c r="M20" s="491">
        <f>E20+G20+I20+K20</f>
        <v>0</v>
      </c>
      <c r="N20" s="489"/>
      <c r="O20" s="276"/>
      <c r="S20" s="202"/>
      <c r="T20" s="2317">
        <v>22610500</v>
      </c>
      <c r="U20" s="2267">
        <v>21610500</v>
      </c>
      <c r="V20" s="2267" t="s">
        <v>4982</v>
      </c>
      <c r="W20" s="501"/>
      <c r="X20" s="501"/>
      <c r="Y20" s="501"/>
    </row>
    <row r="21" spans="2:25" s="102" customFormat="1" ht="14.1" customHeight="1" x14ac:dyDescent="0.2">
      <c r="B21" s="490" t="s">
        <v>1301</v>
      </c>
      <c r="C21" s="483"/>
      <c r="D21" s="488"/>
      <c r="E21" s="276"/>
      <c r="F21" s="489"/>
      <c r="G21" s="276"/>
      <c r="H21" s="489"/>
      <c r="I21" s="276"/>
      <c r="J21" s="489"/>
      <c r="K21" s="276"/>
      <c r="L21" s="489"/>
      <c r="M21" s="491">
        <f t="shared" si="0"/>
        <v>0</v>
      </c>
      <c r="N21" s="489"/>
      <c r="O21" s="276"/>
      <c r="S21" s="202"/>
      <c r="T21" s="2317">
        <v>22610600</v>
      </c>
      <c r="U21" s="2267">
        <v>21610600</v>
      </c>
      <c r="V21" s="2267" t="s">
        <v>4982</v>
      </c>
      <c r="W21" s="501"/>
      <c r="X21" s="501"/>
      <c r="Y21" s="501"/>
    </row>
    <row r="22" spans="2:25" s="102" customFormat="1" ht="14.1" customHeight="1" x14ac:dyDescent="0.2">
      <c r="B22" s="2824" t="s">
        <v>3840</v>
      </c>
      <c r="C22" s="2825"/>
      <c r="D22" s="2825"/>
      <c r="E22" s="276"/>
      <c r="F22" s="489"/>
      <c r="G22" s="276"/>
      <c r="H22" s="489"/>
      <c r="I22" s="276"/>
      <c r="J22" s="489"/>
      <c r="K22" s="276"/>
      <c r="L22" s="489"/>
      <c r="M22" s="491">
        <f t="shared" si="0"/>
        <v>0</v>
      </c>
      <c r="N22" s="489"/>
      <c r="O22" s="731"/>
      <c r="S22" s="202"/>
      <c r="T22" s="2317">
        <v>22611000</v>
      </c>
      <c r="U22" s="2267"/>
      <c r="V22" s="2267" t="s">
        <v>4982</v>
      </c>
      <c r="W22" s="501"/>
      <c r="X22" s="501"/>
      <c r="Y22" s="501"/>
    </row>
    <row r="23" spans="2:25" s="102" customFormat="1" ht="14.1" customHeight="1" thickBot="1" x14ac:dyDescent="0.25">
      <c r="B23" s="2824" t="s">
        <v>3841</v>
      </c>
      <c r="C23" s="2825"/>
      <c r="D23" s="2825"/>
      <c r="E23" s="752"/>
      <c r="F23" s="489"/>
      <c r="G23" s="752"/>
      <c r="H23" s="489"/>
      <c r="I23" s="752"/>
      <c r="J23" s="489"/>
      <c r="K23" s="752"/>
      <c r="L23" s="489"/>
      <c r="M23" s="755">
        <f t="shared" si="0"/>
        <v>0</v>
      </c>
      <c r="N23" s="489"/>
      <c r="O23" s="753"/>
      <c r="S23" s="202"/>
      <c r="T23" s="2317">
        <v>22612000</v>
      </c>
      <c r="U23" s="494"/>
      <c r="V23" s="2267" t="s">
        <v>4982</v>
      </c>
      <c r="W23" s="501"/>
      <c r="X23" s="501"/>
      <c r="Y23" s="501"/>
    </row>
    <row r="24" spans="2:25" s="102" customFormat="1" ht="14.1" customHeight="1" x14ac:dyDescent="0.2">
      <c r="B24" s="483" t="s">
        <v>1061</v>
      </c>
      <c r="C24" s="487"/>
      <c r="D24" s="488"/>
      <c r="E24" s="276"/>
      <c r="F24" s="489"/>
      <c r="G24" s="276"/>
      <c r="H24" s="489"/>
      <c r="I24" s="276"/>
      <c r="J24" s="489"/>
      <c r="K24" s="276"/>
      <c r="L24" s="489"/>
      <c r="M24" s="491">
        <f t="shared" ref="M24:M34" si="1">E24+G24+I24+K24</f>
        <v>0</v>
      </c>
      <c r="N24" s="489"/>
      <c r="O24" s="276"/>
      <c r="S24" s="202"/>
      <c r="T24" s="2317">
        <v>22140000</v>
      </c>
      <c r="U24" s="2267">
        <v>21140000</v>
      </c>
      <c r="V24"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501"/>
      <c r="X24" s="501"/>
      <c r="Y24" s="501"/>
    </row>
    <row r="25" spans="2:25" s="102" customFormat="1" ht="14.1" customHeight="1" x14ac:dyDescent="0.2">
      <c r="B25" s="1192" t="s">
        <v>3821</v>
      </c>
      <c r="C25" s="487"/>
      <c r="D25" s="488"/>
      <c r="E25" s="276"/>
      <c r="F25" s="489"/>
      <c r="G25" s="276"/>
      <c r="H25" s="489"/>
      <c r="I25" s="276"/>
      <c r="J25" s="489"/>
      <c r="K25" s="276"/>
      <c r="L25" s="489"/>
      <c r="M25" s="491">
        <f t="shared" si="1"/>
        <v>0</v>
      </c>
      <c r="N25" s="489"/>
      <c r="O25" s="276"/>
      <c r="S25" s="202"/>
      <c r="T25" s="2317">
        <v>22150000</v>
      </c>
      <c r="U25" s="2267">
        <v>21150000</v>
      </c>
      <c r="V25"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501"/>
      <c r="X25" s="501"/>
      <c r="Y25" s="501"/>
    </row>
    <row r="26" spans="2:25" s="102" customFormat="1" ht="14.1" customHeight="1" x14ac:dyDescent="0.2">
      <c r="B26" s="483" t="s">
        <v>1062</v>
      </c>
      <c r="C26" s="487"/>
      <c r="D26" s="488"/>
      <c r="E26" s="276"/>
      <c r="F26" s="489"/>
      <c r="G26" s="276"/>
      <c r="H26" s="489"/>
      <c r="I26" s="276"/>
      <c r="J26" s="489"/>
      <c r="K26" s="276"/>
      <c r="L26" s="489"/>
      <c r="M26" s="491">
        <f t="shared" si="1"/>
        <v>0</v>
      </c>
      <c r="N26" s="489"/>
      <c r="O26" s="276"/>
      <c r="S26" s="202"/>
      <c r="T26" s="2317">
        <v>22199000</v>
      </c>
      <c r="U26" s="2267">
        <v>21191000</v>
      </c>
      <c r="V26"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501"/>
      <c r="X26" s="501"/>
      <c r="Y26" s="501"/>
    </row>
    <row r="27" spans="2:25" s="102" customFormat="1" ht="14.1" customHeight="1" x14ac:dyDescent="0.2">
      <c r="B27" s="483" t="s">
        <v>4604</v>
      </c>
      <c r="C27" s="487"/>
      <c r="D27" s="488"/>
      <c r="E27" s="276"/>
      <c r="F27" s="489"/>
      <c r="G27" s="276"/>
      <c r="H27" s="489"/>
      <c r="I27" s="276"/>
      <c r="J27" s="489"/>
      <c r="K27" s="276"/>
      <c r="L27" s="489"/>
      <c r="M27" s="491">
        <f>E27+G27+I27+K27</f>
        <v>0</v>
      </c>
      <c r="N27" s="489"/>
      <c r="O27" s="276"/>
      <c r="S27" s="202"/>
      <c r="T27" s="2317">
        <v>22320000</v>
      </c>
      <c r="U27" s="2267">
        <v>21320000</v>
      </c>
      <c r="V27" s="2267" t="s">
        <v>4982</v>
      </c>
      <c r="W27" s="501"/>
      <c r="X27" s="501"/>
      <c r="Y27" s="501"/>
    </row>
    <row r="28" spans="2:25" s="102" customFormat="1" ht="14.1" customHeight="1" x14ac:dyDescent="0.2">
      <c r="B28" s="1192" t="s">
        <v>5491</v>
      </c>
      <c r="C28" s="487"/>
      <c r="D28" s="492"/>
      <c r="E28" s="276"/>
      <c r="F28" s="489"/>
      <c r="G28" s="276"/>
      <c r="H28" s="489"/>
      <c r="I28" s="276"/>
      <c r="J28" s="489"/>
      <c r="K28" s="276"/>
      <c r="L28" s="489"/>
      <c r="M28" s="491">
        <f t="shared" si="1"/>
        <v>0</v>
      </c>
      <c r="N28" s="489"/>
      <c r="O28" s="276"/>
      <c r="S28" s="202"/>
      <c r="T28" s="2317">
        <v>22410000</v>
      </c>
      <c r="U28" s="2267">
        <v>21410000</v>
      </c>
      <c r="V28" s="2267" t="s">
        <v>4982</v>
      </c>
      <c r="W28" s="501"/>
      <c r="X28" s="501"/>
      <c r="Y28" s="501"/>
    </row>
    <row r="29" spans="2:25" s="102" customFormat="1" ht="14.1" customHeight="1" x14ac:dyDescent="0.2">
      <c r="B29" s="483" t="s">
        <v>1226</v>
      </c>
      <c r="C29" s="487"/>
      <c r="D29" s="492"/>
      <c r="E29" s="276"/>
      <c r="F29" s="489"/>
      <c r="G29" s="276"/>
      <c r="H29" s="489"/>
      <c r="I29" s="276"/>
      <c r="J29" s="489"/>
      <c r="K29" s="276"/>
      <c r="L29" s="489"/>
      <c r="M29" s="491">
        <f t="shared" si="1"/>
        <v>0</v>
      </c>
      <c r="N29" s="489"/>
      <c r="O29" s="276"/>
      <c r="S29" s="202"/>
      <c r="T29" s="2317">
        <v>22191900</v>
      </c>
      <c r="U29" s="2267">
        <v>21191900</v>
      </c>
      <c r="V29"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9" s="501"/>
      <c r="X29" s="501"/>
      <c r="Y29" s="501"/>
    </row>
    <row r="30" spans="2:25" s="102" customFormat="1" ht="14.1" customHeight="1" x14ac:dyDescent="0.2">
      <c r="B30" s="1192" t="s">
        <v>4602</v>
      </c>
      <c r="C30" s="487"/>
      <c r="D30" s="492"/>
      <c r="E30" s="276"/>
      <c r="F30" s="489"/>
      <c r="G30" s="276"/>
      <c r="H30" s="489"/>
      <c r="I30" s="276"/>
      <c r="J30" s="489"/>
      <c r="K30" s="276"/>
      <c r="L30" s="489"/>
      <c r="M30" s="491">
        <f>E30+G30+I30+K30</f>
        <v>0</v>
      </c>
      <c r="N30" s="489"/>
      <c r="O30" s="276"/>
      <c r="S30" s="202"/>
      <c r="T30" s="2317">
        <v>22192500</v>
      </c>
      <c r="U30" s="2267">
        <v>21192500</v>
      </c>
      <c r="V30" s="2267" t="s">
        <v>4982</v>
      </c>
      <c r="W30" s="501"/>
      <c r="X30" s="501"/>
      <c r="Y30" s="501"/>
    </row>
    <row r="31" spans="2:25" s="102" customFormat="1" ht="14.1" customHeight="1" x14ac:dyDescent="0.25">
      <c r="B31" s="1468" t="s">
        <v>3796</v>
      </c>
      <c r="C31" s="487"/>
      <c r="D31" s="492"/>
      <c r="E31" s="277"/>
      <c r="F31" s="489"/>
      <c r="G31" s="277"/>
      <c r="H31" s="489"/>
      <c r="I31" s="277"/>
      <c r="J31" s="489"/>
      <c r="K31" s="277"/>
      <c r="L31" s="489"/>
      <c r="M31" s="491">
        <f t="shared" si="1"/>
        <v>0</v>
      </c>
      <c r="N31" s="489"/>
      <c r="O31" s="277"/>
      <c r="S31" s="202"/>
      <c r="T31" s="2317">
        <v>22192000</v>
      </c>
      <c r="U31" s="2267">
        <v>21192000</v>
      </c>
      <c r="V31"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1" s="501"/>
      <c r="X31" s="501"/>
      <c r="Y31" s="501"/>
    </row>
    <row r="32" spans="2:25" s="102" customFormat="1" ht="14.1" customHeight="1" x14ac:dyDescent="0.2">
      <c r="B32" s="1192" t="s">
        <v>1715</v>
      </c>
      <c r="C32" s="487"/>
      <c r="D32" s="492"/>
      <c r="E32" s="1191"/>
      <c r="F32" s="489"/>
      <c r="G32" s="1191"/>
      <c r="H32" s="489"/>
      <c r="I32" s="1191"/>
      <c r="J32" s="489"/>
      <c r="K32" s="1191"/>
      <c r="L32" s="489"/>
      <c r="M32" s="491">
        <f t="shared" si="1"/>
        <v>0</v>
      </c>
      <c r="N32" s="489"/>
      <c r="O32" s="1191"/>
      <c r="S32" s="202"/>
      <c r="T32" s="2403"/>
      <c r="U32" s="2404"/>
      <c r="V32" s="226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2" s="501"/>
      <c r="X32" s="501"/>
      <c r="Y32" s="501"/>
    </row>
    <row r="33" spans="1:25" s="102" customFormat="1" ht="14.1" customHeight="1" thickBot="1" x14ac:dyDescent="0.3">
      <c r="B33" s="1192" t="s">
        <v>3866</v>
      </c>
      <c r="C33" s="487"/>
      <c r="D33" s="492"/>
      <c r="E33" s="752"/>
      <c r="F33" s="489"/>
      <c r="G33" s="752"/>
      <c r="H33" s="489"/>
      <c r="I33" s="752"/>
      <c r="J33" s="489"/>
      <c r="K33" s="752"/>
      <c r="L33" s="489"/>
      <c r="M33" s="755">
        <f t="shared" si="1"/>
        <v>0</v>
      </c>
      <c r="N33" s="489"/>
      <c r="O33" s="752"/>
      <c r="S33" s="202"/>
      <c r="T33" s="494"/>
      <c r="U33" s="494"/>
      <c r="V33" s="2318"/>
      <c r="W33" s="501"/>
      <c r="X33" s="501"/>
      <c r="Y33" s="501"/>
    </row>
    <row r="34" spans="1:25" s="102" customFormat="1" ht="14.1" customHeight="1" x14ac:dyDescent="0.25">
      <c r="B34" s="1192" t="s">
        <v>5492</v>
      </c>
      <c r="C34" s="487"/>
      <c r="D34" s="492"/>
      <c r="E34" s="757"/>
      <c r="F34" s="489"/>
      <c r="G34" s="757"/>
      <c r="H34" s="489"/>
      <c r="I34" s="757"/>
      <c r="J34" s="489"/>
      <c r="K34" s="757"/>
      <c r="L34" s="489"/>
      <c r="M34" s="491">
        <f t="shared" si="1"/>
        <v>0</v>
      </c>
      <c r="N34" s="489"/>
      <c r="O34" s="731"/>
      <c r="S34" s="202"/>
      <c r="T34" s="2403">
        <v>21622000</v>
      </c>
      <c r="U34" s="2317"/>
      <c r="V34" s="2267" t="s">
        <v>4982</v>
      </c>
      <c r="W34" s="501"/>
      <c r="X34" s="501"/>
      <c r="Y34" s="501"/>
    </row>
    <row r="35" spans="1:25" s="102" customFormat="1" ht="24.6" customHeight="1" x14ac:dyDescent="0.2">
      <c r="A35" s="202"/>
      <c r="B35" s="2822" t="s">
        <v>4603</v>
      </c>
      <c r="C35" s="2823"/>
      <c r="D35" s="2823"/>
      <c r="E35" s="276"/>
      <c r="F35" s="489"/>
      <c r="G35" s="276"/>
      <c r="H35" s="489"/>
      <c r="I35" s="276"/>
      <c r="J35" s="489"/>
      <c r="K35" s="276"/>
      <c r="L35" s="489"/>
      <c r="M35" s="491">
        <f>E35+G35+I35+K35</f>
        <v>0</v>
      </c>
      <c r="N35" s="489"/>
      <c r="O35" s="731"/>
      <c r="T35" s="2317">
        <v>21910000</v>
      </c>
      <c r="U35" s="2317"/>
      <c r="V35" s="2267" t="s">
        <v>4982</v>
      </c>
    </row>
    <row r="36" spans="1:25" s="102" customFormat="1" ht="14.1" customHeight="1" x14ac:dyDescent="0.2">
      <c r="A36" s="202"/>
      <c r="B36" s="490" t="s">
        <v>655</v>
      </c>
      <c r="C36" s="487"/>
      <c r="D36" s="488"/>
      <c r="E36" s="277"/>
      <c r="F36" s="489"/>
      <c r="G36" s="277"/>
      <c r="H36" s="489"/>
      <c r="I36" s="277"/>
      <c r="J36" s="489"/>
      <c r="K36" s="277"/>
      <c r="L36" s="489"/>
      <c r="M36" s="491">
        <f>E36+G36+I36+K36</f>
        <v>0</v>
      </c>
      <c r="N36" s="489"/>
      <c r="O36" s="732"/>
      <c r="T36" s="2317">
        <v>21910100</v>
      </c>
      <c r="U36" s="2317"/>
      <c r="V36" s="2267" t="s">
        <v>4982</v>
      </c>
    </row>
    <row r="37" spans="1:25" s="102" customFormat="1" ht="14.1" customHeight="1" x14ac:dyDescent="0.2">
      <c r="A37" s="202"/>
      <c r="B37" s="490" t="s">
        <v>4604</v>
      </c>
      <c r="C37" s="487"/>
      <c r="D37" s="488"/>
      <c r="E37" s="277"/>
      <c r="F37" s="489"/>
      <c r="G37" s="277"/>
      <c r="H37" s="489"/>
      <c r="I37" s="277"/>
      <c r="J37" s="489"/>
      <c r="K37" s="277"/>
      <c r="L37" s="489"/>
      <c r="M37" s="491">
        <f>E37+G37+I37+K37</f>
        <v>0</v>
      </c>
      <c r="N37" s="489"/>
      <c r="O37" s="732"/>
      <c r="T37" s="2317" t="s">
        <v>5053</v>
      </c>
      <c r="U37" s="2317"/>
      <c r="V37" s="2267" t="s">
        <v>4982</v>
      </c>
    </row>
    <row r="38" spans="1:25" s="102" customFormat="1" ht="14.1" customHeight="1" x14ac:dyDescent="0.2">
      <c r="A38" s="202"/>
      <c r="B38" s="1310" t="s">
        <v>4701</v>
      </c>
      <c r="C38" s="487"/>
      <c r="D38" s="488"/>
      <c r="E38" s="277"/>
      <c r="F38" s="489"/>
      <c r="G38" s="277"/>
      <c r="H38" s="489"/>
      <c r="I38" s="277"/>
      <c r="J38" s="489"/>
      <c r="K38" s="277"/>
      <c r="L38" s="489"/>
      <c r="M38" s="491">
        <f>E38+G38+I38+K38</f>
        <v>0</v>
      </c>
      <c r="N38" s="489"/>
      <c r="O38" s="732"/>
      <c r="T38" s="2317" t="s">
        <v>5054</v>
      </c>
      <c r="U38" s="2317"/>
      <c r="V38" s="2267" t="s">
        <v>4982</v>
      </c>
    </row>
    <row r="39" spans="1:25" s="102" customFormat="1" ht="14.1" customHeight="1" x14ac:dyDescent="0.2">
      <c r="A39" s="202"/>
      <c r="B39" s="490" t="s">
        <v>444</v>
      </c>
      <c r="C39" s="487"/>
      <c r="D39" s="488"/>
      <c r="E39" s="277"/>
      <c r="F39" s="489"/>
      <c r="G39" s="277"/>
      <c r="H39" s="489"/>
      <c r="I39" s="277"/>
      <c r="J39" s="489"/>
      <c r="K39" s="277"/>
      <c r="L39" s="489"/>
      <c r="M39" s="491">
        <f>E39+G39+I39+K39</f>
        <v>0</v>
      </c>
      <c r="N39" s="489"/>
      <c r="O39" s="732"/>
      <c r="T39" s="2317">
        <v>21910200</v>
      </c>
      <c r="U39" s="2317"/>
      <c r="V39" s="2267" t="s">
        <v>4982</v>
      </c>
    </row>
    <row r="40" spans="1:25" s="102" customFormat="1" ht="9" customHeight="1" x14ac:dyDescent="0.2">
      <c r="A40" s="202"/>
      <c r="B40" s="490"/>
      <c r="C40" s="487"/>
      <c r="D40" s="488"/>
      <c r="E40" s="749"/>
      <c r="F40" s="489"/>
      <c r="G40" s="749"/>
      <c r="H40" s="489"/>
      <c r="I40" s="749"/>
      <c r="J40" s="489"/>
      <c r="K40" s="749"/>
      <c r="L40" s="489"/>
      <c r="M40" s="489"/>
      <c r="N40" s="489"/>
      <c r="O40" s="489"/>
      <c r="T40" s="2317"/>
      <c r="U40" s="2317"/>
      <c r="V40" s="494"/>
    </row>
    <row r="41" spans="1:25" ht="12.75" customHeight="1" x14ac:dyDescent="0.2">
      <c r="B41" s="881" t="s">
        <v>5494</v>
      </c>
      <c r="T41" s="2317"/>
      <c r="U41" s="2317"/>
    </row>
    <row r="42" spans="1:25" ht="5.0999999999999996" customHeight="1" x14ac:dyDescent="0.2">
      <c r="B42" s="758"/>
    </row>
    <row r="43" spans="1:25" x14ac:dyDescent="0.2">
      <c r="B43" s="754" t="s">
        <v>5493</v>
      </c>
      <c r="C43" s="24"/>
      <c r="D43" s="495"/>
      <c r="E43" s="24"/>
      <c r="F43" s="24"/>
      <c r="G43" s="24"/>
      <c r="H43" s="496"/>
      <c r="I43" s="497" t="s">
        <v>969</v>
      </c>
      <c r="J43" s="498"/>
      <c r="K43" s="500"/>
      <c r="L43" s="498"/>
      <c r="M43" s="497" t="s">
        <v>970</v>
      </c>
      <c r="N43" s="495"/>
      <c r="O43" s="500"/>
    </row>
    <row r="46" spans="1:25" ht="15" x14ac:dyDescent="0.2">
      <c r="A46" s="440" t="str">
        <f ca="1">MID(CELL("filename",A1),FIND("]",CELL("filename",A1))+1,256)</f>
        <v>305</v>
      </c>
      <c r="B46" s="443" t="s">
        <v>449</v>
      </c>
      <c r="C46" s="440"/>
    </row>
    <row r="47" spans="1:25" ht="15" x14ac:dyDescent="0.2">
      <c r="A47" s="440" t="s">
        <v>446</v>
      </c>
      <c r="B47" s="443" t="str">
        <f ca="1">IF(ISNA(INDEX(ErrorTable,MATCH($A$46&amp;$A47&amp;FALSE,ErrorKey,0),6)),"",INDEX(ErrorTable,MATCH($A$46&amp;$A47&amp;FALSE,ErrorKey,0),6))</f>
        <v/>
      </c>
      <c r="C47" s="440"/>
    </row>
    <row r="48" spans="1:25" ht="15" x14ac:dyDescent="0.2">
      <c r="A48" s="440" t="s">
        <v>447</v>
      </c>
      <c r="B48" s="443" t="str">
        <f t="shared" ref="B48:B56" ca="1" si="2">IF(ISNA(INDEX(ErrorTable,MATCH($A$46&amp;$A48&amp;FALSE,ErrorKey,0),6)),"",INDEX(ErrorTable,MATCH($A$46&amp;$A48&amp;FALSE,ErrorKey,0),6))</f>
        <v/>
      </c>
      <c r="C48" s="440"/>
    </row>
    <row r="49" spans="1:3" ht="15" x14ac:dyDescent="0.2">
      <c r="A49" s="440" t="s">
        <v>448</v>
      </c>
      <c r="B49" s="443" t="str">
        <f t="shared" ca="1" si="2"/>
        <v/>
      </c>
      <c r="C49" s="440"/>
    </row>
    <row r="50" spans="1:3" ht="15" x14ac:dyDescent="0.2">
      <c r="A50" s="440" t="s">
        <v>450</v>
      </c>
      <c r="B50" s="443" t="str">
        <f t="shared" ca="1" si="2"/>
        <v/>
      </c>
      <c r="C50" s="440"/>
    </row>
    <row r="51" spans="1:3" ht="15" x14ac:dyDescent="0.2">
      <c r="A51" s="440" t="s">
        <v>451</v>
      </c>
      <c r="B51" s="443" t="str">
        <f t="shared" ca="1" si="2"/>
        <v/>
      </c>
      <c r="C51" s="440"/>
    </row>
    <row r="52" spans="1:3" ht="15" x14ac:dyDescent="0.2">
      <c r="A52" s="440" t="s">
        <v>452</v>
      </c>
      <c r="B52" s="443" t="str">
        <f t="shared" ca="1" si="2"/>
        <v/>
      </c>
      <c r="C52" s="440"/>
    </row>
    <row r="53" spans="1:3" ht="15" x14ac:dyDescent="0.2">
      <c r="A53" s="440" t="s">
        <v>453</v>
      </c>
      <c r="B53" s="443" t="str">
        <f t="shared" ca="1" si="2"/>
        <v/>
      </c>
      <c r="C53" s="440"/>
    </row>
    <row r="54" spans="1:3" ht="15" x14ac:dyDescent="0.2">
      <c r="A54" s="440" t="s">
        <v>454</v>
      </c>
      <c r="B54" s="443" t="str">
        <f t="shared" ca="1" si="2"/>
        <v/>
      </c>
      <c r="C54" s="440"/>
    </row>
    <row r="55" spans="1:3" ht="15" x14ac:dyDescent="0.2">
      <c r="A55" s="440" t="s">
        <v>455</v>
      </c>
      <c r="B55" s="443" t="str">
        <f t="shared" ca="1" si="2"/>
        <v/>
      </c>
      <c r="C55" s="440"/>
    </row>
    <row r="56" spans="1:3" ht="15" x14ac:dyDescent="0.2">
      <c r="A56" s="440" t="s">
        <v>456</v>
      </c>
      <c r="B56" s="443" t="str">
        <f t="shared" ca="1" si="2"/>
        <v/>
      </c>
      <c r="C56" s="440"/>
    </row>
  </sheetData>
  <sheetProtection algorithmName="SHA-512" hashValue="PMAOVG7sXtrAG0cAr5znuwXu82KGnpgls6yXj7LEX3eg/6fzfDrbQvQx6V7/npdWwVNW5bu7tfUnEo2l4Evl5Q==" saltValue="NgUJn4fzay98KEWkIBGTeA==" spinCount="100000" sheet="1" objects="1" scenarios="1" autoFilter="0"/>
  <customSheetViews>
    <customSheetView guid="{B08879A4-635B-4C39-9937-AC7883D562FC}" showGridLines="0" fitToPage="1" hiddenColumns="1" topLeftCell="B4">
      <selection activeCell="E16" sqref="E16"/>
      <pageMargins left="0.5" right="0.5" top="0.5" bottom="0.5" header="0.5" footer="0.25"/>
      <pageSetup orientation="landscape" r:id="rId1"/>
      <headerFooter alignWithMargins="0">
        <oddFooter>&amp;R&amp;A</oddFooter>
      </headerFooter>
    </customSheetView>
    <customSheetView guid="{9FCFC836-1CA5-48BF-958D-24D2EA94B219}" showGridLines="0" fitToPage="1" hiddenColumns="1" topLeftCell="B4">
      <selection activeCell="E16" sqref="E16"/>
      <pageMargins left="0.5" right="0.5" top="0.5" bottom="0.5" header="0.5" footer="0.25"/>
      <pageSetup orientation="landscape" r:id="rId2"/>
      <headerFooter alignWithMargins="0">
        <oddFooter>&amp;R&amp;A</oddFooter>
      </headerFooter>
    </customSheetView>
  </customSheetViews>
  <mergeCells count="13">
    <mergeCell ref="B1:O1"/>
    <mergeCell ref="B2:O2"/>
    <mergeCell ref="B3:O3"/>
    <mergeCell ref="B4:O4"/>
    <mergeCell ref="I5:O5"/>
    <mergeCell ref="K6:O6"/>
    <mergeCell ref="K7:O7"/>
    <mergeCell ref="K8:O8"/>
    <mergeCell ref="B35:D35"/>
    <mergeCell ref="B22:D22"/>
    <mergeCell ref="B23:D23"/>
    <mergeCell ref="K9:O9"/>
    <mergeCell ref="E7:E8"/>
  </mergeCells>
  <phoneticPr fontId="15" type="noConversion"/>
  <conditionalFormatting sqref="P1:P3">
    <cfRule type="cellIs" dxfId="139"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0" xr:uid="{00000000-0002-0000-0C00-000000000000}">
      <formula1>0</formula1>
    </dataValidation>
    <dataValidation type="decimal" operator="greaterThanOrEqual" allowBlank="1" showInputMessage="1" showErrorMessage="1" errorTitle="Invalid data!" error="Amount must be positive!" sqref="I17:I21 I23:I40"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5" right="0.5" top="0.5" bottom="0.5" header="0.5" footer="0.25"/>
  <pageSetup scale="94" orientation="landscape" r:id="rId3"/>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58"/>
  <sheetViews>
    <sheetView showGridLines="0" zoomScale="90" zoomScaleNormal="90" workbookViewId="0">
      <selection activeCell="O36" sqref="O36"/>
    </sheetView>
  </sheetViews>
  <sheetFormatPr defaultColWidth="16.5703125" defaultRowHeight="12.75" x14ac:dyDescent="0.2"/>
  <cols>
    <col min="1" max="1" width="5.42578125" style="493" customWidth="1"/>
    <col min="2" max="2" width="18.5703125" style="494" customWidth="1"/>
    <col min="3" max="3" width="1.42578125" style="494" customWidth="1"/>
    <col min="4" max="4" width="11.42578125" style="494" customWidth="1"/>
    <col min="5" max="5" width="16.5703125" style="494" bestFit="1" customWidth="1"/>
    <col min="6" max="6" width="1.42578125" style="494" customWidth="1"/>
    <col min="7" max="7" width="16.42578125" style="494" customWidth="1"/>
    <col min="8" max="8" width="1.42578125" style="494" customWidth="1"/>
    <col min="9" max="9" width="16.85546875" style="494" customWidth="1"/>
    <col min="10" max="10" width="1.42578125" style="494" customWidth="1"/>
    <col min="11" max="11" width="17.140625" style="494" customWidth="1"/>
    <col min="12" max="12" width="1.42578125" style="494" customWidth="1"/>
    <col min="13" max="13" width="16.85546875" style="494" customWidth="1"/>
    <col min="14" max="14" width="1.42578125" style="494" customWidth="1"/>
    <col min="15" max="15" width="16.5703125" style="494" customWidth="1"/>
    <col min="16" max="16" width="4.5703125" style="494" customWidth="1"/>
    <col min="17" max="17" width="4.42578125" style="494" customWidth="1"/>
    <col min="18" max="18" width="6.42578125" style="494" customWidth="1"/>
    <col min="19" max="19" width="5.42578125" style="494" customWidth="1"/>
    <col min="20" max="20" width="22.28515625" style="2320" bestFit="1" customWidth="1"/>
    <col min="21" max="21" width="11" style="2320" customWidth="1"/>
    <col min="22" max="22" width="16.5703125" style="494" customWidth="1"/>
    <col min="23" max="23" width="9.42578125" style="494" customWidth="1"/>
    <col min="24" max="24" width="10.42578125" style="494" customWidth="1"/>
    <col min="25" max="25" width="10.5703125" style="494" customWidth="1"/>
    <col min="26" max="32" width="9.42578125" style="494" customWidth="1"/>
    <col min="33" max="16384" width="16.5703125" style="494"/>
  </cols>
  <sheetData>
    <row r="1" spans="1:23" s="16" customFormat="1" ht="15" customHeight="1" x14ac:dyDescent="0.25">
      <c r="A1" s="481"/>
      <c r="B1" s="2767" t="str">
        <f>+Index!$A$1</f>
        <v xml:space="preserve">                                                               Office of the State Controller                                                                </v>
      </c>
      <c r="C1" s="2767"/>
      <c r="D1" s="2767"/>
      <c r="E1" s="2767"/>
      <c r="F1" s="2767"/>
      <c r="G1" s="2767"/>
      <c r="H1" s="2767"/>
      <c r="I1" s="2767"/>
      <c r="J1" s="2767"/>
      <c r="K1" s="2767"/>
      <c r="L1" s="2767"/>
      <c r="M1" s="2767"/>
      <c r="N1" s="2767"/>
      <c r="O1" s="2767"/>
      <c r="P1" s="2829" t="str">
        <f>IF(Index!$B$30="na","NA","")</f>
        <v/>
      </c>
      <c r="T1" s="2319"/>
      <c r="U1" s="2319"/>
      <c r="W1" s="2342" t="s">
        <v>5069</v>
      </c>
    </row>
    <row r="2" spans="1:23" s="16" customFormat="1" ht="15" customHeight="1" x14ac:dyDescent="0.25">
      <c r="A2" s="481"/>
      <c r="B2" s="2827" t="str">
        <f>+Index!$A$2</f>
        <v>2022 ACFR Worksheets</v>
      </c>
      <c r="C2" s="2827"/>
      <c r="D2" s="2827"/>
      <c r="E2" s="2827"/>
      <c r="F2" s="2827"/>
      <c r="G2" s="2827"/>
      <c r="H2" s="2827"/>
      <c r="I2" s="2827"/>
      <c r="J2" s="2827"/>
      <c r="K2" s="2827"/>
      <c r="L2" s="2827"/>
      <c r="M2" s="2827"/>
      <c r="N2" s="2827"/>
      <c r="O2" s="2827"/>
      <c r="P2" s="2829"/>
      <c r="T2" s="2319"/>
      <c r="U2" s="2319"/>
    </row>
    <row r="3" spans="1:23" s="16" customFormat="1" ht="15" customHeight="1" x14ac:dyDescent="0.25">
      <c r="A3" s="481"/>
      <c r="B3" s="2827" t="s">
        <v>1457</v>
      </c>
      <c r="C3" s="2827"/>
      <c r="D3" s="2827"/>
      <c r="E3" s="2827"/>
      <c r="F3" s="2827"/>
      <c r="G3" s="2827"/>
      <c r="H3" s="2827"/>
      <c r="I3" s="2827"/>
      <c r="J3" s="2827"/>
      <c r="K3" s="2827"/>
      <c r="L3" s="2827"/>
      <c r="M3" s="2827"/>
      <c r="N3" s="2827"/>
      <c r="O3" s="2827"/>
      <c r="P3" s="2829"/>
      <c r="T3" s="2319"/>
      <c r="U3" s="2319"/>
    </row>
    <row r="4" spans="1:23" s="16" customFormat="1" ht="15" customHeight="1" x14ac:dyDescent="0.25">
      <c r="A4" s="481"/>
      <c r="B4" s="2827" t="s">
        <v>922</v>
      </c>
      <c r="C4" s="2827"/>
      <c r="D4" s="2827"/>
      <c r="E4" s="2827"/>
      <c r="F4" s="2827"/>
      <c r="G4" s="2827"/>
      <c r="H4" s="2827"/>
      <c r="I4" s="2827"/>
      <c r="J4" s="2827"/>
      <c r="K4" s="2827"/>
      <c r="L4" s="2827"/>
      <c r="M4" s="2827"/>
      <c r="N4" s="2827"/>
      <c r="O4" s="2827"/>
      <c r="P4" s="102"/>
      <c r="T4" s="2319"/>
      <c r="U4" s="2319"/>
    </row>
    <row r="5" spans="1:23" s="16" customFormat="1" ht="15" customHeight="1" x14ac:dyDescent="0.25">
      <c r="A5" s="481"/>
      <c r="B5" s="429"/>
      <c r="C5" s="429"/>
      <c r="D5" s="429"/>
      <c r="E5" s="429"/>
      <c r="F5" s="429"/>
      <c r="G5" s="429"/>
      <c r="H5" s="429"/>
      <c r="I5" s="2828" t="s">
        <v>3499</v>
      </c>
      <c r="J5" s="2828"/>
      <c r="K5" s="2828"/>
      <c r="L5" s="2828"/>
      <c r="M5" s="2828"/>
      <c r="N5" s="2828"/>
      <c r="O5" s="2828"/>
      <c r="P5" s="102"/>
      <c r="T5" s="2319"/>
      <c r="U5" s="2319"/>
    </row>
    <row r="6" spans="1:23" s="102" customFormat="1" ht="15" customHeight="1" x14ac:dyDescent="0.2">
      <c r="A6" s="202"/>
      <c r="D6" s="202"/>
      <c r="I6" s="103" t="s">
        <v>327</v>
      </c>
      <c r="J6" s="482"/>
      <c r="K6" s="2819" t="str">
        <f>+Index!$E$10</f>
        <v>01</v>
      </c>
      <c r="L6" s="2819"/>
      <c r="M6" s="2819"/>
      <c r="N6" s="2819"/>
      <c r="O6" s="2819"/>
      <c r="T6" s="2320"/>
      <c r="U6" s="2320"/>
    </row>
    <row r="7" spans="1:23" s="102" customFormat="1" ht="15" customHeight="1" x14ac:dyDescent="0.2">
      <c r="A7" s="202"/>
      <c r="E7" s="2826" t="s">
        <v>1013</v>
      </c>
      <c r="I7" s="103" t="s">
        <v>1154</v>
      </c>
      <c r="J7" s="482"/>
      <c r="K7" s="2820" t="str">
        <f>+Index!$E$11</f>
        <v>North Carolina General Assembly</v>
      </c>
      <c r="L7" s="2820"/>
      <c r="M7" s="2820"/>
      <c r="N7" s="2820"/>
      <c r="O7" s="2820"/>
      <c r="T7" s="2320"/>
      <c r="U7" s="2320"/>
    </row>
    <row r="8" spans="1:23" s="102" customFormat="1" ht="15" customHeight="1" x14ac:dyDescent="0.2">
      <c r="A8" s="202"/>
      <c r="B8" s="102" t="s">
        <v>477</v>
      </c>
      <c r="C8" s="202"/>
      <c r="D8" s="499"/>
      <c r="E8" s="2826"/>
      <c r="I8" s="103" t="s">
        <v>972</v>
      </c>
      <c r="J8" s="482"/>
      <c r="K8" s="2821" t="str">
        <f>CONCATENATE(Index!$E$12," ",Index!$E$14)</f>
        <v xml:space="preserve"> </v>
      </c>
      <c r="L8" s="2821"/>
      <c r="M8" s="2821"/>
      <c r="N8" s="2821"/>
      <c r="O8" s="2821"/>
      <c r="T8" s="2320"/>
      <c r="U8" s="2320"/>
    </row>
    <row r="9" spans="1:23" s="102" customFormat="1" ht="15" customHeight="1" x14ac:dyDescent="0.2">
      <c r="A9" s="202"/>
      <c r="B9" s="1241" t="s">
        <v>1832</v>
      </c>
      <c r="C9" s="1242"/>
      <c r="D9" s="1243"/>
      <c r="E9" s="1244"/>
      <c r="I9" s="103" t="s">
        <v>348</v>
      </c>
      <c r="J9" s="482"/>
      <c r="K9" s="2821">
        <f>+Index!$E$13</f>
        <v>0</v>
      </c>
      <c r="L9" s="2821"/>
      <c r="M9" s="2821"/>
      <c r="N9" s="2821"/>
      <c r="O9" s="2821"/>
      <c r="T9" s="2320"/>
      <c r="U9" s="2320"/>
    </row>
    <row r="10" spans="1:23" s="102" customFormat="1" ht="6.75" customHeight="1" thickBot="1" x14ac:dyDescent="0.25">
      <c r="A10" s="202"/>
      <c r="B10" s="107"/>
      <c r="C10" s="107"/>
      <c r="D10" s="107"/>
      <c r="E10" s="107"/>
      <c r="F10" s="107"/>
      <c r="G10" s="107"/>
      <c r="H10" s="107"/>
      <c r="I10" s="107"/>
      <c r="J10" s="107"/>
      <c r="K10" s="107"/>
      <c r="L10" s="107"/>
      <c r="M10" s="107"/>
      <c r="N10" s="107"/>
      <c r="O10" s="107"/>
      <c r="T10" s="2320"/>
      <c r="U10" s="2320"/>
    </row>
    <row r="11" spans="1:23" s="102" customFormat="1" ht="5.25" customHeight="1" x14ac:dyDescent="0.2">
      <c r="A11" s="202"/>
      <c r="T11" s="2320"/>
      <c r="U11" s="2320"/>
    </row>
    <row r="12" spans="1:23" s="102" customFormat="1" ht="12" customHeight="1" x14ac:dyDescent="0.2">
      <c r="A12" s="202"/>
      <c r="B12" s="1192"/>
      <c r="C12" s="483"/>
      <c r="D12" s="484"/>
      <c r="E12" s="484" t="s">
        <v>1160</v>
      </c>
      <c r="F12" s="484"/>
      <c r="G12" s="484" t="s">
        <v>648</v>
      </c>
      <c r="H12" s="484"/>
      <c r="I12" s="484"/>
      <c r="J12" s="484"/>
      <c r="K12" s="484"/>
      <c r="L12" s="484"/>
      <c r="M12" s="484" t="s">
        <v>1160</v>
      </c>
      <c r="N12" s="483"/>
      <c r="O12" s="484" t="s">
        <v>422</v>
      </c>
      <c r="T12" s="2320"/>
      <c r="U12" s="2320"/>
    </row>
    <row r="13" spans="1:23" s="102" customFormat="1" ht="12" customHeight="1" x14ac:dyDescent="0.2">
      <c r="A13" s="202"/>
      <c r="B13" s="484"/>
      <c r="C13" s="484"/>
      <c r="D13" s="484"/>
      <c r="E13" s="485" t="str">
        <f>+TEXT(Data!$A$3,"mmmm d, yyyy")</f>
        <v>July 1, 2021</v>
      </c>
      <c r="F13" s="484"/>
      <c r="G13" s="486" t="s">
        <v>1052</v>
      </c>
      <c r="H13" s="484"/>
      <c r="I13" s="486" t="s">
        <v>1050</v>
      </c>
      <c r="J13" s="484"/>
      <c r="K13" s="486" t="s">
        <v>1059</v>
      </c>
      <c r="L13" s="484"/>
      <c r="M13" s="485" t="str">
        <f>+TEXT(Data!$A$2,"mmmm d, yyyy")</f>
        <v>June 30, 2022</v>
      </c>
      <c r="N13" s="483"/>
      <c r="O13" s="486" t="s">
        <v>423</v>
      </c>
      <c r="T13" s="2320"/>
      <c r="U13" s="2320"/>
    </row>
    <row r="14" spans="1:23" s="102" customFormat="1" ht="12" customHeight="1" x14ac:dyDescent="0.2">
      <c r="A14" s="202"/>
      <c r="B14" s="484"/>
      <c r="C14" s="484"/>
      <c r="D14" s="484"/>
      <c r="E14" s="2312"/>
      <c r="F14" s="484"/>
      <c r="G14" s="2313" t="s">
        <v>4983</v>
      </c>
      <c r="H14" s="2314"/>
      <c r="I14" s="2395" t="s">
        <v>5145</v>
      </c>
      <c r="J14" s="2396"/>
      <c r="K14" s="2395" t="s">
        <v>5146</v>
      </c>
      <c r="L14" s="2314"/>
      <c r="M14" s="2315"/>
      <c r="N14" s="2316"/>
      <c r="O14" s="2313" t="s">
        <v>5052</v>
      </c>
      <c r="T14" s="2317"/>
      <c r="U14" s="2317"/>
    </row>
    <row r="15" spans="1:23" s="102" customFormat="1" ht="12" customHeight="1" x14ac:dyDescent="0.2">
      <c r="A15" s="202"/>
      <c r="B15" s="483"/>
      <c r="C15" s="483"/>
      <c r="D15" s="484"/>
      <c r="E15" s="484" t="s">
        <v>118</v>
      </c>
      <c r="F15" s="483"/>
      <c r="G15" s="484" t="s">
        <v>119</v>
      </c>
      <c r="H15" s="483"/>
      <c r="I15" s="484" t="s">
        <v>996</v>
      </c>
      <c r="J15" s="483"/>
      <c r="K15" s="484" t="s">
        <v>997</v>
      </c>
      <c r="L15" s="483"/>
      <c r="M15" s="484" t="s">
        <v>998</v>
      </c>
      <c r="N15" s="483"/>
      <c r="O15" s="484" t="s">
        <v>999</v>
      </c>
      <c r="T15" s="2320"/>
      <c r="U15" s="2320"/>
    </row>
    <row r="16" spans="1:23" s="102" customFormat="1" ht="14.1" customHeight="1" x14ac:dyDescent="0.2">
      <c r="A16" s="202"/>
      <c r="B16" s="1192" t="s">
        <v>3978</v>
      </c>
      <c r="C16" s="483"/>
      <c r="D16" s="492"/>
      <c r="E16" s="501"/>
      <c r="F16" s="501"/>
      <c r="G16" s="501"/>
      <c r="H16" s="501"/>
      <c r="I16" s="501"/>
      <c r="J16" s="501"/>
      <c r="K16" s="501"/>
      <c r="L16" s="501"/>
      <c r="M16" s="501"/>
      <c r="N16" s="501"/>
      <c r="O16" s="501"/>
      <c r="T16" s="2320"/>
      <c r="U16" s="2320"/>
    </row>
    <row r="17" spans="1:25" s="102" customFormat="1" ht="14.1" customHeight="1" x14ac:dyDescent="0.2">
      <c r="A17" s="102">
        <v>1</v>
      </c>
      <c r="B17" s="490" t="s">
        <v>1170</v>
      </c>
      <c r="C17" s="483"/>
      <c r="D17" s="488"/>
      <c r="E17" s="276" t="str">
        <f t="shared" ref="E17:E41" si="0">IFERROR(INDEX(PY905Data,MATCH($A17,PY905Row,0),MATCH($K$6,PY905Col,0)),"")</f>
        <v/>
      </c>
      <c r="F17" s="489"/>
      <c r="G17" s="276"/>
      <c r="H17" s="489"/>
      <c r="I17" s="276"/>
      <c r="J17" s="489"/>
      <c r="K17" s="276"/>
      <c r="L17" s="489"/>
      <c r="M17" s="491">
        <f>SUM(E17:L17)</f>
        <v>0</v>
      </c>
      <c r="N17" s="489"/>
      <c r="O17" s="276"/>
      <c r="S17" s="202"/>
      <c r="T17" s="2320">
        <v>22610000</v>
      </c>
      <c r="U17" s="2321">
        <v>21610000</v>
      </c>
      <c r="V17" s="501"/>
      <c r="W17" s="501"/>
      <c r="X17" s="501"/>
      <c r="Y17" s="501"/>
    </row>
    <row r="18" spans="1:25" s="102" customFormat="1" ht="14.1" customHeight="1" x14ac:dyDescent="0.2">
      <c r="A18" s="102">
        <v>2</v>
      </c>
      <c r="B18" s="1310" t="s">
        <v>45</v>
      </c>
      <c r="C18" s="483"/>
      <c r="D18" s="488"/>
      <c r="E18" s="276" t="str">
        <f t="shared" si="0"/>
        <v/>
      </c>
      <c r="F18" s="489"/>
      <c r="G18" s="276"/>
      <c r="H18" s="489"/>
      <c r="I18" s="276"/>
      <c r="J18" s="489"/>
      <c r="K18" s="276"/>
      <c r="L18" s="489"/>
      <c r="M18" s="491">
        <f>SUM(E18:L18)</f>
        <v>0</v>
      </c>
      <c r="N18" s="489"/>
      <c r="O18" s="276"/>
      <c r="S18" s="202"/>
      <c r="T18" s="2320">
        <v>22610300</v>
      </c>
      <c r="U18" s="2321">
        <v>21610300</v>
      </c>
      <c r="V18" s="501"/>
      <c r="W18" s="501"/>
      <c r="X18" s="501"/>
      <c r="Y18" s="501"/>
    </row>
    <row r="19" spans="1:25" s="102" customFormat="1" ht="14.1" customHeight="1" x14ac:dyDescent="0.2">
      <c r="A19" s="102">
        <v>23</v>
      </c>
      <c r="B19" s="1310" t="s">
        <v>4701</v>
      </c>
      <c r="C19" s="483"/>
      <c r="D19" s="488"/>
      <c r="E19" s="276" t="str">
        <f t="shared" si="0"/>
        <v/>
      </c>
      <c r="F19" s="489"/>
      <c r="G19" s="276"/>
      <c r="H19" s="489"/>
      <c r="I19" s="276"/>
      <c r="J19" s="489"/>
      <c r="K19" s="276"/>
      <c r="L19" s="489"/>
      <c r="M19" s="491">
        <f>SUM(E19:L19)</f>
        <v>0</v>
      </c>
      <c r="N19" s="489"/>
      <c r="O19" s="276"/>
      <c r="S19" s="202"/>
      <c r="T19" s="2320">
        <v>22610400</v>
      </c>
      <c r="U19" s="2321">
        <v>21610400</v>
      </c>
      <c r="V19" s="501"/>
      <c r="W19" s="501"/>
      <c r="X19" s="501"/>
      <c r="Y19" s="501"/>
    </row>
    <row r="20" spans="1:25" s="102" customFormat="1" ht="14.1" customHeight="1" x14ac:dyDescent="0.2">
      <c r="A20" s="102">
        <v>3</v>
      </c>
      <c r="B20" s="490" t="s">
        <v>507</v>
      </c>
      <c r="C20" s="483"/>
      <c r="D20" s="488"/>
      <c r="E20" s="276" t="str">
        <f t="shared" si="0"/>
        <v/>
      </c>
      <c r="F20" s="489"/>
      <c r="G20" s="277"/>
      <c r="H20" s="489"/>
      <c r="I20" s="277"/>
      <c r="J20" s="489"/>
      <c r="K20" s="277"/>
      <c r="L20" s="489"/>
      <c r="M20" s="491">
        <f>SUM(E20:L20)</f>
        <v>0</v>
      </c>
      <c r="N20" s="489"/>
      <c r="O20" s="277"/>
      <c r="S20" s="202"/>
      <c r="T20" s="2320">
        <v>22610500</v>
      </c>
      <c r="U20" s="2321">
        <v>21610500</v>
      </c>
      <c r="V20" s="501"/>
      <c r="W20" s="501"/>
      <c r="X20" s="501"/>
      <c r="Y20" s="501"/>
    </row>
    <row r="21" spans="1:25" s="102" customFormat="1" ht="14.1" customHeight="1" x14ac:dyDescent="0.2">
      <c r="A21" s="102">
        <v>4</v>
      </c>
      <c r="B21" s="1310" t="s">
        <v>1301</v>
      </c>
      <c r="C21" s="483"/>
      <c r="D21" s="488"/>
      <c r="E21" s="276" t="str">
        <f t="shared" si="0"/>
        <v/>
      </c>
      <c r="F21" s="489"/>
      <c r="G21" s="276"/>
      <c r="H21" s="489"/>
      <c r="I21" s="276"/>
      <c r="J21" s="489"/>
      <c r="K21" s="276"/>
      <c r="L21" s="489"/>
      <c r="M21" s="491">
        <f>SUM(E21:L21)</f>
        <v>0</v>
      </c>
      <c r="N21" s="489"/>
      <c r="O21" s="276"/>
      <c r="S21" s="202"/>
      <c r="T21" s="2320">
        <v>22610600</v>
      </c>
      <c r="U21" s="2321">
        <v>21610600</v>
      </c>
      <c r="V21" s="501"/>
      <c r="W21" s="501"/>
      <c r="X21" s="501"/>
      <c r="Y21" s="501"/>
    </row>
    <row r="22" spans="1:25" s="102" customFormat="1" ht="14.1" customHeight="1" x14ac:dyDescent="0.2">
      <c r="A22" s="102">
        <v>5</v>
      </c>
      <c r="B22" s="2824" t="s">
        <v>3840</v>
      </c>
      <c r="C22" s="2825"/>
      <c r="D22" s="2825"/>
      <c r="E22" s="276" t="str">
        <f t="shared" si="0"/>
        <v/>
      </c>
      <c r="F22" s="489"/>
      <c r="G22" s="276"/>
      <c r="H22" s="489"/>
      <c r="I22" s="276"/>
      <c r="J22" s="489"/>
      <c r="K22" s="276"/>
      <c r="L22" s="489"/>
      <c r="M22" s="491">
        <f t="shared" ref="M22:M41" si="1">SUM(E22:L22)</f>
        <v>0</v>
      </c>
      <c r="N22" s="489"/>
      <c r="O22" s="731"/>
      <c r="S22" s="202"/>
      <c r="T22" s="2317">
        <v>22611000</v>
      </c>
      <c r="U22" s="2321"/>
      <c r="V22" s="501"/>
      <c r="W22" s="501"/>
      <c r="X22" s="501"/>
      <c r="Y22" s="501"/>
    </row>
    <row r="23" spans="1:25" s="102" customFormat="1" ht="14.1" customHeight="1" thickBot="1" x14ac:dyDescent="0.25">
      <c r="A23" s="102">
        <v>6</v>
      </c>
      <c r="B23" s="1310" t="s">
        <v>3841</v>
      </c>
      <c r="C23" s="483"/>
      <c r="D23" s="483"/>
      <c r="E23" s="752" t="str">
        <f t="shared" si="0"/>
        <v/>
      </c>
      <c r="F23" s="489"/>
      <c r="G23" s="752"/>
      <c r="H23" s="489"/>
      <c r="I23" s="752"/>
      <c r="J23" s="489"/>
      <c r="K23" s="752"/>
      <c r="L23" s="489"/>
      <c r="M23" s="755">
        <f t="shared" si="1"/>
        <v>0</v>
      </c>
      <c r="N23" s="489"/>
      <c r="O23" s="753"/>
      <c r="S23" s="202"/>
      <c r="T23" s="2317">
        <v>22612000</v>
      </c>
      <c r="U23" s="2321"/>
      <c r="V23" s="501"/>
      <c r="W23" s="501"/>
      <c r="X23" s="501"/>
      <c r="Y23" s="501"/>
    </row>
    <row r="24" spans="1:25" s="102" customFormat="1" ht="14.1" customHeight="1" x14ac:dyDescent="0.2">
      <c r="A24" s="102">
        <v>7</v>
      </c>
      <c r="B24" s="483" t="s">
        <v>1061</v>
      </c>
      <c r="C24" s="487"/>
      <c r="D24" s="488"/>
      <c r="E24" s="276" t="str">
        <f t="shared" si="0"/>
        <v/>
      </c>
      <c r="F24" s="489"/>
      <c r="G24" s="276"/>
      <c r="H24" s="489"/>
      <c r="I24" s="276"/>
      <c r="J24" s="489"/>
      <c r="K24" s="276"/>
      <c r="L24" s="489"/>
      <c r="M24" s="491">
        <f t="shared" si="1"/>
        <v>0</v>
      </c>
      <c r="N24" s="489"/>
      <c r="O24" s="276"/>
      <c r="S24" s="202"/>
      <c r="T24" s="2317">
        <v>22140000</v>
      </c>
      <c r="U24" s="2267">
        <v>21140000</v>
      </c>
      <c r="V24" s="501"/>
      <c r="W24" s="501"/>
      <c r="X24" s="501"/>
      <c r="Y24" s="501"/>
    </row>
    <row r="25" spans="1:25" s="102" customFormat="1" ht="14.1" customHeight="1" x14ac:dyDescent="0.2">
      <c r="A25" s="102">
        <v>8</v>
      </c>
      <c r="B25" s="483" t="s">
        <v>1062</v>
      </c>
      <c r="C25" s="487"/>
      <c r="D25" s="488"/>
      <c r="E25" s="276" t="str">
        <f t="shared" si="0"/>
        <v/>
      </c>
      <c r="F25" s="489"/>
      <c r="G25" s="276"/>
      <c r="H25" s="489"/>
      <c r="I25" s="276"/>
      <c r="J25" s="489"/>
      <c r="K25" s="276"/>
      <c r="L25" s="489"/>
      <c r="M25" s="491">
        <f t="shared" si="1"/>
        <v>0</v>
      </c>
      <c r="N25" s="489"/>
      <c r="O25" s="276"/>
      <c r="S25" s="202"/>
      <c r="T25" s="2317">
        <v>22199000</v>
      </c>
      <c r="U25" s="2267">
        <v>21191000</v>
      </c>
      <c r="V25" s="501"/>
      <c r="W25" s="501"/>
      <c r="X25" s="501"/>
      <c r="Y25" s="501"/>
    </row>
    <row r="26" spans="1:25" s="102" customFormat="1" ht="14.1" customHeight="1" x14ac:dyDescent="0.2">
      <c r="A26" s="102">
        <v>22</v>
      </c>
      <c r="B26" s="483" t="s">
        <v>4604</v>
      </c>
      <c r="C26" s="487"/>
      <c r="D26" s="488"/>
      <c r="E26" s="276" t="str">
        <f t="shared" si="0"/>
        <v/>
      </c>
      <c r="F26" s="489"/>
      <c r="G26" s="276"/>
      <c r="H26" s="489"/>
      <c r="I26" s="276"/>
      <c r="J26" s="489"/>
      <c r="K26" s="276"/>
      <c r="L26" s="489"/>
      <c r="M26" s="491">
        <f>SUM(E26:L26)</f>
        <v>0</v>
      </c>
      <c r="N26" s="489"/>
      <c r="O26" s="276"/>
      <c r="S26" s="202"/>
      <c r="T26" s="2317">
        <v>22320000</v>
      </c>
      <c r="U26" s="2267">
        <v>21320000</v>
      </c>
      <c r="V26" s="501"/>
      <c r="W26" s="501"/>
      <c r="X26" s="501"/>
      <c r="Y26" s="501"/>
    </row>
    <row r="27" spans="1:25" s="102" customFormat="1" ht="14.1" customHeight="1" x14ac:dyDescent="0.2">
      <c r="A27" s="102">
        <v>10</v>
      </c>
      <c r="B27" s="1192" t="s">
        <v>5491</v>
      </c>
      <c r="C27" s="487"/>
      <c r="D27" s="492"/>
      <c r="E27" s="276" t="str">
        <f t="shared" si="0"/>
        <v/>
      </c>
      <c r="F27" s="489"/>
      <c r="G27" s="276"/>
      <c r="H27" s="489"/>
      <c r="I27" s="276"/>
      <c r="J27" s="489"/>
      <c r="K27" s="276"/>
      <c r="L27" s="489"/>
      <c r="M27" s="491">
        <f t="shared" si="1"/>
        <v>0</v>
      </c>
      <c r="N27" s="489"/>
      <c r="O27" s="276"/>
      <c r="S27" s="202"/>
      <c r="T27" s="2317">
        <v>22410000</v>
      </c>
      <c r="U27" s="2267">
        <v>21410000</v>
      </c>
      <c r="V27" s="501"/>
      <c r="W27" s="501"/>
      <c r="X27" s="501"/>
      <c r="Y27" s="501"/>
    </row>
    <row r="28" spans="1:25" s="102" customFormat="1" ht="14.1" customHeight="1" x14ac:dyDescent="0.2">
      <c r="A28" s="102">
        <v>11</v>
      </c>
      <c r="B28" s="483" t="s">
        <v>93</v>
      </c>
      <c r="C28" s="487"/>
      <c r="D28" s="492"/>
      <c r="E28" s="276" t="str">
        <f t="shared" si="0"/>
        <v/>
      </c>
      <c r="F28" s="489"/>
      <c r="G28" s="276"/>
      <c r="H28" s="489"/>
      <c r="I28" s="276"/>
      <c r="J28" s="489"/>
      <c r="K28" s="276"/>
      <c r="L28" s="489"/>
      <c r="M28" s="491">
        <f t="shared" si="1"/>
        <v>0</v>
      </c>
      <c r="N28" s="489"/>
      <c r="O28" s="276"/>
      <c r="S28" s="202"/>
      <c r="T28" s="2317">
        <v>22191500</v>
      </c>
      <c r="U28" s="2267">
        <v>21191500</v>
      </c>
      <c r="V28" s="501"/>
      <c r="W28" s="501"/>
      <c r="X28" s="501"/>
      <c r="Y28" s="501"/>
    </row>
    <row r="29" spans="1:25" s="102" customFormat="1" ht="14.1" customHeight="1" x14ac:dyDescent="0.2">
      <c r="A29" s="102">
        <v>12</v>
      </c>
      <c r="B29" s="483" t="s">
        <v>1456</v>
      </c>
      <c r="C29" s="487"/>
      <c r="D29" s="492"/>
      <c r="E29" s="276" t="str">
        <f t="shared" si="0"/>
        <v/>
      </c>
      <c r="F29" s="489"/>
      <c r="G29" s="276"/>
      <c r="H29" s="489"/>
      <c r="I29" s="276"/>
      <c r="J29" s="489"/>
      <c r="K29" s="276"/>
      <c r="L29" s="489"/>
      <c r="M29" s="491">
        <f t="shared" si="1"/>
        <v>0</v>
      </c>
      <c r="N29" s="489"/>
      <c r="O29" s="276"/>
      <c r="S29" s="202"/>
      <c r="T29" s="2317">
        <v>22191800</v>
      </c>
      <c r="U29" s="2267">
        <v>21191800</v>
      </c>
      <c r="V29" s="501"/>
      <c r="W29" s="501"/>
      <c r="X29" s="501"/>
      <c r="Y29" s="501"/>
    </row>
    <row r="30" spans="1:25" s="102" customFormat="1" ht="14.1" customHeight="1" x14ac:dyDescent="0.2">
      <c r="A30" s="102">
        <v>13</v>
      </c>
      <c r="B30" s="483" t="s">
        <v>1226</v>
      </c>
      <c r="C30" s="487"/>
      <c r="D30" s="492"/>
      <c r="E30" s="276" t="str">
        <f t="shared" si="0"/>
        <v/>
      </c>
      <c r="F30" s="489"/>
      <c r="G30" s="276"/>
      <c r="H30" s="489"/>
      <c r="I30" s="276"/>
      <c r="J30" s="489"/>
      <c r="K30" s="276"/>
      <c r="L30" s="489"/>
      <c r="M30" s="491">
        <f t="shared" si="1"/>
        <v>0</v>
      </c>
      <c r="N30" s="489"/>
      <c r="O30" s="276"/>
      <c r="S30" s="202"/>
      <c r="T30" s="2317">
        <v>22191900</v>
      </c>
      <c r="U30" s="2267">
        <v>21191900</v>
      </c>
      <c r="V30" s="501"/>
      <c r="W30" s="501"/>
      <c r="X30" s="501"/>
      <c r="Y30" s="501"/>
    </row>
    <row r="31" spans="1:25" s="102" customFormat="1" ht="14.1" customHeight="1" x14ac:dyDescent="0.2">
      <c r="A31" s="102">
        <v>25</v>
      </c>
      <c r="B31" s="1192" t="s">
        <v>4602</v>
      </c>
      <c r="C31" s="487"/>
      <c r="D31" s="492"/>
      <c r="E31" s="276" t="str">
        <f t="shared" si="0"/>
        <v/>
      </c>
      <c r="F31" s="489"/>
      <c r="G31" s="276"/>
      <c r="H31" s="489"/>
      <c r="I31" s="276"/>
      <c r="J31" s="489"/>
      <c r="K31" s="276"/>
      <c r="L31" s="489"/>
      <c r="M31" s="491">
        <f>SUM(E31:L31)</f>
        <v>0</v>
      </c>
      <c r="N31" s="489"/>
      <c r="O31" s="276"/>
      <c r="S31" s="202"/>
      <c r="T31" s="2317">
        <v>22192500</v>
      </c>
      <c r="U31" s="2267">
        <v>21192500</v>
      </c>
      <c r="V31" s="501"/>
      <c r="W31" s="501"/>
      <c r="X31" s="501"/>
      <c r="Y31" s="501"/>
    </row>
    <row r="32" spans="1:25" s="102" customFormat="1" ht="14.1" customHeight="1" x14ac:dyDescent="0.2">
      <c r="A32" s="102">
        <v>14</v>
      </c>
      <c r="B32" s="483" t="s">
        <v>80</v>
      </c>
      <c r="C32" s="487"/>
      <c r="D32" s="492"/>
      <c r="E32" s="276" t="str">
        <f t="shared" si="0"/>
        <v/>
      </c>
      <c r="F32" s="489"/>
      <c r="G32" s="276"/>
      <c r="H32" s="489"/>
      <c r="I32" s="276"/>
      <c r="J32" s="489"/>
      <c r="K32" s="276"/>
      <c r="L32" s="489"/>
      <c r="M32" s="491">
        <f t="shared" si="1"/>
        <v>0</v>
      </c>
      <c r="N32" s="489"/>
      <c r="O32" s="277"/>
      <c r="S32" s="202"/>
      <c r="T32" s="2317">
        <v>22192000</v>
      </c>
      <c r="U32" s="2267">
        <v>21192000</v>
      </c>
      <c r="V32" s="501"/>
      <c r="W32" s="501"/>
      <c r="X32" s="501"/>
      <c r="Y32" s="501"/>
    </row>
    <row r="33" spans="1:25" s="102" customFormat="1" ht="14.1" customHeight="1" x14ac:dyDescent="0.2">
      <c r="A33" s="102">
        <v>15</v>
      </c>
      <c r="B33" s="1192" t="s">
        <v>3849</v>
      </c>
      <c r="C33" s="487"/>
      <c r="D33" s="492"/>
      <c r="E33" s="276" t="str">
        <f t="shared" si="0"/>
        <v/>
      </c>
      <c r="F33" s="489"/>
      <c r="G33" s="276"/>
      <c r="H33" s="489"/>
      <c r="I33" s="276"/>
      <c r="J33" s="489"/>
      <c r="K33" s="276"/>
      <c r="L33" s="489"/>
      <c r="M33" s="491">
        <f t="shared" si="1"/>
        <v>0</v>
      </c>
      <c r="N33" s="489"/>
      <c r="O33" s="277"/>
      <c r="S33" s="202"/>
      <c r="T33" s="2317">
        <v>22915000</v>
      </c>
      <c r="U33" s="2267">
        <v>21915000</v>
      </c>
      <c r="V33" s="501"/>
      <c r="W33" s="501"/>
      <c r="X33" s="501"/>
      <c r="Y33" s="501"/>
    </row>
    <row r="34" spans="1:25" s="102" customFormat="1" ht="14.1" customHeight="1" x14ac:dyDescent="0.2">
      <c r="A34" s="102">
        <v>21</v>
      </c>
      <c r="B34" s="1192" t="s">
        <v>4437</v>
      </c>
      <c r="C34" s="487"/>
      <c r="D34" s="492"/>
      <c r="E34" s="276" t="str">
        <f t="shared" si="0"/>
        <v/>
      </c>
      <c r="F34" s="489"/>
      <c r="G34" s="276"/>
      <c r="H34" s="489"/>
      <c r="I34" s="276"/>
      <c r="J34" s="489"/>
      <c r="K34" s="276"/>
      <c r="L34" s="489"/>
      <c r="M34" s="491">
        <f>SUM(E34:L34)</f>
        <v>0</v>
      </c>
      <c r="N34" s="489"/>
      <c r="O34" s="277"/>
      <c r="S34" s="202"/>
      <c r="T34" s="2317">
        <v>22916000</v>
      </c>
      <c r="U34" s="2267">
        <v>21915100</v>
      </c>
      <c r="V34" s="501"/>
      <c r="W34" s="501"/>
      <c r="X34" s="501"/>
      <c r="Y34" s="501"/>
    </row>
    <row r="35" spans="1:25" s="102" customFormat="1" ht="14.1" customHeight="1" x14ac:dyDescent="0.2">
      <c r="A35" s="102">
        <v>16</v>
      </c>
      <c r="B35" s="483" t="s">
        <v>1424</v>
      </c>
      <c r="C35" s="487"/>
      <c r="D35" s="492"/>
      <c r="E35" s="276" t="str">
        <f t="shared" si="0"/>
        <v/>
      </c>
      <c r="F35" s="489"/>
      <c r="G35" s="276"/>
      <c r="H35" s="489"/>
      <c r="I35" s="276"/>
      <c r="J35" s="489"/>
      <c r="K35" s="276"/>
      <c r="L35" s="489"/>
      <c r="M35" s="491">
        <f t="shared" si="1"/>
        <v>0</v>
      </c>
      <c r="N35" s="489"/>
      <c r="O35" s="277"/>
      <c r="S35" s="202"/>
      <c r="T35" s="2267">
        <v>22529100</v>
      </c>
      <c r="U35" s="2267">
        <v>21529100</v>
      </c>
      <c r="V35" s="501"/>
      <c r="W35" s="501"/>
      <c r="X35" s="501"/>
      <c r="Y35" s="501"/>
    </row>
    <row r="36" spans="1:25" s="102" customFormat="1" ht="14.1" customHeight="1" x14ac:dyDescent="0.25">
      <c r="A36" s="102">
        <v>17</v>
      </c>
      <c r="B36" s="1192" t="s">
        <v>3867</v>
      </c>
      <c r="C36" s="487"/>
      <c r="D36" s="492"/>
      <c r="E36" s="276" t="str">
        <f t="shared" si="0"/>
        <v/>
      </c>
      <c r="F36" s="489"/>
      <c r="G36" s="276"/>
      <c r="H36" s="489"/>
      <c r="I36" s="276"/>
      <c r="J36" s="489"/>
      <c r="K36" s="276"/>
      <c r="L36" s="489"/>
      <c r="M36" s="491">
        <f t="shared" si="1"/>
        <v>0</v>
      </c>
      <c r="N36" s="489"/>
      <c r="O36" s="277"/>
      <c r="S36" s="202"/>
      <c r="T36" s="2403"/>
      <c r="U36" s="2403"/>
      <c r="V36" s="501"/>
      <c r="W36" s="501"/>
      <c r="X36" s="501"/>
      <c r="Y36" s="501"/>
    </row>
    <row r="37" spans="1:25" s="102" customFormat="1" ht="25.5" customHeight="1" x14ac:dyDescent="0.2">
      <c r="A37" s="202">
        <v>18</v>
      </c>
      <c r="B37" s="2822" t="s">
        <v>4603</v>
      </c>
      <c r="C37" s="2823"/>
      <c r="D37" s="2823"/>
      <c r="E37" s="276" t="str">
        <f t="shared" si="0"/>
        <v/>
      </c>
      <c r="F37" s="489"/>
      <c r="G37" s="276"/>
      <c r="H37" s="489"/>
      <c r="I37" s="276"/>
      <c r="J37" s="489"/>
      <c r="K37" s="276"/>
      <c r="L37" s="489"/>
      <c r="M37" s="491">
        <f t="shared" si="1"/>
        <v>0</v>
      </c>
      <c r="N37" s="489"/>
      <c r="O37" s="731"/>
      <c r="T37" s="2317">
        <v>21910000</v>
      </c>
      <c r="U37" s="2267"/>
    </row>
    <row r="38" spans="1:25" s="102" customFormat="1" ht="14.1" customHeight="1" x14ac:dyDescent="0.2">
      <c r="A38" s="202">
        <v>19</v>
      </c>
      <c r="B38" s="490" t="s">
        <v>655</v>
      </c>
      <c r="C38" s="487"/>
      <c r="D38" s="488"/>
      <c r="E38" s="276" t="str">
        <f t="shared" si="0"/>
        <v/>
      </c>
      <c r="F38" s="489"/>
      <c r="G38" s="276"/>
      <c r="H38" s="489"/>
      <c r="I38" s="276"/>
      <c r="J38" s="489"/>
      <c r="K38" s="276"/>
      <c r="L38" s="489"/>
      <c r="M38" s="491">
        <f t="shared" si="1"/>
        <v>0</v>
      </c>
      <c r="N38" s="489"/>
      <c r="O38" s="732"/>
      <c r="T38" s="2317">
        <v>21910100</v>
      </c>
      <c r="U38" s="2317"/>
    </row>
    <row r="39" spans="1:25" s="102" customFormat="1" ht="14.1" customHeight="1" x14ac:dyDescent="0.2">
      <c r="A39" s="202">
        <v>26</v>
      </c>
      <c r="B39" s="490" t="s">
        <v>4604</v>
      </c>
      <c r="C39" s="487"/>
      <c r="D39" s="488"/>
      <c r="E39" s="276" t="str">
        <f t="shared" si="0"/>
        <v/>
      </c>
      <c r="F39" s="489"/>
      <c r="G39" s="276"/>
      <c r="H39" s="489"/>
      <c r="I39" s="276"/>
      <c r="J39" s="489"/>
      <c r="K39" s="276"/>
      <c r="L39" s="489"/>
      <c r="M39" s="491">
        <f>SUM(E39:L39)</f>
        <v>0</v>
      </c>
      <c r="N39" s="489"/>
      <c r="O39" s="732"/>
      <c r="T39" s="2317" t="s">
        <v>5053</v>
      </c>
      <c r="U39" s="2317"/>
    </row>
    <row r="40" spans="1:25" s="102" customFormat="1" ht="14.1" customHeight="1" x14ac:dyDescent="0.2">
      <c r="A40" s="202">
        <v>27</v>
      </c>
      <c r="B40" s="1310" t="s">
        <v>4701</v>
      </c>
      <c r="C40" s="487"/>
      <c r="D40" s="488"/>
      <c r="E40" s="276" t="str">
        <f t="shared" si="0"/>
        <v/>
      </c>
      <c r="F40" s="489"/>
      <c r="G40" s="276"/>
      <c r="H40" s="489"/>
      <c r="I40" s="276"/>
      <c r="J40" s="489"/>
      <c r="K40" s="276"/>
      <c r="L40" s="489"/>
      <c r="M40" s="491">
        <f>SUM(E40:L40)</f>
        <v>0</v>
      </c>
      <c r="N40" s="489"/>
      <c r="O40" s="732"/>
      <c r="T40" s="2317" t="s">
        <v>5054</v>
      </c>
      <c r="U40" s="2317"/>
    </row>
    <row r="41" spans="1:25" s="102" customFormat="1" ht="14.1" customHeight="1" x14ac:dyDescent="0.2">
      <c r="A41" s="202">
        <v>20</v>
      </c>
      <c r="B41" s="490" t="s">
        <v>444</v>
      </c>
      <c r="C41" s="487"/>
      <c r="D41" s="488"/>
      <c r="E41" s="276" t="str">
        <f t="shared" si="0"/>
        <v/>
      </c>
      <c r="F41" s="489"/>
      <c r="G41" s="276"/>
      <c r="H41" s="489"/>
      <c r="I41" s="276"/>
      <c r="J41" s="489"/>
      <c r="K41" s="276"/>
      <c r="L41" s="489"/>
      <c r="M41" s="491">
        <f t="shared" si="1"/>
        <v>0</v>
      </c>
      <c r="N41" s="489"/>
      <c r="O41" s="732"/>
      <c r="T41" s="2317">
        <v>21910200</v>
      </c>
      <c r="U41" s="2317"/>
    </row>
    <row r="42" spans="1:25" ht="21" customHeight="1" x14ac:dyDescent="0.2">
      <c r="B42" s="494" t="s">
        <v>5495</v>
      </c>
      <c r="T42" s="2317"/>
      <c r="U42" s="2317"/>
    </row>
    <row r="43" spans="1:25" ht="5.0999999999999996" customHeight="1" x14ac:dyDescent="0.2">
      <c r="T43" s="2317"/>
      <c r="U43" s="2317"/>
    </row>
    <row r="44" spans="1:25" x14ac:dyDescent="0.2">
      <c r="B44" s="754" t="s">
        <v>5496</v>
      </c>
      <c r="C44" s="24"/>
      <c r="D44" s="495"/>
      <c r="E44" s="24"/>
      <c r="F44" s="24"/>
      <c r="G44" s="24"/>
      <c r="H44" s="496"/>
      <c r="I44" s="497" t="s">
        <v>969</v>
      </c>
      <c r="J44" s="498"/>
      <c r="K44" s="500"/>
      <c r="L44" s="498"/>
      <c r="M44" s="497" t="s">
        <v>970</v>
      </c>
      <c r="N44" s="495"/>
      <c r="O44" s="500"/>
    </row>
    <row r="48" spans="1:25" ht="15" x14ac:dyDescent="0.2">
      <c r="A48" s="440" t="str">
        <f ca="1">MID(CELL("filename",A1),FIND("]",CELL("filename",A1))+1,256)</f>
        <v>310</v>
      </c>
      <c r="B48" s="443" t="s">
        <v>449</v>
      </c>
      <c r="C48" s="440"/>
    </row>
    <row r="49" spans="1:3" ht="15" x14ac:dyDescent="0.2">
      <c r="A49" s="440" t="s">
        <v>446</v>
      </c>
      <c r="B49" s="443" t="str">
        <f t="shared" ref="B49:B58" ca="1" si="2">IF(ISNA(INDEX(ErrorTable,MATCH($A$48&amp;$A49&amp;FALSE,ErrorKey,0),6)),"",INDEX(ErrorTable,MATCH($A$48&amp;$A49&amp;FALSE,ErrorKey,0),6))</f>
        <v>Compensated absences must have additions and deletions.</v>
      </c>
      <c r="C49" s="440"/>
    </row>
    <row r="50" spans="1:3" ht="15" x14ac:dyDescent="0.2">
      <c r="A50" s="440" t="s">
        <v>447</v>
      </c>
      <c r="B50" s="443" t="str">
        <f t="shared" ca="1" si="2"/>
        <v>GASB number is blank.</v>
      </c>
      <c r="C50" s="440"/>
    </row>
    <row r="51" spans="1:3" ht="15" x14ac:dyDescent="0.2">
      <c r="A51" s="440" t="s">
        <v>448</v>
      </c>
      <c r="B51" s="443" t="str">
        <f t="shared" ca="1" si="2"/>
        <v/>
      </c>
      <c r="C51" s="440"/>
    </row>
    <row r="52" spans="1:3" ht="15" x14ac:dyDescent="0.2">
      <c r="A52" s="440" t="s">
        <v>450</v>
      </c>
      <c r="B52" s="443" t="str">
        <f t="shared" ca="1" si="2"/>
        <v/>
      </c>
      <c r="C52" s="440"/>
    </row>
    <row r="53" spans="1:3" ht="15" x14ac:dyDescent="0.2">
      <c r="A53" s="440" t="s">
        <v>451</v>
      </c>
      <c r="B53" s="443" t="str">
        <f t="shared" ca="1" si="2"/>
        <v/>
      </c>
      <c r="C53" s="440"/>
    </row>
    <row r="54" spans="1:3" ht="15" x14ac:dyDescent="0.2">
      <c r="A54" s="440" t="s">
        <v>452</v>
      </c>
      <c r="B54" s="443" t="str">
        <f t="shared" ca="1" si="2"/>
        <v/>
      </c>
      <c r="C54" s="440"/>
    </row>
    <row r="55" spans="1:3" ht="15" x14ac:dyDescent="0.2">
      <c r="A55" s="440" t="s">
        <v>453</v>
      </c>
      <c r="B55" s="443" t="str">
        <f t="shared" ca="1" si="2"/>
        <v/>
      </c>
      <c r="C55" s="440"/>
    </row>
    <row r="56" spans="1:3" ht="15" x14ac:dyDescent="0.2">
      <c r="A56" s="440" t="s">
        <v>454</v>
      </c>
      <c r="B56" s="443" t="str">
        <f t="shared" ca="1" si="2"/>
        <v/>
      </c>
      <c r="C56" s="440"/>
    </row>
    <row r="57" spans="1:3" ht="15" x14ac:dyDescent="0.2">
      <c r="A57" s="440" t="s">
        <v>455</v>
      </c>
      <c r="B57" s="443" t="str">
        <f t="shared" ca="1" si="2"/>
        <v/>
      </c>
      <c r="C57" s="440"/>
    </row>
    <row r="58" spans="1:3" ht="15" x14ac:dyDescent="0.2">
      <c r="A58" s="440" t="s">
        <v>456</v>
      </c>
      <c r="B58" s="443" t="str">
        <f t="shared" ca="1" si="2"/>
        <v/>
      </c>
      <c r="C58" s="440"/>
    </row>
  </sheetData>
  <sheetProtection algorithmName="SHA-512" hashValue="p36PDCHtgGRtR+NsiaiL5J6qDNnYyp1tSpB/2r5m8U35OXsRPvQHwf/fk85Rf7XAqI+Z3lxPexTtxzO9HzeWgQ==" saltValue="CaYsmaCavEClEtFeHmEDsA==" spinCount="100000" sheet="1" objects="1" scenarios="1" autoFilter="0"/>
  <customSheetViews>
    <customSheetView guid="{B08879A4-635B-4C39-9937-AC7883D562FC}" showGridLines="0" fitToPage="1" hiddenColumns="1" topLeftCell="B1">
      <selection activeCell="B35" sqref="A35:IV35"/>
      <pageMargins left="0.5" right="0.5" top="0.51" bottom="0.5" header="0.31" footer="0.25"/>
      <pageSetup scale="97" orientation="landscape" r:id="rId1"/>
      <headerFooter alignWithMargins="0">
        <oddFooter>&amp;R&amp;A</oddFooter>
      </headerFooter>
    </customSheetView>
    <customSheetView guid="{9FCFC836-1CA5-48BF-958D-24D2EA94B219}" showGridLines="0" fitToPage="1" hiddenColumns="1" topLeftCell="B1">
      <selection activeCell="B35" sqref="A35:IV35"/>
      <pageMargins left="0.5" right="0.5" top="0.51" bottom="0.5" header="0.31" footer="0.25"/>
      <pageSetup scale="97" orientation="landscape" r:id="rId2"/>
      <headerFooter alignWithMargins="0">
        <oddFooter>&amp;R&amp;A</oddFooter>
      </headerFooter>
    </customSheetView>
  </customSheetViews>
  <mergeCells count="13">
    <mergeCell ref="B37:D37"/>
    <mergeCell ref="B4:O4"/>
    <mergeCell ref="K6:O6"/>
    <mergeCell ref="E7:E8"/>
    <mergeCell ref="K7:O7"/>
    <mergeCell ref="K8:O8"/>
    <mergeCell ref="K9:O9"/>
    <mergeCell ref="B22:D22"/>
    <mergeCell ref="B1:O1"/>
    <mergeCell ref="P1:P3"/>
    <mergeCell ref="B2:O2"/>
    <mergeCell ref="B3:O3"/>
    <mergeCell ref="I5:O5"/>
  </mergeCells>
  <phoneticPr fontId="15" type="noConversion"/>
  <conditionalFormatting sqref="P1:P5">
    <cfRule type="cellIs" dxfId="138" priority="1" stopIfTrue="1" operator="equal">
      <formula>"na"</formula>
    </cfRule>
  </conditionalFormatting>
  <dataValidations count="6">
    <dataValidation type="decimal" operator="lessThan" allowBlank="1" showErrorMessage="1" errorTitle="Deletions Error" error="Deletions must be entered as negative numbers." sqref="K42 K16" xr:uid="{00000000-0002-0000-0D00-000000000000}">
      <formula1>0</formula1>
    </dataValidation>
    <dataValidation type="decimal" operator="lessThanOrEqual" allowBlank="1" showInputMessage="1" showErrorMessage="1" errorTitle="Invalid data!" error="Amount must be negative." sqref="K17:K21 I22 E22 K23:K41" xr:uid="{00000000-0002-0000-0D00-000001000000}">
      <formula1>0</formula1>
    </dataValidation>
    <dataValidation type="decimal" operator="greaterThanOrEqual" allowBlank="1" showInputMessage="1" showErrorMessage="1" errorTitle="Invalid data!" error="Amount must be positive." sqref="I17:I21 K22 I23:I41"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 type="decimal" operator="equal" allowBlank="1" showInputMessage="1" showErrorMessage="1" errorTitle="Invalid Data!" error="The current portion of the net pension liability must be zero." sqref="O33" xr:uid="{00000000-0002-0000-0D00-000004000000}">
      <formula1>0</formula1>
    </dataValidation>
    <dataValidation type="decimal" operator="equal" allowBlank="1" showInputMessage="1" showErrorMessage="1" errorTitle="Invalid Data!" error="The current portion of the net OPEB liability must be zero." sqref="O34" xr:uid="{00000000-0002-0000-0D00-000005000000}">
      <formula1>0</formula1>
    </dataValidation>
  </dataValidations>
  <hyperlinks>
    <hyperlink ref="B1:O1" location="Index!A1" display="Index!A1" xr:uid="{00000000-0004-0000-0D00-000000000000}"/>
  </hyperlinks>
  <pageMargins left="0.5" right="0.5" top="0.5" bottom="0.5" header="0.31" footer="0.25"/>
  <pageSetup scale="89" orientation="landscape" r:id="rId3"/>
  <headerFooter alignWithMargins="0">
    <oddFooter>&amp;R&amp;A</oddFooter>
  </headerFooter>
  <ignoredErrors>
    <ignoredError sqref="E17:E25 E27:E28 E26 E29:E41" unlockedFormula="1"/>
  </ignoredErrors>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E106"/>
  <sheetViews>
    <sheetView showGridLines="0" topLeftCell="B1" zoomScaleNormal="100" workbookViewId="0">
      <selection activeCell="K46" sqref="K46:P46"/>
    </sheetView>
  </sheetViews>
  <sheetFormatPr defaultColWidth="9.42578125" defaultRowHeight="11.25" x14ac:dyDescent="0.2"/>
  <cols>
    <col min="1" max="1" width="0.42578125" style="442" hidden="1" customWidth="1"/>
    <col min="2" max="2" width="2.5703125" style="19" customWidth="1"/>
    <col min="3" max="3" width="6.5703125" style="19" customWidth="1"/>
    <col min="4" max="4" width="5.5703125" style="19" customWidth="1"/>
    <col min="5" max="5" width="11" style="19" customWidth="1"/>
    <col min="6" max="6" width="3.5703125" style="19" customWidth="1"/>
    <col min="7" max="7" width="16.5703125" style="19" customWidth="1"/>
    <col min="8" max="8" width="1.5703125" style="19" customWidth="1"/>
    <col min="9" max="9" width="16.5703125" style="19" customWidth="1"/>
    <col min="10" max="15" width="3.5703125" style="19" customWidth="1"/>
    <col min="16" max="16" width="2.5703125" style="19" customWidth="1"/>
    <col min="17" max="17" width="4.5703125" style="19" customWidth="1"/>
    <col min="18" max="18" width="0" style="19" hidden="1" customWidth="1"/>
    <col min="19" max="20" width="9.42578125" style="19" hidden="1" customWidth="1"/>
    <col min="21" max="22" width="9.42578125" style="19"/>
    <col min="23" max="23" width="9.42578125" style="2325"/>
    <col min="24" max="16384" width="9.42578125" style="19"/>
  </cols>
  <sheetData>
    <row r="1" spans="1:31" s="16" customFormat="1" ht="15" customHeight="1" x14ac:dyDescent="0.25">
      <c r="A1" s="441"/>
      <c r="B1" s="2767" t="str">
        <f>+Index!$A$1</f>
        <v xml:space="preserve">                                                               Office of the State Controller                                                                </v>
      </c>
      <c r="C1" s="2767"/>
      <c r="D1" s="2767"/>
      <c r="E1" s="2767"/>
      <c r="F1" s="2767"/>
      <c r="G1" s="2767"/>
      <c r="H1" s="2767"/>
      <c r="I1" s="2767"/>
      <c r="J1" s="2767"/>
      <c r="K1" s="2767"/>
      <c r="L1" s="2767"/>
      <c r="M1" s="2767"/>
      <c r="N1" s="2767"/>
      <c r="O1" s="2767"/>
      <c r="P1" s="2767"/>
      <c r="Q1" s="2829" t="str">
        <f>IF(Index!$B$32="na","NA","")</f>
        <v/>
      </c>
      <c r="W1" s="2323"/>
      <c r="AE1" s="17"/>
    </row>
    <row r="2" spans="1:31" s="16" customFormat="1" ht="15" customHeight="1" x14ac:dyDescent="0.25">
      <c r="A2" s="441"/>
      <c r="B2" s="2827" t="str">
        <f>+Index!$A$2</f>
        <v>2022 ACFR Worksheets</v>
      </c>
      <c r="C2" s="2827"/>
      <c r="D2" s="2827"/>
      <c r="E2" s="2827"/>
      <c r="F2" s="2827"/>
      <c r="G2" s="2827"/>
      <c r="H2" s="2827"/>
      <c r="I2" s="2827"/>
      <c r="J2" s="2827"/>
      <c r="K2" s="2827"/>
      <c r="L2" s="2827"/>
      <c r="M2" s="2827"/>
      <c r="N2" s="2827"/>
      <c r="O2" s="2827"/>
      <c r="P2" s="2827"/>
      <c r="Q2" s="2829"/>
      <c r="W2" s="2323"/>
    </row>
    <row r="3" spans="1:31" s="16" customFormat="1" ht="15" customHeight="1" x14ac:dyDescent="0.25">
      <c r="A3" s="441"/>
      <c r="B3" s="2827" t="s">
        <v>3497</v>
      </c>
      <c r="C3" s="2833"/>
      <c r="D3" s="2833"/>
      <c r="E3" s="2833"/>
      <c r="F3" s="2833"/>
      <c r="G3" s="2833"/>
      <c r="H3" s="2833"/>
      <c r="I3" s="2833"/>
      <c r="J3" s="2833"/>
      <c r="K3" s="2833"/>
      <c r="L3" s="2833"/>
      <c r="M3" s="2833"/>
      <c r="N3" s="2833"/>
      <c r="O3" s="2833"/>
      <c r="P3" s="2833"/>
      <c r="Q3" s="2829"/>
      <c r="W3" s="2323"/>
    </row>
    <row r="4" spans="1:31" s="16" customFormat="1" ht="15" customHeight="1" x14ac:dyDescent="0.25">
      <c r="A4" s="441"/>
      <c r="B4" s="2827" t="s">
        <v>4718</v>
      </c>
      <c r="C4" s="2827"/>
      <c r="D4" s="2827"/>
      <c r="E4" s="2827"/>
      <c r="F4" s="2827"/>
      <c r="G4" s="2827"/>
      <c r="H4" s="2827"/>
      <c r="I4" s="2827"/>
      <c r="J4" s="2827"/>
      <c r="K4" s="2827"/>
      <c r="L4" s="2827"/>
      <c r="M4" s="2827"/>
      <c r="N4" s="2827"/>
      <c r="O4" s="2827"/>
      <c r="P4" s="2827"/>
      <c r="Q4" s="481"/>
      <c r="W4" s="2323"/>
    </row>
    <row r="5" spans="1:31" s="16" customFormat="1" ht="15" customHeight="1" x14ac:dyDescent="0.25">
      <c r="A5" s="441"/>
      <c r="B5" s="2827" t="s">
        <v>4717</v>
      </c>
      <c r="C5" s="2827"/>
      <c r="D5" s="2827"/>
      <c r="E5" s="2827"/>
      <c r="F5" s="2827"/>
      <c r="G5" s="2827"/>
      <c r="H5" s="2827"/>
      <c r="I5" s="2827"/>
      <c r="J5" s="2827"/>
      <c r="K5" s="2827"/>
      <c r="L5" s="2827"/>
      <c r="M5" s="2827"/>
      <c r="N5" s="2827"/>
      <c r="O5" s="2827"/>
      <c r="P5" s="2827"/>
      <c r="Q5" s="481"/>
      <c r="W5" s="2323"/>
    </row>
    <row r="6" spans="1:31" s="102" customFormat="1" ht="12" customHeight="1" x14ac:dyDescent="0.2">
      <c r="A6" s="436"/>
      <c r="G6" s="2828" t="s">
        <v>3500</v>
      </c>
      <c r="H6" s="2828"/>
      <c r="I6" s="2828"/>
      <c r="J6" s="2828"/>
      <c r="K6" s="2828"/>
      <c r="L6" s="2828"/>
      <c r="M6" s="2828"/>
      <c r="N6" s="2828"/>
      <c r="O6" s="2828"/>
      <c r="P6" s="2828"/>
      <c r="W6" s="2317"/>
      <c r="X6" s="494"/>
    </row>
    <row r="7" spans="1:31" s="102" customFormat="1" ht="12" customHeight="1" x14ac:dyDescent="0.2">
      <c r="A7" s="436"/>
      <c r="E7" s="202"/>
      <c r="H7" s="103" t="s">
        <v>327</v>
      </c>
      <c r="I7" s="2807" t="str">
        <f>+Index!$E$10</f>
        <v>01</v>
      </c>
      <c r="J7" s="2807"/>
      <c r="K7" s="2807"/>
      <c r="L7" s="2807"/>
      <c r="M7" s="2807"/>
      <c r="N7" s="2807"/>
      <c r="O7" s="2807"/>
      <c r="P7" s="2807"/>
      <c r="Q7" s="25"/>
      <c r="W7" s="2317"/>
      <c r="X7" s="494"/>
    </row>
    <row r="8" spans="1:31" s="102" customFormat="1" ht="12" customHeight="1" x14ac:dyDescent="0.2">
      <c r="A8" s="436"/>
      <c r="C8" s="2324" t="s">
        <v>5062</v>
      </c>
      <c r="D8" s="494"/>
      <c r="E8" s="2418" t="s">
        <v>5063</v>
      </c>
      <c r="H8" s="103" t="s">
        <v>1154</v>
      </c>
      <c r="I8" s="2831" t="str">
        <f>+Index!$E$11</f>
        <v>North Carolina General Assembly</v>
      </c>
      <c r="J8" s="2831"/>
      <c r="K8" s="2831"/>
      <c r="L8" s="2831"/>
      <c r="M8" s="2831"/>
      <c r="N8" s="2831"/>
      <c r="O8" s="2831"/>
      <c r="P8" s="2831"/>
      <c r="Q8" s="25"/>
      <c r="W8" s="2317"/>
      <c r="X8" s="494"/>
    </row>
    <row r="9" spans="1:31" s="102" customFormat="1" ht="12" customHeight="1" x14ac:dyDescent="0.2">
      <c r="A9" s="436"/>
      <c r="B9" s="102" t="s">
        <v>477</v>
      </c>
      <c r="E9" s="106" t="s">
        <v>256</v>
      </c>
      <c r="H9" s="103" t="s">
        <v>972</v>
      </c>
      <c r="I9" s="2832" t="str">
        <f>CONCATENATE(Index!$E$12," ",Index!$E$14)</f>
        <v xml:space="preserve"> </v>
      </c>
      <c r="J9" s="2832"/>
      <c r="K9" s="2832"/>
      <c r="L9" s="2832"/>
      <c r="M9" s="2832"/>
      <c r="N9" s="2832"/>
      <c r="O9" s="2832"/>
      <c r="P9" s="2832"/>
      <c r="Q9" s="25"/>
      <c r="W9" s="2317"/>
      <c r="X9" s="494"/>
    </row>
    <row r="10" spans="1:31" s="102" customFormat="1" ht="12" customHeight="1" x14ac:dyDescent="0.2">
      <c r="A10" s="436"/>
      <c r="E10" s="202"/>
      <c r="H10" s="103" t="s">
        <v>348</v>
      </c>
      <c r="I10" s="2832">
        <f>+Index!$E$13</f>
        <v>0</v>
      </c>
      <c r="J10" s="2832"/>
      <c r="K10" s="2832"/>
      <c r="L10" s="2832"/>
      <c r="M10" s="2832"/>
      <c r="N10" s="2832"/>
      <c r="O10" s="2832"/>
      <c r="P10" s="2832"/>
      <c r="Q10" s="25"/>
      <c r="W10" s="2317"/>
      <c r="X10" s="494"/>
    </row>
    <row r="11" spans="1:31" s="102" customFormat="1" ht="5.25" customHeight="1" thickBot="1" x14ac:dyDescent="0.25">
      <c r="A11" s="436"/>
      <c r="B11" s="107"/>
      <c r="C11" s="107"/>
      <c r="D11" s="107"/>
      <c r="E11" s="107"/>
      <c r="F11" s="107"/>
      <c r="G11" s="107"/>
      <c r="H11" s="107"/>
      <c r="I11" s="107"/>
      <c r="J11" s="107"/>
      <c r="K11" s="107"/>
      <c r="L11" s="107"/>
      <c r="M11" s="107"/>
      <c r="N11" s="107"/>
      <c r="O11" s="107"/>
      <c r="P11" s="107"/>
      <c r="W11" s="2317"/>
      <c r="X11" s="494"/>
    </row>
    <row r="12" spans="1:31" s="102" customFormat="1" ht="5.25" customHeight="1" x14ac:dyDescent="0.2">
      <c r="A12" s="436"/>
      <c r="W12" s="2317"/>
      <c r="X12" s="494"/>
    </row>
    <row r="13" spans="1:31" s="102" customFormat="1" ht="12" customHeight="1" x14ac:dyDescent="0.2">
      <c r="A13" s="436">
        <f>SUM(A15:A23)</f>
        <v>0</v>
      </c>
      <c r="B13" s="109" t="s">
        <v>796</v>
      </c>
      <c r="C13" s="14"/>
      <c r="D13" s="14"/>
      <c r="E13" s="14"/>
      <c r="F13" s="14"/>
      <c r="G13" s="14"/>
      <c r="H13" s="14"/>
      <c r="I13" s="14"/>
      <c r="J13" s="14"/>
      <c r="K13" s="14"/>
      <c r="L13" s="14"/>
      <c r="M13" s="14"/>
      <c r="N13" s="14"/>
      <c r="O13" s="14"/>
      <c r="P13" s="14"/>
      <c r="Q13" s="14"/>
      <c r="R13" s="14"/>
      <c r="S13" s="14"/>
      <c r="W13" s="2317"/>
      <c r="X13" s="2324" t="s">
        <v>5057</v>
      </c>
    </row>
    <row r="14" spans="1:31" s="102" customFormat="1" ht="6" customHeight="1" thickBot="1" x14ac:dyDescent="0.25">
      <c r="A14" s="436"/>
      <c r="B14" s="431"/>
      <c r="C14" s="431"/>
      <c r="D14" s="14"/>
      <c r="E14" s="14"/>
      <c r="F14" s="14"/>
      <c r="G14" s="14"/>
      <c r="H14" s="14"/>
      <c r="I14" s="14"/>
      <c r="J14" s="14"/>
      <c r="K14" s="14"/>
      <c r="L14" s="14"/>
      <c r="M14" s="14"/>
      <c r="N14" s="14"/>
      <c r="O14" s="14"/>
      <c r="P14" s="14"/>
      <c r="Q14" s="14"/>
      <c r="R14" s="14"/>
      <c r="S14" s="14"/>
      <c r="W14" s="2317"/>
      <c r="X14" s="494"/>
    </row>
    <row r="15" spans="1:31" s="102" customFormat="1" ht="13.35" customHeight="1" thickBot="1" x14ac:dyDescent="0.25">
      <c r="A15" s="436" t="str">
        <f>IF(ISBLANK(D15)," ",C15)</f>
        <v xml:space="preserve"> </v>
      </c>
      <c r="B15" s="14"/>
      <c r="C15" s="259"/>
      <c r="D15" s="1586"/>
      <c r="E15" s="665" t="s">
        <v>480</v>
      </c>
      <c r="F15" s="14"/>
      <c r="G15" s="14"/>
      <c r="H15" s="330" t="s">
        <v>584</v>
      </c>
      <c r="J15" s="14"/>
      <c r="K15" s="14"/>
      <c r="L15" s="14"/>
      <c r="M15" s="14"/>
      <c r="N15" s="14"/>
      <c r="O15" s="14"/>
      <c r="P15" s="14"/>
      <c r="Q15" s="14"/>
      <c r="R15" s="14"/>
      <c r="S15" s="14"/>
      <c r="W15" s="2306" t="str">
        <f>IF(D15="X","22610100","")</f>
        <v/>
      </c>
      <c r="X15" s="2293"/>
      <c r="Y15" s="330"/>
    </row>
    <row r="16" spans="1:31" s="102" customFormat="1" ht="6" customHeight="1" thickBot="1" x14ac:dyDescent="0.25">
      <c r="A16" s="436"/>
      <c r="B16" s="14"/>
      <c r="C16" s="259"/>
      <c r="D16" s="272"/>
      <c r="E16" s="330"/>
      <c r="F16" s="14"/>
      <c r="G16" s="14"/>
      <c r="H16" s="14"/>
      <c r="I16" s="14"/>
      <c r="J16" s="14"/>
      <c r="K16" s="14"/>
      <c r="L16" s="14"/>
      <c r="M16" s="14"/>
      <c r="N16" s="14"/>
      <c r="O16" s="14"/>
      <c r="P16" s="14"/>
      <c r="Q16" s="14"/>
      <c r="R16" s="14"/>
      <c r="S16" s="14"/>
      <c r="W16" s="2306"/>
      <c r="X16" s="2293"/>
      <c r="Y16" s="14"/>
      <c r="Z16" s="14"/>
    </row>
    <row r="17" spans="1:26" s="102" customFormat="1" ht="13.35" customHeight="1" thickBot="1" x14ac:dyDescent="0.25">
      <c r="A17" s="436" t="str">
        <f>IF(ISBLANK(D17)," ",C17)</f>
        <v xml:space="preserve"> </v>
      </c>
      <c r="B17" s="14"/>
      <c r="C17" s="259"/>
      <c r="D17" s="1586"/>
      <c r="E17" s="665" t="s">
        <v>481</v>
      </c>
      <c r="F17" s="14"/>
      <c r="G17" s="14"/>
      <c r="H17" s="14"/>
      <c r="I17" s="14"/>
      <c r="J17" s="14"/>
      <c r="K17" s="14"/>
      <c r="L17" s="14"/>
      <c r="M17" s="14"/>
      <c r="N17" s="14"/>
      <c r="O17" s="14"/>
      <c r="P17" s="14"/>
      <c r="Q17" s="14"/>
      <c r="R17" s="14"/>
      <c r="S17" s="14"/>
      <c r="W17" s="2306" t="str">
        <f>IF(D17="X","22610000","")</f>
        <v/>
      </c>
      <c r="X17" s="2293"/>
      <c r="Y17" s="14"/>
      <c r="Z17" s="14"/>
    </row>
    <row r="18" spans="1:26" s="102" customFormat="1" ht="6" customHeight="1" thickBot="1" x14ac:dyDescent="0.25">
      <c r="A18" s="436"/>
      <c r="B18" s="14"/>
      <c r="C18" s="259"/>
      <c r="D18" s="14"/>
      <c r="E18" s="330"/>
      <c r="F18" s="14"/>
      <c r="G18" s="14"/>
      <c r="H18" s="14"/>
      <c r="I18" s="14"/>
      <c r="J18" s="14"/>
      <c r="K18" s="14"/>
      <c r="L18" s="14"/>
      <c r="M18" s="14"/>
      <c r="N18" s="14"/>
      <c r="O18" s="14"/>
      <c r="P18" s="14"/>
      <c r="Q18" s="14"/>
      <c r="R18" s="14"/>
      <c r="S18" s="14"/>
      <c r="W18" s="2306"/>
      <c r="X18" s="2293"/>
      <c r="Y18" s="14"/>
      <c r="Z18" s="14"/>
    </row>
    <row r="19" spans="1:26" s="102" customFormat="1" ht="13.35" customHeight="1" thickBot="1" x14ac:dyDescent="0.25">
      <c r="A19" s="436" t="str">
        <f>IF(ISBLANK(D19)," ",C19)</f>
        <v xml:space="preserve"> </v>
      </c>
      <c r="B19" s="14"/>
      <c r="C19" s="259"/>
      <c r="D19" s="1586"/>
      <c r="E19" s="665" t="s">
        <v>1316</v>
      </c>
      <c r="F19" s="14"/>
      <c r="H19" s="14"/>
      <c r="I19" s="14"/>
      <c r="J19" s="14"/>
      <c r="K19" s="14"/>
      <c r="L19" s="14"/>
      <c r="M19" s="14"/>
      <c r="N19" s="14"/>
      <c r="O19" s="14"/>
      <c r="P19" s="14"/>
      <c r="Q19" s="14"/>
      <c r="R19" s="14"/>
      <c r="S19" s="14"/>
      <c r="W19" s="2306" t="str">
        <f>IF(D19="X","22610300","")</f>
        <v/>
      </c>
      <c r="X19" s="494"/>
      <c r="Y19" s="14"/>
      <c r="Z19" s="14"/>
    </row>
    <row r="20" spans="1:26" s="102" customFormat="1" ht="5.0999999999999996" customHeight="1" thickBot="1" x14ac:dyDescent="0.25">
      <c r="A20" s="436"/>
      <c r="B20" s="14"/>
      <c r="C20" s="259"/>
      <c r="D20" s="14"/>
      <c r="E20" s="330"/>
      <c r="F20" s="14"/>
      <c r="G20" s="14"/>
      <c r="H20" s="14"/>
      <c r="I20" s="14"/>
      <c r="J20" s="14"/>
      <c r="K20" s="14"/>
      <c r="L20" s="14"/>
      <c r="M20" s="14"/>
      <c r="N20" s="14"/>
      <c r="O20" s="14"/>
      <c r="P20" s="14"/>
      <c r="Q20" s="14"/>
      <c r="R20" s="14"/>
      <c r="S20" s="14"/>
      <c r="W20" s="2306"/>
      <c r="X20" s="2293"/>
      <c r="Y20" s="14"/>
      <c r="Z20" s="14"/>
    </row>
    <row r="21" spans="1:26" s="102" customFormat="1" ht="13.35" customHeight="1" thickBot="1" x14ac:dyDescent="0.25">
      <c r="A21" s="436"/>
      <c r="B21" s="14"/>
      <c r="C21" s="259"/>
      <c r="D21" s="1586"/>
      <c r="E21" s="665" t="s">
        <v>1129</v>
      </c>
      <c r="F21" s="14"/>
      <c r="G21" s="14"/>
      <c r="H21" s="14"/>
      <c r="I21" s="14"/>
      <c r="J21" s="14"/>
      <c r="K21" s="14"/>
      <c r="L21" s="14"/>
      <c r="M21" s="14"/>
      <c r="N21" s="14"/>
      <c r="O21" s="14"/>
      <c r="P21" s="14"/>
      <c r="Q21" s="14"/>
      <c r="R21" s="14"/>
      <c r="S21" s="14"/>
      <c r="W21" s="2306" t="str">
        <f>IF(D21="X","22610500","")</f>
        <v/>
      </c>
      <c r="X21" s="2293"/>
      <c r="Y21" s="14"/>
      <c r="Z21" s="14"/>
    </row>
    <row r="22" spans="1:26" s="102" customFormat="1" ht="6" customHeight="1" thickBot="1" x14ac:dyDescent="0.25">
      <c r="A22" s="436"/>
      <c r="B22" s="14"/>
      <c r="C22" s="259"/>
      <c r="D22" s="14"/>
      <c r="E22" s="330"/>
      <c r="F22" s="14"/>
      <c r="G22" s="14"/>
      <c r="H22" s="14"/>
      <c r="I22" s="14"/>
      <c r="J22" s="14"/>
      <c r="K22" s="14"/>
      <c r="L22" s="14"/>
      <c r="M22" s="14"/>
      <c r="N22" s="14"/>
      <c r="O22" s="14"/>
      <c r="P22" s="14"/>
      <c r="Q22" s="14"/>
      <c r="R22" s="14"/>
      <c r="S22" s="14"/>
      <c r="W22" s="2306"/>
      <c r="X22" s="2293"/>
      <c r="Y22" s="14"/>
      <c r="Z22" s="14"/>
    </row>
    <row r="23" spans="1:26" s="102" customFormat="1" ht="13.35" customHeight="1" thickBot="1" x14ac:dyDescent="0.25">
      <c r="A23" s="436" t="str">
        <f>IF(ISBLANK(D23)," ",C23)</f>
        <v xml:space="preserve"> </v>
      </c>
      <c r="B23" s="14"/>
      <c r="C23" s="259"/>
      <c r="D23" s="1586"/>
      <c r="E23" s="665" t="s">
        <v>1302</v>
      </c>
      <c r="F23" s="14"/>
      <c r="G23" s="14"/>
      <c r="H23" s="14"/>
      <c r="I23" s="14"/>
      <c r="J23" s="14"/>
      <c r="K23" s="14"/>
      <c r="L23" s="14"/>
      <c r="M23" s="14"/>
      <c r="N23" s="14"/>
      <c r="O23" s="14"/>
      <c r="P23" s="14"/>
      <c r="Q23" s="14"/>
      <c r="R23" s="14"/>
      <c r="S23" s="14"/>
      <c r="W23" s="2306" t="str">
        <f>IF(D23="X","22610600","")</f>
        <v/>
      </c>
      <c r="X23" s="2293"/>
      <c r="Y23" s="14"/>
      <c r="Z23" s="14"/>
    </row>
    <row r="24" spans="1:26" s="102" customFormat="1" ht="6" customHeight="1" thickBot="1" x14ac:dyDescent="0.25">
      <c r="A24" s="436"/>
      <c r="B24" s="14"/>
      <c r="C24" s="14"/>
      <c r="D24" s="14"/>
      <c r="E24" s="14"/>
      <c r="F24" s="14"/>
      <c r="G24" s="94"/>
      <c r="H24" s="94"/>
      <c r="I24" s="94"/>
      <c r="J24" s="14"/>
      <c r="K24" s="14"/>
      <c r="L24" s="14"/>
      <c r="M24" s="14"/>
      <c r="N24" s="14"/>
      <c r="O24" s="14"/>
      <c r="P24" s="14"/>
      <c r="Q24" s="14"/>
      <c r="R24" s="14"/>
      <c r="S24" s="14"/>
      <c r="W24" s="2306"/>
      <c r="X24" s="494"/>
    </row>
    <row r="25" spans="1:26" s="102" customFormat="1" ht="12.75" customHeight="1" thickBot="1" x14ac:dyDescent="0.25">
      <c r="A25" s="436"/>
      <c r="B25" s="14"/>
      <c r="C25" s="259"/>
      <c r="D25" s="1586"/>
      <c r="E25" s="665" t="s">
        <v>4605</v>
      </c>
      <c r="F25" s="14"/>
      <c r="G25" s="14"/>
      <c r="H25" s="14"/>
      <c r="I25" s="94"/>
      <c r="J25" s="14"/>
      <c r="K25" s="14"/>
      <c r="L25" s="14"/>
      <c r="M25" s="14"/>
      <c r="N25" s="14"/>
      <c r="O25" s="14"/>
      <c r="P25" s="14"/>
      <c r="Q25" s="14"/>
      <c r="R25" s="14"/>
      <c r="S25" s="14"/>
      <c r="W25" s="2306" t="str">
        <f>IF(D25="X","22320000","")</f>
        <v/>
      </c>
      <c r="X25" s="494"/>
    </row>
    <row r="26" spans="1:26" s="102" customFormat="1" ht="6" customHeight="1" thickBot="1" x14ac:dyDescent="0.25">
      <c r="A26" s="436"/>
      <c r="B26" s="14"/>
      <c r="C26" s="259"/>
      <c r="D26" s="1833"/>
      <c r="E26" s="665"/>
      <c r="F26" s="14"/>
      <c r="G26" s="14"/>
      <c r="H26" s="14"/>
      <c r="I26" s="94"/>
      <c r="J26" s="14"/>
      <c r="K26" s="14"/>
      <c r="L26" s="14"/>
      <c r="M26" s="14"/>
      <c r="N26" s="14"/>
      <c r="O26" s="14"/>
      <c r="P26" s="14"/>
      <c r="Q26" s="14"/>
      <c r="R26" s="14"/>
      <c r="S26" s="14"/>
      <c r="W26" s="2317"/>
      <c r="X26" s="494"/>
    </row>
    <row r="27" spans="1:26" s="102" customFormat="1" ht="12.75" customHeight="1" thickBot="1" x14ac:dyDescent="0.25">
      <c r="A27" s="436"/>
      <c r="B27" s="14"/>
      <c r="C27" s="259"/>
      <c r="D27" s="1586"/>
      <c r="E27" s="665" t="s">
        <v>4719</v>
      </c>
      <c r="F27" s="14"/>
      <c r="G27" s="14"/>
      <c r="H27" s="14"/>
      <c r="I27" s="94"/>
      <c r="J27" s="14"/>
      <c r="K27" s="14"/>
      <c r="L27" s="14"/>
      <c r="M27" s="14"/>
      <c r="N27" s="14"/>
      <c r="O27" s="14"/>
      <c r="P27" s="14"/>
      <c r="Q27" s="14"/>
      <c r="R27" s="14"/>
      <c r="S27" s="14"/>
      <c r="W27" s="2317" t="str">
        <f>IF(D27="X","22610400","")</f>
        <v/>
      </c>
      <c r="X27" s="494"/>
    </row>
    <row r="28" spans="1:26" s="494" customFormat="1" ht="12.75" customHeight="1" x14ac:dyDescent="0.2">
      <c r="A28" s="2303"/>
      <c r="B28" s="2293"/>
      <c r="C28" s="2305"/>
      <c r="D28" s="1833"/>
      <c r="E28" s="665"/>
      <c r="F28" s="2293"/>
      <c r="G28" s="2293"/>
      <c r="H28" s="2293"/>
      <c r="I28" s="357"/>
      <c r="J28" s="2293"/>
      <c r="K28" s="2293"/>
      <c r="L28" s="2293"/>
      <c r="M28" s="2293"/>
      <c r="N28" s="2293"/>
      <c r="O28" s="2293"/>
      <c r="P28" s="2293"/>
      <c r="Q28" s="2293"/>
      <c r="R28" s="2293"/>
      <c r="S28" s="2293"/>
      <c r="W28" s="2317"/>
      <c r="X28" s="2317"/>
    </row>
    <row r="29" spans="1:26" s="494" customFormat="1" ht="12.75" customHeight="1" x14ac:dyDescent="0.2">
      <c r="A29" s="2303"/>
      <c r="B29" s="2293"/>
      <c r="C29" s="2305"/>
      <c r="D29" s="1833"/>
      <c r="E29" s="665"/>
      <c r="F29" s="2293"/>
      <c r="G29" s="2293"/>
      <c r="H29" s="2293"/>
      <c r="I29" s="357"/>
      <c r="J29" s="2293"/>
      <c r="K29" s="2293"/>
      <c r="L29" s="2293"/>
      <c r="M29" s="2293"/>
      <c r="N29" s="2293"/>
      <c r="O29" s="2293"/>
      <c r="P29" s="2293"/>
      <c r="Q29" s="2293"/>
      <c r="R29" s="2293"/>
      <c r="S29" s="2293"/>
      <c r="W29" s="2317"/>
      <c r="X29" s="2317"/>
    </row>
    <row r="30" spans="1:26" s="494" customFormat="1" ht="15" customHeight="1" x14ac:dyDescent="0.2">
      <c r="A30" s="2303"/>
      <c r="B30" s="2293"/>
      <c r="C30" s="2293"/>
      <c r="D30" s="2293"/>
      <c r="E30" s="2293"/>
      <c r="F30" s="2293"/>
      <c r="G30" s="2328" t="s">
        <v>5055</v>
      </c>
      <c r="H30" s="2328"/>
      <c r="I30" s="2328" t="s">
        <v>5056</v>
      </c>
      <c r="J30" s="2293"/>
      <c r="K30" s="2293"/>
      <c r="L30" s="2293"/>
      <c r="M30" s="2293"/>
      <c r="N30" s="2293"/>
      <c r="O30" s="2293"/>
      <c r="P30" s="2293"/>
      <c r="Q30" s="2293"/>
      <c r="R30" s="2293"/>
      <c r="S30" s="2293"/>
      <c r="W30" s="2317"/>
    </row>
    <row r="31" spans="1:26" s="102" customFormat="1" ht="12.75" x14ac:dyDescent="0.2">
      <c r="A31" s="436"/>
      <c r="B31" s="14"/>
      <c r="C31" s="14"/>
      <c r="D31" s="14"/>
      <c r="E31" s="14"/>
      <c r="F31" s="14"/>
      <c r="G31" s="437" t="s">
        <v>319</v>
      </c>
      <c r="H31" s="437"/>
      <c r="I31" s="437" t="s">
        <v>320</v>
      </c>
      <c r="J31" s="14"/>
      <c r="K31" s="14"/>
      <c r="L31" s="14"/>
      <c r="M31" s="14"/>
      <c r="N31" s="14"/>
      <c r="O31" s="14"/>
      <c r="P31" s="14"/>
      <c r="Q31" s="14"/>
      <c r="R31" s="14"/>
      <c r="S31" s="14"/>
      <c r="W31" s="2317"/>
      <c r="X31" s="494"/>
    </row>
    <row r="32" spans="1:26" s="102" customFormat="1" ht="12" customHeight="1" x14ac:dyDescent="0.2">
      <c r="A32" s="436"/>
      <c r="B32" s="14"/>
      <c r="C32" s="14"/>
      <c r="D32" s="14"/>
      <c r="E32" s="26" t="s">
        <v>802</v>
      </c>
      <c r="G32" s="26" t="s">
        <v>261</v>
      </c>
      <c r="H32" s="14"/>
      <c r="I32" s="26" t="s">
        <v>509</v>
      </c>
      <c r="J32" s="4"/>
      <c r="K32" s="4"/>
      <c r="L32" s="4"/>
      <c r="M32" s="4"/>
      <c r="N32" s="14"/>
      <c r="O32" s="14"/>
      <c r="Q32" s="14"/>
      <c r="R32" s="438"/>
      <c r="S32" s="438">
        <f>LARGE(S33:S45,1)</f>
        <v>0</v>
      </c>
      <c r="T32" s="438">
        <f>LARGE(T33:T45,1)</f>
        <v>0</v>
      </c>
      <c r="W32" s="2317"/>
      <c r="X32" s="494"/>
    </row>
    <row r="33" spans="1:24" s="102" customFormat="1" ht="13.35" customHeight="1" x14ac:dyDescent="0.2">
      <c r="A33" s="436">
        <v>1</v>
      </c>
      <c r="B33" s="14"/>
      <c r="C33" s="14"/>
      <c r="D33" s="100">
        <f>+E33</f>
        <v>2023</v>
      </c>
      <c r="E33" s="437">
        <f>+YEAR(Data!$A$2)+1</f>
        <v>2023</v>
      </c>
      <c r="G33" s="434"/>
      <c r="H33" s="105"/>
      <c r="I33" s="434"/>
      <c r="J33" s="105"/>
      <c r="K33" s="2830" t="s">
        <v>736</v>
      </c>
      <c r="L33" s="2830"/>
      <c r="M33" s="2830"/>
      <c r="N33" s="2830"/>
      <c r="O33" s="2830"/>
      <c r="P33" s="2830"/>
      <c r="Q33" s="14"/>
      <c r="R33" s="439">
        <f>SUM($G33:$G$45)</f>
        <v>0</v>
      </c>
      <c r="S33" s="438">
        <f t="shared" ref="S33:T45" si="0">IF($R33&gt;0,$D33,0)</f>
        <v>0</v>
      </c>
      <c r="T33" s="438">
        <f t="shared" si="0"/>
        <v>0</v>
      </c>
      <c r="V33" s="665"/>
      <c r="W33" s="2309" t="s">
        <v>5037</v>
      </c>
      <c r="X33" s="494"/>
    </row>
    <row r="34" spans="1:24" s="102" customFormat="1" ht="13.35" customHeight="1" x14ac:dyDescent="0.2">
      <c r="A34" s="436">
        <v>2</v>
      </c>
      <c r="B34" s="14"/>
      <c r="C34" s="14"/>
      <c r="D34" s="100">
        <f>+E34</f>
        <v>2024</v>
      </c>
      <c r="E34" s="437">
        <f>E33+1</f>
        <v>2024</v>
      </c>
      <c r="G34" s="434"/>
      <c r="H34" s="105"/>
      <c r="I34" s="434"/>
      <c r="J34" s="105"/>
      <c r="K34" s="2830"/>
      <c r="L34" s="2830"/>
      <c r="M34" s="2830"/>
      <c r="N34" s="2830"/>
      <c r="O34" s="2830"/>
      <c r="P34" s="2830"/>
      <c r="Q34" s="14"/>
      <c r="R34" s="439">
        <f>SUM($G34:$G$45)</f>
        <v>0</v>
      </c>
      <c r="S34" s="438">
        <f t="shared" si="0"/>
        <v>0</v>
      </c>
      <c r="T34" s="438">
        <f t="shared" si="0"/>
        <v>0</v>
      </c>
      <c r="V34" s="665"/>
      <c r="W34" s="2309" t="s">
        <v>5038</v>
      </c>
      <c r="X34" s="494"/>
    </row>
    <row r="35" spans="1:24" s="102" customFormat="1" ht="13.35" customHeight="1" x14ac:dyDescent="0.2">
      <c r="A35" s="436">
        <v>3</v>
      </c>
      <c r="B35" s="14"/>
      <c r="C35" s="14"/>
      <c r="D35" s="100">
        <f>+E35</f>
        <v>2025</v>
      </c>
      <c r="E35" s="437">
        <f>E34+1</f>
        <v>2025</v>
      </c>
      <c r="G35" s="434"/>
      <c r="H35" s="105"/>
      <c r="I35" s="434"/>
      <c r="J35" s="105"/>
      <c r="K35" s="2830"/>
      <c r="L35" s="2830"/>
      <c r="M35" s="2830"/>
      <c r="N35" s="2830"/>
      <c r="O35" s="2830"/>
      <c r="P35" s="2830"/>
      <c r="Q35" s="14"/>
      <c r="R35" s="439">
        <f>SUM($G35:$G$45)</f>
        <v>0</v>
      </c>
      <c r="S35" s="438">
        <f t="shared" si="0"/>
        <v>0</v>
      </c>
      <c r="T35" s="438">
        <f t="shared" si="0"/>
        <v>0</v>
      </c>
      <c r="V35" s="665"/>
      <c r="W35" s="2309" t="s">
        <v>5039</v>
      </c>
      <c r="X35" s="494"/>
    </row>
    <row r="36" spans="1:24" s="102" customFormat="1" ht="13.35" customHeight="1" x14ac:dyDescent="0.2">
      <c r="A36" s="436">
        <v>4</v>
      </c>
      <c r="B36" s="14"/>
      <c r="C36" s="14"/>
      <c r="D36" s="100">
        <f>+E36</f>
        <v>2026</v>
      </c>
      <c r="E36" s="437">
        <f>E35+1</f>
        <v>2026</v>
      </c>
      <c r="G36" s="434"/>
      <c r="H36" s="105"/>
      <c r="I36" s="434"/>
      <c r="J36" s="105"/>
      <c r="K36" s="2851"/>
      <c r="L36" s="2852"/>
      <c r="M36" s="2852"/>
      <c r="N36" s="2852"/>
      <c r="O36" s="2852"/>
      <c r="P36" s="2853"/>
      <c r="Q36" s="14"/>
      <c r="R36" s="439">
        <f>SUM($G36:$G$45)</f>
        <v>0</v>
      </c>
      <c r="S36" s="438">
        <f t="shared" si="0"/>
        <v>0</v>
      </c>
      <c r="T36" s="438">
        <f t="shared" si="0"/>
        <v>0</v>
      </c>
      <c r="V36" s="665"/>
      <c r="W36" s="2309" t="s">
        <v>5040</v>
      </c>
      <c r="X36" s="494"/>
    </row>
    <row r="37" spans="1:24" s="102" customFormat="1" ht="13.35" customHeight="1" x14ac:dyDescent="0.2">
      <c r="A37" s="436">
        <v>5</v>
      </c>
      <c r="B37" s="14"/>
      <c r="C37" s="14"/>
      <c r="D37" s="100">
        <f>+E37</f>
        <v>2027</v>
      </c>
      <c r="E37" s="437">
        <f>E36+1</f>
        <v>2027</v>
      </c>
      <c r="G37" s="434"/>
      <c r="H37" s="105"/>
      <c r="I37" s="434"/>
      <c r="J37" s="105"/>
      <c r="K37" s="14"/>
      <c r="L37" s="14"/>
      <c r="M37" s="14"/>
      <c r="N37" s="14"/>
      <c r="Q37" s="14"/>
      <c r="R37" s="439">
        <f>SUM($G37:$G$45)</f>
        <v>0</v>
      </c>
      <c r="S37" s="438">
        <f t="shared" si="0"/>
        <v>0</v>
      </c>
      <c r="T37" s="438">
        <f t="shared" si="0"/>
        <v>0</v>
      </c>
      <c r="V37" s="665"/>
      <c r="W37" s="2309" t="s">
        <v>5041</v>
      </c>
      <c r="X37" s="494"/>
    </row>
    <row r="38" spans="1:24" s="102" customFormat="1" ht="13.35" customHeight="1" x14ac:dyDescent="0.2">
      <c r="A38" s="436">
        <v>6</v>
      </c>
      <c r="B38" s="14"/>
      <c r="C38" s="14"/>
      <c r="D38" s="100">
        <f>E37+1</f>
        <v>2028</v>
      </c>
      <c r="E38" s="437" t="str">
        <f t="shared" ref="E38:E45" si="1">(D38)&amp;" - "&amp;(D38+4)</f>
        <v>2028 - 2032</v>
      </c>
      <c r="G38" s="434"/>
      <c r="H38" s="105"/>
      <c r="I38" s="434"/>
      <c r="J38" s="105"/>
      <c r="K38" s="2830" t="s">
        <v>435</v>
      </c>
      <c r="L38" s="2830"/>
      <c r="M38" s="2830"/>
      <c r="N38" s="2830"/>
      <c r="O38" s="2830"/>
      <c r="P38" s="2830"/>
      <c r="Q38" s="14"/>
      <c r="R38" s="439">
        <f>SUM($G38:$G$45)</f>
        <v>0</v>
      </c>
      <c r="S38" s="438">
        <f t="shared" si="0"/>
        <v>0</v>
      </c>
      <c r="T38" s="438">
        <f>IF($R38&gt;0,$D38+4,0)</f>
        <v>0</v>
      </c>
      <c r="V38" s="665"/>
      <c r="W38" s="2309" t="s">
        <v>5042</v>
      </c>
      <c r="X38" s="494"/>
    </row>
    <row r="39" spans="1:24" s="102" customFormat="1" ht="13.35" customHeight="1" x14ac:dyDescent="0.2">
      <c r="A39" s="436">
        <v>7</v>
      </c>
      <c r="B39" s="14"/>
      <c r="C39" s="14"/>
      <c r="D39" s="100">
        <f t="shared" ref="D39:D45" si="2">D38+5</f>
        <v>2033</v>
      </c>
      <c r="E39" s="437" t="str">
        <f t="shared" si="1"/>
        <v>2033 - 2037</v>
      </c>
      <c r="G39" s="434"/>
      <c r="H39" s="105"/>
      <c r="I39" s="434"/>
      <c r="J39" s="105"/>
      <c r="K39" s="2830"/>
      <c r="L39" s="2830"/>
      <c r="M39" s="2830"/>
      <c r="N39" s="2830"/>
      <c r="O39" s="2830"/>
      <c r="P39" s="2830"/>
      <c r="Q39" s="14"/>
      <c r="R39" s="439">
        <f>SUM($G39:$G$45)</f>
        <v>0</v>
      </c>
      <c r="S39" s="438">
        <f t="shared" si="0"/>
        <v>0</v>
      </c>
      <c r="T39" s="438">
        <f t="shared" ref="T39:T45" si="3">IF($R39&gt;0,$D39+4,0)</f>
        <v>0</v>
      </c>
      <c r="V39" s="665"/>
      <c r="W39" s="2309" t="s">
        <v>5043</v>
      </c>
      <c r="X39" s="494"/>
    </row>
    <row r="40" spans="1:24" s="102" customFormat="1" ht="13.35" customHeight="1" x14ac:dyDescent="0.2">
      <c r="A40" s="436">
        <v>8</v>
      </c>
      <c r="B40" s="14"/>
      <c r="C40" s="14"/>
      <c r="D40" s="100">
        <f t="shared" si="2"/>
        <v>2038</v>
      </c>
      <c r="E40" s="437" t="str">
        <f t="shared" si="1"/>
        <v>2038 - 2042</v>
      </c>
      <c r="G40" s="434"/>
      <c r="H40" s="105"/>
      <c r="I40" s="434"/>
      <c r="J40" s="105"/>
      <c r="K40" s="2850"/>
      <c r="L40" s="2850"/>
      <c r="M40" s="2850"/>
      <c r="N40" s="2850"/>
      <c r="O40" s="2850"/>
      <c r="P40" s="2850"/>
      <c r="Q40" s="14"/>
      <c r="R40" s="439">
        <f>SUM($G40:$G$45)</f>
        <v>0</v>
      </c>
      <c r="S40" s="438">
        <f t="shared" si="0"/>
        <v>0</v>
      </c>
      <c r="T40" s="438">
        <f t="shared" si="3"/>
        <v>0</v>
      </c>
      <c r="V40" s="330"/>
      <c r="W40" s="2309" t="s">
        <v>5044</v>
      </c>
      <c r="X40" s="494"/>
    </row>
    <row r="41" spans="1:24" s="102" customFormat="1" ht="13.35" customHeight="1" x14ac:dyDescent="0.2">
      <c r="A41" s="436">
        <v>9</v>
      </c>
      <c r="B41" s="14"/>
      <c r="C41" s="14"/>
      <c r="D41" s="100">
        <f t="shared" si="2"/>
        <v>2043</v>
      </c>
      <c r="E41" s="437" t="str">
        <f t="shared" si="1"/>
        <v>2043 - 2047</v>
      </c>
      <c r="G41" s="434"/>
      <c r="H41" s="105"/>
      <c r="I41" s="434"/>
      <c r="J41" s="105"/>
      <c r="K41" s="2830" t="s">
        <v>1308</v>
      </c>
      <c r="L41" s="2830"/>
      <c r="M41" s="2830"/>
      <c r="N41" s="2830" t="s">
        <v>1309</v>
      </c>
      <c r="O41" s="2830"/>
      <c r="P41" s="2830"/>
      <c r="Q41" s="14"/>
      <c r="R41" s="439">
        <f>SUM($G41:$G$45)</f>
        <v>0</v>
      </c>
      <c r="S41" s="438">
        <f t="shared" si="0"/>
        <v>0</v>
      </c>
      <c r="T41" s="438">
        <f t="shared" si="3"/>
        <v>0</v>
      </c>
      <c r="W41" s="2309" t="s">
        <v>5045</v>
      </c>
      <c r="X41" s="494"/>
    </row>
    <row r="42" spans="1:24" s="102" customFormat="1" ht="13.35" customHeight="1" x14ac:dyDescent="0.2">
      <c r="A42" s="436">
        <v>10</v>
      </c>
      <c r="B42" s="14"/>
      <c r="C42" s="14"/>
      <c r="D42" s="100">
        <f t="shared" si="2"/>
        <v>2048</v>
      </c>
      <c r="E42" s="437" t="str">
        <f t="shared" si="1"/>
        <v>2048 - 2052</v>
      </c>
      <c r="G42" s="434"/>
      <c r="H42" s="105"/>
      <c r="I42" s="434"/>
      <c r="J42" s="105"/>
      <c r="K42" s="2856"/>
      <c r="L42" s="2854"/>
      <c r="M42" s="2855"/>
      <c r="N42" s="2854"/>
      <c r="O42" s="2854"/>
      <c r="P42" s="2855"/>
      <c r="Q42" s="14"/>
      <c r="R42" s="439">
        <f>SUM($G42:$G$45)</f>
        <v>0</v>
      </c>
      <c r="S42" s="438">
        <f t="shared" si="0"/>
        <v>0</v>
      </c>
      <c r="T42" s="438">
        <f t="shared" si="3"/>
        <v>0</v>
      </c>
      <c r="V42" s="330"/>
      <c r="W42" s="2309" t="s">
        <v>5046</v>
      </c>
      <c r="X42" s="494"/>
    </row>
    <row r="43" spans="1:24" s="102" customFormat="1" ht="13.35" customHeight="1" x14ac:dyDescent="0.2">
      <c r="A43" s="436">
        <v>11</v>
      </c>
      <c r="B43" s="14"/>
      <c r="C43" s="14"/>
      <c r="D43" s="100">
        <f t="shared" si="2"/>
        <v>2053</v>
      </c>
      <c r="E43" s="437" t="str">
        <f t="shared" si="1"/>
        <v>2053 - 2057</v>
      </c>
      <c r="G43" s="434"/>
      <c r="H43" s="105"/>
      <c r="I43" s="434"/>
      <c r="J43" s="105"/>
      <c r="Q43" s="14"/>
      <c r="R43" s="439">
        <f>SUM($G43:$G$45)</f>
        <v>0</v>
      </c>
      <c r="S43" s="438">
        <f>IF($R43&gt;0,$D43,0)</f>
        <v>0</v>
      </c>
      <c r="T43" s="438">
        <f t="shared" si="3"/>
        <v>0</v>
      </c>
      <c r="W43" s="2309" t="s">
        <v>5047</v>
      </c>
      <c r="X43" s="494"/>
    </row>
    <row r="44" spans="1:24" s="102" customFormat="1" ht="13.35" customHeight="1" x14ac:dyDescent="0.2">
      <c r="A44" s="436">
        <v>12</v>
      </c>
      <c r="B44" s="14"/>
      <c r="C44" s="14"/>
      <c r="D44" s="100">
        <f t="shared" si="2"/>
        <v>2058</v>
      </c>
      <c r="E44" s="437" t="str">
        <f t="shared" si="1"/>
        <v>2058 - 2062</v>
      </c>
      <c r="G44" s="434"/>
      <c r="H44" s="105"/>
      <c r="I44" s="434"/>
      <c r="J44" s="105"/>
      <c r="K44" s="2843" t="s">
        <v>81</v>
      </c>
      <c r="L44" s="2844"/>
      <c r="M44" s="2844"/>
      <c r="N44" s="2844"/>
      <c r="O44" s="2844"/>
      <c r="P44" s="2845"/>
      <c r="Q44" s="14"/>
      <c r="R44" s="439">
        <f>SUM($G44:$G$45)</f>
        <v>0</v>
      </c>
      <c r="S44" s="438">
        <f t="shared" si="0"/>
        <v>0</v>
      </c>
      <c r="T44" s="438">
        <f t="shared" si="3"/>
        <v>0</v>
      </c>
      <c r="V44" s="330"/>
      <c r="W44" s="2309" t="s">
        <v>5048</v>
      </c>
      <c r="X44" s="494"/>
    </row>
    <row r="45" spans="1:24" s="102" customFormat="1" ht="13.35" customHeight="1" x14ac:dyDescent="0.2">
      <c r="A45" s="436">
        <v>13</v>
      </c>
      <c r="B45" s="14"/>
      <c r="C45" s="14"/>
      <c r="D45" s="100">
        <f t="shared" si="2"/>
        <v>2063</v>
      </c>
      <c r="E45" s="437" t="str">
        <f t="shared" si="1"/>
        <v>2063 - 2067</v>
      </c>
      <c r="G45" s="434"/>
      <c r="H45" s="105"/>
      <c r="I45" s="434"/>
      <c r="J45" s="105"/>
      <c r="K45" s="2846"/>
      <c r="L45" s="2847"/>
      <c r="M45" s="2847"/>
      <c r="N45" s="2847"/>
      <c r="O45" s="2847"/>
      <c r="P45" s="2848"/>
      <c r="Q45" s="14"/>
      <c r="R45" s="439">
        <f>SUM($G45:$G$45)</f>
        <v>0</v>
      </c>
      <c r="S45" s="438">
        <f t="shared" si="0"/>
        <v>0</v>
      </c>
      <c r="T45" s="438">
        <f t="shared" si="3"/>
        <v>0</v>
      </c>
      <c r="W45" s="2309" t="s">
        <v>5049</v>
      </c>
      <c r="X45" s="494"/>
    </row>
    <row r="46" spans="1:24" s="102" customFormat="1" ht="16.350000000000001" customHeight="1" thickBot="1" x14ac:dyDescent="0.25">
      <c r="A46" s="436"/>
      <c r="B46" s="14"/>
      <c r="C46" s="14"/>
      <c r="D46" s="2" t="s">
        <v>803</v>
      </c>
      <c r="E46" s="14"/>
      <c r="F46" s="14"/>
      <c r="G46" s="444">
        <f>SUM(G33:G45)</f>
        <v>0</v>
      </c>
      <c r="H46" s="105"/>
      <c r="I46" s="444">
        <f>SUM(I33:I45)</f>
        <v>0</v>
      </c>
      <c r="J46" s="105"/>
      <c r="K46" s="2840"/>
      <c r="L46" s="2841"/>
      <c r="M46" s="2841"/>
      <c r="N46" s="2841"/>
      <c r="O46" s="2841"/>
      <c r="P46" s="2842"/>
      <c r="Q46" s="14"/>
      <c r="R46" s="438"/>
      <c r="S46" s="438">
        <f>YEAR(_FMD315)</f>
        <v>1900</v>
      </c>
      <c r="T46" s="436"/>
      <c r="W46" s="494"/>
      <c r="X46" s="494"/>
    </row>
    <row r="47" spans="1:24" s="102" customFormat="1" ht="13.35" customHeight="1" thickTop="1" x14ac:dyDescent="0.25">
      <c r="A47" s="436"/>
      <c r="B47" s="14"/>
      <c r="C47" s="14"/>
      <c r="D47" s="2"/>
      <c r="E47" s="14"/>
      <c r="F47" s="14"/>
      <c r="G47" s="14"/>
      <c r="H47" s="99" t="s">
        <v>948</v>
      </c>
      <c r="I47" s="906" t="s">
        <v>1319</v>
      </c>
      <c r="J47" s="4"/>
      <c r="K47" s="4"/>
      <c r="L47" s="98"/>
      <c r="M47" s="98"/>
      <c r="N47" s="94"/>
      <c r="O47" s="94"/>
      <c r="P47" s="14"/>
      <c r="Q47" s="14"/>
      <c r="R47" s="14"/>
      <c r="S47" s="14"/>
      <c r="W47" s="494"/>
      <c r="X47" s="494"/>
    </row>
    <row r="48" spans="1:24" s="102" customFormat="1" ht="12.75" customHeight="1" x14ac:dyDescent="0.2">
      <c r="A48" s="436"/>
      <c r="B48" s="14" t="s">
        <v>708</v>
      </c>
      <c r="C48" s="14"/>
      <c r="D48" s="2"/>
      <c r="E48" s="14"/>
      <c r="F48" s="14"/>
      <c r="G48" s="14"/>
      <c r="H48" s="99"/>
      <c r="I48" s="98"/>
      <c r="J48" s="4"/>
      <c r="K48" s="4"/>
      <c r="L48" s="98"/>
      <c r="M48" s="98"/>
      <c r="N48" s="94"/>
      <c r="O48" s="94"/>
      <c r="P48" s="14"/>
      <c r="Q48" s="14"/>
      <c r="R48" s="14"/>
      <c r="S48" s="14"/>
      <c r="W48" s="2309"/>
      <c r="X48" s="494"/>
    </row>
    <row r="49" spans="1:24" s="102" customFormat="1" ht="12.75" customHeight="1" x14ac:dyDescent="0.2">
      <c r="A49" s="436"/>
      <c r="B49" s="14" t="s">
        <v>1044</v>
      </c>
      <c r="C49" s="14"/>
      <c r="D49" s="2"/>
      <c r="E49" s="14"/>
      <c r="F49" s="14"/>
      <c r="G49" s="14"/>
      <c r="H49" s="99"/>
      <c r="I49" s="98"/>
      <c r="J49" s="4"/>
      <c r="K49" s="4"/>
      <c r="L49" s="98"/>
      <c r="M49" s="98"/>
      <c r="N49" s="94"/>
      <c r="O49" s="94"/>
      <c r="P49" s="14"/>
      <c r="Q49" s="14"/>
      <c r="R49" s="14"/>
      <c r="S49" s="14"/>
      <c r="W49" s="2309"/>
      <c r="X49" s="494"/>
    </row>
    <row r="50" spans="1:24" s="102" customFormat="1" ht="12" customHeight="1" x14ac:dyDescent="0.2">
      <c r="A50" s="436"/>
      <c r="B50" s="14"/>
      <c r="C50" s="14"/>
      <c r="D50" s="94"/>
      <c r="E50" s="898"/>
      <c r="F50" s="14"/>
      <c r="G50" s="14"/>
      <c r="H50" s="99"/>
      <c r="I50" s="98" t="s">
        <v>804</v>
      </c>
      <c r="J50" s="2834"/>
      <c r="K50" s="2834"/>
      <c r="L50" s="2835" t="s">
        <v>970</v>
      </c>
      <c r="M50" s="2835"/>
      <c r="N50" s="2836"/>
      <c r="O50" s="2836"/>
      <c r="P50" s="14"/>
      <c r="Q50" s="14"/>
      <c r="R50" s="14"/>
      <c r="S50" s="14"/>
      <c r="W50" s="2317"/>
      <c r="X50" s="494"/>
    </row>
    <row r="51" spans="1:24" s="102" customFormat="1" ht="9" customHeight="1" x14ac:dyDescent="0.2">
      <c r="A51" s="436"/>
      <c r="B51" s="14"/>
      <c r="C51" s="14"/>
      <c r="D51" s="2"/>
      <c r="E51" s="14"/>
      <c r="F51" s="14"/>
      <c r="G51" s="14"/>
      <c r="H51" s="99"/>
      <c r="I51" s="98"/>
      <c r="J51" s="4"/>
      <c r="K51" s="4"/>
      <c r="L51" s="98"/>
      <c r="M51" s="98"/>
      <c r="N51" s="94"/>
      <c r="O51" s="94"/>
      <c r="P51" s="14"/>
      <c r="Q51" s="14"/>
      <c r="R51" s="14"/>
      <c r="S51" s="14"/>
      <c r="W51" s="2317"/>
      <c r="X51" s="494"/>
    </row>
    <row r="52" spans="1:24" s="102" customFormat="1" ht="12.75" customHeight="1" x14ac:dyDescent="0.2">
      <c r="A52" s="436"/>
      <c r="B52" s="14" t="str">
        <f>CONCATENATE("Do the fiscal year ",+TEXT(Data!$A$6,"yyyy")," principal requirements (including debt with interest rate swaps on 320) agree with")</f>
        <v>Do the fiscal year 2023 principal requirements (including debt with interest rate swaps on 320) agree with</v>
      </c>
      <c r="C52" s="14"/>
      <c r="D52" s="2"/>
      <c r="E52" s="14"/>
      <c r="F52" s="14"/>
      <c r="G52" s="14"/>
      <c r="H52" s="99"/>
      <c r="I52" s="98"/>
      <c r="J52" s="4"/>
      <c r="K52" s="4"/>
      <c r="L52" s="98"/>
      <c r="M52" s="98"/>
      <c r="N52" s="94"/>
      <c r="O52" s="94"/>
      <c r="P52" s="14"/>
      <c r="Q52" s="14"/>
      <c r="R52" s="14"/>
      <c r="S52" s="14"/>
      <c r="W52" s="2317"/>
      <c r="X52" s="494"/>
    </row>
    <row r="53" spans="1:24" s="102" customFormat="1" ht="12.75" customHeight="1" x14ac:dyDescent="0.2">
      <c r="A53" s="436"/>
      <c r="B53" s="102" t="s">
        <v>1005</v>
      </c>
      <c r="C53" s="14"/>
      <c r="D53" s="2"/>
      <c r="E53" s="14"/>
      <c r="F53" s="14"/>
      <c r="G53" s="14"/>
      <c r="H53" s="99"/>
      <c r="I53" s="98"/>
      <c r="J53" s="4"/>
      <c r="K53" s="4"/>
      <c r="L53" s="98"/>
      <c r="M53" s="98"/>
      <c r="N53" s="94"/>
      <c r="O53" s="94"/>
      <c r="P53" s="14"/>
      <c r="Q53" s="14"/>
      <c r="R53" s="14"/>
      <c r="S53" s="14"/>
      <c r="W53" s="2317"/>
      <c r="X53" s="494"/>
    </row>
    <row r="54" spans="1:24" s="102" customFormat="1" ht="12.75" customHeight="1" x14ac:dyDescent="0.2">
      <c r="A54" s="436"/>
      <c r="B54" s="15" t="s">
        <v>1315</v>
      </c>
      <c r="C54" s="14"/>
      <c r="D54" s="2"/>
      <c r="E54" s="14"/>
      <c r="F54" s="14"/>
      <c r="G54" s="14"/>
      <c r="H54" s="99"/>
      <c r="I54" s="98"/>
      <c r="J54" s="4"/>
      <c r="K54" s="4"/>
      <c r="L54" s="98"/>
      <c r="M54" s="98"/>
      <c r="N54" s="94"/>
      <c r="O54" s="94"/>
      <c r="P54" s="14"/>
      <c r="Q54" s="14"/>
      <c r="R54" s="14"/>
      <c r="S54" s="14"/>
      <c r="W54" s="2317"/>
      <c r="X54" s="494"/>
    </row>
    <row r="55" spans="1:24" s="102" customFormat="1" ht="12" customHeight="1" x14ac:dyDescent="0.2">
      <c r="A55" s="436"/>
      <c r="B55" s="14"/>
      <c r="C55" s="14"/>
      <c r="D55" s="94"/>
      <c r="E55" s="898"/>
      <c r="F55" s="14"/>
      <c r="H55" s="99"/>
      <c r="I55" s="98" t="s">
        <v>804</v>
      </c>
      <c r="J55" s="2834"/>
      <c r="K55" s="2834"/>
      <c r="L55" s="2835" t="s">
        <v>970</v>
      </c>
      <c r="M55" s="2835"/>
      <c r="N55" s="2836"/>
      <c r="O55" s="2836"/>
      <c r="P55" s="14"/>
      <c r="Q55" s="14"/>
      <c r="R55" s="14"/>
      <c r="S55" s="14"/>
      <c r="W55" s="2317"/>
      <c r="X55" s="494"/>
    </row>
    <row r="56" spans="1:24" s="102" customFormat="1" ht="6" customHeight="1" x14ac:dyDescent="0.2">
      <c r="A56" s="436"/>
      <c r="B56" s="14"/>
      <c r="C56" s="14"/>
      <c r="D56" s="94"/>
      <c r="E56" s="14"/>
      <c r="F56" s="14"/>
      <c r="G56" s="95"/>
      <c r="H56" s="99"/>
      <c r="I56" s="98"/>
      <c r="J56" s="4"/>
      <c r="K56" s="4"/>
      <c r="L56" s="98"/>
      <c r="M56" s="98"/>
      <c r="N56" s="94"/>
      <c r="O56" s="94"/>
      <c r="P56" s="14"/>
      <c r="Q56" s="14"/>
      <c r="R56" s="14"/>
      <c r="S56" s="14"/>
      <c r="W56" s="2317"/>
      <c r="X56" s="494"/>
    </row>
    <row r="57" spans="1:24" s="102" customFormat="1" ht="12.75" customHeight="1" x14ac:dyDescent="0.2">
      <c r="A57" s="436"/>
      <c r="C57" s="2849" t="s">
        <v>1320</v>
      </c>
      <c r="D57" s="2849"/>
      <c r="E57" s="2849"/>
      <c r="F57" s="2839"/>
      <c r="G57" s="2839"/>
      <c r="H57" s="2839"/>
      <c r="I57" s="2839"/>
      <c r="J57" s="2839"/>
      <c r="K57" s="2839"/>
      <c r="L57" s="2839"/>
      <c r="M57" s="2839"/>
      <c r="N57" s="2839"/>
      <c r="O57" s="2839"/>
      <c r="P57" s="2839"/>
      <c r="Q57" s="14"/>
      <c r="R57" s="14"/>
      <c r="S57" s="14"/>
      <c r="W57" s="2317"/>
      <c r="X57" s="494"/>
    </row>
    <row r="58" spans="1:24" s="102" customFormat="1" ht="12.75" customHeight="1" x14ac:dyDescent="0.2">
      <c r="A58" s="436"/>
      <c r="B58" s="14"/>
      <c r="C58" s="2839"/>
      <c r="D58" s="2839"/>
      <c r="E58" s="2839"/>
      <c r="F58" s="2839"/>
      <c r="G58" s="2839"/>
      <c r="H58" s="2839"/>
      <c r="I58" s="2839"/>
      <c r="J58" s="2839"/>
      <c r="K58" s="2839"/>
      <c r="L58" s="2839"/>
      <c r="M58" s="2839"/>
      <c r="N58" s="2839"/>
      <c r="O58" s="2839"/>
      <c r="P58" s="2839"/>
      <c r="Q58" s="14"/>
      <c r="R58" s="14"/>
      <c r="S58" s="14"/>
      <c r="W58" s="2317"/>
      <c r="X58" s="494"/>
    </row>
    <row r="59" spans="1:24" s="102" customFormat="1" ht="9" customHeight="1" x14ac:dyDescent="0.2">
      <c r="A59" s="436"/>
      <c r="B59" s="14"/>
      <c r="C59" s="14"/>
      <c r="D59" s="2"/>
      <c r="E59" s="14"/>
      <c r="F59" s="14"/>
      <c r="G59" s="14"/>
      <c r="H59" s="99"/>
      <c r="I59" s="98"/>
      <c r="J59" s="4"/>
      <c r="K59" s="4"/>
      <c r="L59" s="98"/>
      <c r="M59" s="98"/>
      <c r="N59" s="94"/>
      <c r="O59" s="94"/>
      <c r="P59" s="14"/>
      <c r="Q59" s="14"/>
      <c r="R59" s="14"/>
      <c r="S59" s="14"/>
      <c r="W59" s="2317"/>
      <c r="X59" s="494"/>
    </row>
    <row r="60" spans="1:24" s="102" customFormat="1" ht="12.75" customHeight="1" x14ac:dyDescent="0.2">
      <c r="A60" s="436"/>
      <c r="B60" s="14" t="s">
        <v>1317</v>
      </c>
      <c r="C60" s="14"/>
      <c r="D60" s="2"/>
      <c r="E60" s="14"/>
      <c r="F60" s="14"/>
      <c r="G60" s="14"/>
      <c r="H60" s="99"/>
      <c r="I60" s="98"/>
      <c r="J60" s="4"/>
      <c r="K60" s="4"/>
      <c r="L60" s="98"/>
      <c r="M60" s="98"/>
      <c r="N60" s="94"/>
      <c r="O60" s="94"/>
      <c r="P60" s="14"/>
      <c r="Q60" s="14"/>
      <c r="R60" s="14"/>
      <c r="S60" s="14"/>
      <c r="W60" s="2317"/>
      <c r="X60" s="494"/>
    </row>
    <row r="61" spans="1:24" s="102" customFormat="1" ht="12" customHeight="1" x14ac:dyDescent="0.2">
      <c r="A61" s="436"/>
      <c r="B61" s="15" t="s">
        <v>1318</v>
      </c>
      <c r="C61" s="14"/>
      <c r="D61" s="2"/>
      <c r="E61" s="14"/>
      <c r="F61" s="14"/>
      <c r="G61" s="14"/>
      <c r="H61" s="99"/>
      <c r="I61" s="98" t="s">
        <v>804</v>
      </c>
      <c r="J61" s="2834"/>
      <c r="K61" s="2834"/>
      <c r="L61" s="2835" t="s">
        <v>970</v>
      </c>
      <c r="M61" s="2835"/>
      <c r="N61" s="2836"/>
      <c r="O61" s="2836"/>
      <c r="P61" s="14"/>
      <c r="Q61" s="14"/>
      <c r="R61" s="14"/>
      <c r="S61" s="14"/>
      <c r="W61" s="2317"/>
      <c r="X61" s="494"/>
    </row>
    <row r="62" spans="1:24" s="102" customFormat="1" ht="15" customHeight="1" x14ac:dyDescent="0.2">
      <c r="A62" s="436"/>
      <c r="C62" s="14" t="s">
        <v>1314</v>
      </c>
      <c r="D62" s="94"/>
      <c r="E62" s="94"/>
      <c r="F62" s="94"/>
      <c r="G62" s="94"/>
      <c r="H62" s="99"/>
      <c r="I62" s="434"/>
      <c r="J62" s="905"/>
      <c r="K62" s="905"/>
      <c r="L62" s="98"/>
      <c r="M62" s="98"/>
      <c r="N62" s="902"/>
      <c r="O62" s="902"/>
      <c r="P62" s="14"/>
      <c r="Q62" s="14"/>
      <c r="R62" s="14"/>
      <c r="S62" s="14"/>
      <c r="W62" s="2317"/>
      <c r="X62" s="494"/>
    </row>
    <row r="63" spans="1:24" s="102" customFormat="1" ht="6" customHeight="1" x14ac:dyDescent="0.2">
      <c r="A63" s="436"/>
      <c r="B63" s="14"/>
      <c r="C63" s="14"/>
      <c r="D63" s="2"/>
      <c r="E63" s="14"/>
      <c r="F63" s="14"/>
      <c r="G63" s="14"/>
      <c r="H63" s="99"/>
      <c r="I63" s="98"/>
      <c r="J63" s="904"/>
      <c r="K63" s="904"/>
      <c r="L63" s="98"/>
      <c r="M63" s="98"/>
      <c r="N63" s="902"/>
      <c r="O63" s="902"/>
      <c r="P63" s="14"/>
      <c r="Q63" s="14"/>
      <c r="R63" s="14"/>
      <c r="S63" s="14"/>
      <c r="W63" s="2317"/>
      <c r="X63" s="494"/>
    </row>
    <row r="64" spans="1:24" s="102" customFormat="1" ht="8.1" customHeight="1" thickBot="1" x14ac:dyDescent="0.25">
      <c r="A64" s="436"/>
      <c r="B64" s="432"/>
      <c r="C64" s="432"/>
      <c r="D64" s="432"/>
      <c r="E64" s="432"/>
      <c r="F64" s="432"/>
      <c r="G64" s="432"/>
      <c r="H64" s="432"/>
      <c r="I64" s="432"/>
      <c r="J64" s="432"/>
      <c r="K64" s="432"/>
      <c r="L64" s="432"/>
      <c r="M64" s="432"/>
      <c r="N64" s="432"/>
      <c r="O64" s="432"/>
      <c r="P64" s="432"/>
      <c r="Q64" s="14"/>
      <c r="R64" s="14"/>
      <c r="S64" s="14"/>
      <c r="W64" s="2317"/>
      <c r="X64" s="494"/>
    </row>
    <row r="65" spans="1:24" s="102" customFormat="1" ht="7.35" customHeight="1" x14ac:dyDescent="0.2">
      <c r="A65" s="436"/>
      <c r="B65" s="14"/>
      <c r="C65" s="14"/>
      <c r="D65" s="14"/>
      <c r="E65" s="14"/>
      <c r="F65" s="14"/>
      <c r="G65" s="14"/>
      <c r="H65" s="14"/>
      <c r="I65" s="14"/>
      <c r="J65" s="14"/>
      <c r="K65" s="14"/>
      <c r="L65" s="14"/>
      <c r="M65" s="14"/>
      <c r="N65" s="14"/>
      <c r="O65" s="14"/>
      <c r="P65" s="14"/>
      <c r="Q65" s="14"/>
      <c r="R65" s="14"/>
      <c r="S65" s="14"/>
      <c r="W65" s="2317"/>
      <c r="X65" s="494"/>
    </row>
    <row r="66" spans="1:24" s="102" customFormat="1" ht="12" customHeight="1" x14ac:dyDescent="0.2">
      <c r="A66" s="436"/>
      <c r="B66" s="2" t="s">
        <v>1728</v>
      </c>
      <c r="C66" s="2"/>
      <c r="D66" s="14"/>
      <c r="E66" s="14"/>
      <c r="F66" s="14"/>
      <c r="G66" s="14"/>
      <c r="H66" s="14"/>
      <c r="I66" s="14"/>
      <c r="J66" s="14"/>
      <c r="K66" s="14"/>
      <c r="L66" s="14"/>
      <c r="M66" s="14"/>
      <c r="N66" s="14"/>
      <c r="O66" s="14"/>
      <c r="P66" s="14"/>
      <c r="Q66" s="14"/>
      <c r="R66" s="14"/>
      <c r="S66" s="14"/>
      <c r="W66" s="2317"/>
      <c r="X66" s="494"/>
    </row>
    <row r="67" spans="1:24" s="102" customFormat="1" ht="15" customHeight="1" x14ac:dyDescent="0.2">
      <c r="A67" s="436"/>
      <c r="B67" s="2837" t="s">
        <v>3442</v>
      </c>
      <c r="C67" s="2838"/>
      <c r="D67" s="2838"/>
      <c r="E67" s="2838"/>
      <c r="F67" s="2838"/>
      <c r="G67" s="2838"/>
      <c r="H67" s="2838"/>
      <c r="I67" s="2838"/>
      <c r="J67" s="2838"/>
      <c r="K67" s="901"/>
      <c r="L67" s="901"/>
      <c r="M67" s="901"/>
      <c r="N67" s="901"/>
      <c r="O67" s="901"/>
      <c r="P67" s="901"/>
      <c r="Q67" s="14"/>
      <c r="R67" s="14"/>
      <c r="S67" s="14"/>
      <c r="W67" s="2317"/>
      <c r="X67" s="494"/>
    </row>
    <row r="68" spans="1:24" s="102" customFormat="1" ht="12" customHeight="1" x14ac:dyDescent="0.2">
      <c r="A68" s="436"/>
      <c r="B68" s="14"/>
      <c r="C68" s="14"/>
      <c r="D68" s="14"/>
      <c r="E68" s="14"/>
      <c r="F68" s="14"/>
      <c r="G68" s="14"/>
      <c r="H68" s="14"/>
      <c r="I68" s="98" t="s">
        <v>804</v>
      </c>
      <c r="J68" s="2834"/>
      <c r="K68" s="2834"/>
      <c r="L68" s="2835" t="s">
        <v>970</v>
      </c>
      <c r="M68" s="2835"/>
      <c r="N68" s="2836"/>
      <c r="O68" s="2836"/>
      <c r="P68" s="14"/>
      <c r="Q68" s="14"/>
      <c r="R68" s="14"/>
      <c r="S68" s="14"/>
      <c r="W68" s="2317"/>
      <c r="X68" s="494"/>
    </row>
    <row r="69" spans="1:24" s="102" customFormat="1" ht="8.1" customHeight="1" x14ac:dyDescent="0.2">
      <c r="A69" s="436"/>
      <c r="B69" s="14"/>
      <c r="C69" s="14"/>
      <c r="D69" s="14"/>
      <c r="E69" s="14"/>
      <c r="F69" s="14"/>
      <c r="G69" s="14"/>
      <c r="H69" s="14"/>
      <c r="I69" s="98"/>
      <c r="J69" s="4"/>
      <c r="K69" s="4"/>
      <c r="L69" s="98"/>
      <c r="M69" s="98"/>
      <c r="N69" s="94"/>
      <c r="O69" s="94"/>
      <c r="P69" s="14"/>
      <c r="Q69" s="14"/>
      <c r="R69" s="14"/>
      <c r="S69" s="14"/>
      <c r="W69" s="2317"/>
      <c r="X69" s="494"/>
    </row>
    <row r="70" spans="1:24" s="102" customFormat="1" ht="12" customHeight="1" x14ac:dyDescent="0.2">
      <c r="A70" s="436"/>
      <c r="B70" s="15" t="s">
        <v>1729</v>
      </c>
      <c r="C70" s="14"/>
      <c r="D70" s="14"/>
      <c r="E70" s="14"/>
      <c r="F70" s="14"/>
      <c r="G70" s="14"/>
      <c r="H70" s="14"/>
      <c r="I70" s="98"/>
      <c r="J70" s="4"/>
      <c r="K70" s="4"/>
      <c r="L70" s="98"/>
      <c r="M70" s="98"/>
      <c r="N70" s="94"/>
      <c r="O70" s="94"/>
      <c r="P70" s="14"/>
      <c r="Q70" s="14"/>
      <c r="R70" s="14"/>
      <c r="S70" s="14"/>
      <c r="W70" s="2317"/>
      <c r="X70" s="494"/>
    </row>
    <row r="71" spans="1:24" s="102" customFormat="1" ht="12" customHeight="1" x14ac:dyDescent="0.2">
      <c r="A71" s="436"/>
      <c r="B71" s="272" t="s">
        <v>1816</v>
      </c>
      <c r="C71" s="2"/>
      <c r="D71" s="14"/>
      <c r="E71" s="14"/>
      <c r="F71" s="14"/>
      <c r="G71" s="14"/>
      <c r="H71" s="14"/>
      <c r="I71" s="433"/>
      <c r="J71" s="433"/>
      <c r="K71" s="433"/>
      <c r="L71" s="433"/>
      <c r="M71" s="433"/>
      <c r="N71" s="14"/>
      <c r="O71" s="433"/>
      <c r="P71" s="14"/>
      <c r="Q71" s="14"/>
      <c r="R71" s="14"/>
      <c r="S71" s="14"/>
      <c r="W71" s="2317"/>
      <c r="X71" s="494"/>
    </row>
    <row r="72" spans="1:24" ht="15" customHeight="1" x14ac:dyDescent="0.2">
      <c r="W72" s="2317"/>
    </row>
    <row r="73" spans="1:24" ht="12.75" x14ac:dyDescent="0.2">
      <c r="W73" s="2317"/>
    </row>
    <row r="75" spans="1:24" s="440" customFormat="1" ht="15" x14ac:dyDescent="0.2">
      <c r="A75" s="443" t="str">
        <f ca="1">MID(CELL("filename",A1),FIND("]",CELL("filename",A1))+1,256)</f>
        <v>315</v>
      </c>
      <c r="B75" s="443" t="s">
        <v>449</v>
      </c>
      <c r="W75" s="2325"/>
      <c r="X75" s="2326"/>
    </row>
    <row r="76" spans="1:24" s="440" customFormat="1" ht="15" x14ac:dyDescent="0.2">
      <c r="A76" s="443" t="s">
        <v>446</v>
      </c>
      <c r="B76" s="443" t="str">
        <f t="shared" ref="B76:B85" ca="1" si="4">IF(ISNA(INDEX(ErrorTable,MATCH($A$75&amp;$A76&amp;FALSE,ErrorKey,0),6)),"",INDEX(ErrorTable,MATCH($A$75&amp;$A76&amp;FALSE,ErrorKey,0),6))</f>
        <v/>
      </c>
      <c r="W76" s="2325"/>
      <c r="X76" s="2326"/>
    </row>
    <row r="77" spans="1:24" s="440" customFormat="1" ht="15" x14ac:dyDescent="0.2">
      <c r="A77" s="443" t="s">
        <v>447</v>
      </c>
      <c r="B77" s="443" t="str">
        <f t="shared" ca="1" si="4"/>
        <v/>
      </c>
      <c r="W77" s="2327"/>
      <c r="X77" s="2326"/>
    </row>
    <row r="78" spans="1:24" s="440" customFormat="1" ht="15" x14ac:dyDescent="0.2">
      <c r="A78" s="443" t="s">
        <v>448</v>
      </c>
      <c r="B78" s="443" t="str">
        <f ca="1">IF(ISNA(INDEX(ErrorTable,MATCH($A$75&amp;$A78&amp;FALSE,ErrorKey,0),6)),"",INDEX(ErrorTable,MATCH($A$75&amp;$A78&amp;FALSE,ErrorKey,0),6))</f>
        <v/>
      </c>
      <c r="W78" s="2327"/>
      <c r="X78" s="2326"/>
    </row>
    <row r="79" spans="1:24" s="440" customFormat="1" ht="15" x14ac:dyDescent="0.2">
      <c r="A79" s="443" t="s">
        <v>450</v>
      </c>
      <c r="B79" s="443" t="str">
        <f ca="1">IF(ISNA(INDEX(ErrorTable,MATCH($A$75&amp;$A79&amp;FALSE,ErrorKey,0),6)),"",INDEX(ErrorTable,MATCH($A$75&amp;$A79&amp;FALSE,ErrorKey,0),6))</f>
        <v>Original issue amount is blank.</v>
      </c>
      <c r="W79" s="2327"/>
      <c r="X79" s="2326"/>
    </row>
    <row r="80" spans="1:24" s="440" customFormat="1" ht="15" x14ac:dyDescent="0.2">
      <c r="A80" s="443" t="s">
        <v>451</v>
      </c>
      <c r="B80" s="443" t="str">
        <f ca="1">IF(ISNA(INDEX(ErrorTable,MATCH($A$75&amp;$A80&amp;FALSE,ErrorKey,0),6)),"",INDEX(ErrorTable,MATCH($A$75&amp;$A80&amp;FALSE,ErrorKey,0),6))</f>
        <v>"From" interest rate is blank.</v>
      </c>
      <c r="W80" s="2327"/>
      <c r="X80" s="2326"/>
    </row>
    <row r="81" spans="1:24" s="440" customFormat="1" ht="15" x14ac:dyDescent="0.2">
      <c r="A81" s="443" t="s">
        <v>452</v>
      </c>
      <c r="B81" s="443" t="str">
        <f ca="1">IF(ISNA(INDEX(ErrorTable,MATCH($A$75&amp;$A81&amp;FALSE,ErrorKey,0),6)),"",INDEX(ErrorTable,MATCH($A$75&amp;$A81&amp;FALSE,ErrorKey,0),6))</f>
        <v>"To" interest rate is blank.</v>
      </c>
      <c r="W81" s="2327"/>
      <c r="X81" s="2326"/>
    </row>
    <row r="82" spans="1:24" s="440" customFormat="1" ht="15" x14ac:dyDescent="0.2">
      <c r="A82" s="443" t="s">
        <v>453</v>
      </c>
      <c r="B82" s="443" t="str">
        <f ca="1">IF(ISNA(INDEX(ErrorTable,MATCH($A$75&amp;$A82&amp;FALSE,ErrorKey,0),6)),"",INDEX(ErrorTable,MATCH($A$75&amp;$A82&amp;FALSE,ErrorKey,0),6))</f>
        <v>Final maturity date is blank.</v>
      </c>
      <c r="W82" s="2327"/>
      <c r="X82" s="2326"/>
    </row>
    <row r="83" spans="1:24" s="440" customFormat="1" ht="15" x14ac:dyDescent="0.2">
      <c r="A83" s="443" t="s">
        <v>454</v>
      </c>
      <c r="B83" s="443" t="str">
        <f t="shared" ca="1" si="4"/>
        <v/>
      </c>
      <c r="W83" s="2327"/>
      <c r="X83" s="2326"/>
    </row>
    <row r="84" spans="1:24" s="440" customFormat="1" ht="15" x14ac:dyDescent="0.2">
      <c r="A84" s="443" t="s">
        <v>455</v>
      </c>
      <c r="B84" s="443" t="str">
        <f t="shared" ca="1" si="4"/>
        <v/>
      </c>
      <c r="W84" s="2327"/>
      <c r="X84" s="2326"/>
    </row>
    <row r="85" spans="1:24" s="440" customFormat="1" ht="15" x14ac:dyDescent="0.2">
      <c r="A85" s="443" t="s">
        <v>456</v>
      </c>
      <c r="B85" s="443" t="str">
        <f t="shared" ca="1" si="4"/>
        <v/>
      </c>
      <c r="W85" s="2327"/>
      <c r="X85" s="2326"/>
    </row>
    <row r="86" spans="1:24" s="440" customFormat="1" ht="15" x14ac:dyDescent="0.2">
      <c r="A86" s="443"/>
      <c r="W86" s="2327"/>
      <c r="X86" s="2326"/>
    </row>
    <row r="87" spans="1:24" s="440" customFormat="1" ht="15" x14ac:dyDescent="0.2">
      <c r="A87" s="443"/>
      <c r="W87" s="2327"/>
      <c r="X87" s="2326"/>
    </row>
    <row r="88" spans="1:24" s="440" customFormat="1" ht="15" x14ac:dyDescent="0.2">
      <c r="A88" s="443"/>
      <c r="W88" s="2327"/>
      <c r="X88" s="2326"/>
    </row>
    <row r="89" spans="1:24" s="440" customFormat="1" ht="15" x14ac:dyDescent="0.2">
      <c r="A89" s="443"/>
      <c r="W89" s="2327"/>
      <c r="X89" s="2326"/>
    </row>
    <row r="90" spans="1:24" s="440" customFormat="1" ht="15" x14ac:dyDescent="0.2">
      <c r="A90" s="443"/>
      <c r="W90" s="2327"/>
      <c r="X90" s="2326"/>
    </row>
    <row r="91" spans="1:24" s="440" customFormat="1" ht="15" x14ac:dyDescent="0.2">
      <c r="A91" s="443"/>
      <c r="W91" s="2327"/>
      <c r="X91" s="2326"/>
    </row>
    <row r="92" spans="1:24" s="440" customFormat="1" ht="15" x14ac:dyDescent="0.2">
      <c r="A92" s="443"/>
      <c r="W92" s="2327"/>
      <c r="X92" s="2326"/>
    </row>
    <row r="93" spans="1:24" s="440" customFormat="1" ht="15" x14ac:dyDescent="0.2">
      <c r="A93" s="443"/>
      <c r="W93" s="2327"/>
      <c r="X93" s="2326"/>
    </row>
    <row r="94" spans="1:24" s="440" customFormat="1" ht="15" x14ac:dyDescent="0.2">
      <c r="A94" s="443"/>
      <c r="W94" s="2327"/>
      <c r="X94" s="2326"/>
    </row>
    <row r="95" spans="1:24" s="440" customFormat="1" ht="15" x14ac:dyDescent="0.2">
      <c r="A95" s="443"/>
      <c r="W95" s="2327"/>
      <c r="X95" s="2326"/>
    </row>
    <row r="96" spans="1:24" s="440" customFormat="1" ht="15" x14ac:dyDescent="0.2">
      <c r="A96" s="443"/>
      <c r="W96" s="2327"/>
      <c r="X96" s="2326"/>
    </row>
    <row r="97" spans="1:24" s="440" customFormat="1" ht="15" x14ac:dyDescent="0.2">
      <c r="A97" s="443"/>
      <c r="W97" s="2327"/>
      <c r="X97" s="2326"/>
    </row>
    <row r="98" spans="1:24" s="440" customFormat="1" ht="15" x14ac:dyDescent="0.2">
      <c r="A98" s="443"/>
      <c r="W98" s="2327"/>
      <c r="X98" s="2326"/>
    </row>
    <row r="99" spans="1:24" s="440" customFormat="1" ht="15" x14ac:dyDescent="0.2">
      <c r="A99" s="443"/>
      <c r="W99" s="2327"/>
      <c r="X99" s="2326"/>
    </row>
    <row r="100" spans="1:24" s="440" customFormat="1" ht="15" x14ac:dyDescent="0.2">
      <c r="A100" s="443"/>
      <c r="W100" s="2327"/>
      <c r="X100" s="2326"/>
    </row>
    <row r="101" spans="1:24" s="440" customFormat="1" ht="15" x14ac:dyDescent="0.2">
      <c r="A101" s="443"/>
      <c r="W101" s="2327"/>
      <c r="X101" s="2326"/>
    </row>
    <row r="102" spans="1:24" s="440" customFormat="1" ht="15" x14ac:dyDescent="0.2">
      <c r="A102" s="443"/>
      <c r="W102" s="2327"/>
      <c r="X102" s="2326"/>
    </row>
    <row r="103" spans="1:24" s="440" customFormat="1" ht="15" x14ac:dyDescent="0.2">
      <c r="A103" s="443"/>
      <c r="W103" s="2327"/>
      <c r="X103" s="2326"/>
    </row>
    <row r="104" spans="1:24" s="440" customFormat="1" ht="15" x14ac:dyDescent="0.2">
      <c r="A104" s="443"/>
      <c r="W104" s="2327"/>
      <c r="X104" s="2326"/>
    </row>
    <row r="105" spans="1:24" ht="15" x14ac:dyDescent="0.2">
      <c r="W105" s="2327"/>
    </row>
    <row r="106" spans="1:24" ht="15" x14ac:dyDescent="0.2">
      <c r="W106" s="2327"/>
    </row>
  </sheetData>
  <sheetProtection algorithmName="SHA-512" hashValue="JkaqUH3Ep/A2hukB8egV44tzeKsj0pO6sKMhbISFKRt84D0qY2BNd7vuc2rCXcdXgMRqkwmLHb4L/w2Gsfg1hQ==" saltValue="S4W2yCE6uuFFj2B8fKoIlw==" spinCount="100000" sheet="1" objects="1" scenarios="1" autoFilter="0"/>
  <customSheetViews>
    <customSheetView guid="{B08879A4-635B-4C39-9937-AC7883D562FC}" showGridLines="0" fitToPage="1" hiddenRows="1" hiddenColumns="1" topLeftCell="B29">
      <selection activeCell="L78" sqref="L78"/>
      <pageMargins left="0.7" right="0.5" top="0.5" bottom="0.5" header="0.5" footer="0.3"/>
      <pageSetup scale="98" orientation="portrait" r:id="rId1"/>
      <headerFooter alignWithMargins="0">
        <oddFooter>&amp;R&amp;A</oddFooter>
      </headerFooter>
    </customSheetView>
    <customSheetView guid="{9FCFC836-1CA5-48BF-958D-24D2EA94B219}" showGridLines="0" fitToPage="1" hiddenRows="1" hiddenColumns="1" topLeftCell="B29">
      <selection activeCell="L78" sqref="L78"/>
      <pageMargins left="0.7" right="0.5" top="0.5" bottom="0.5" header="0.5" footer="0.3"/>
      <pageSetup scale="98" orientation="portrait" r:id="rId2"/>
      <headerFooter alignWithMargins="0">
        <oddFooter>&amp;R&amp;A</oddFooter>
      </headerFooter>
    </customSheetView>
  </customSheetViews>
  <mergeCells count="36">
    <mergeCell ref="K38:P40"/>
    <mergeCell ref="K41:M41"/>
    <mergeCell ref="N41:P41"/>
    <mergeCell ref="K36:P36"/>
    <mergeCell ref="N42:P42"/>
    <mergeCell ref="K42:M42"/>
    <mergeCell ref="K46:P46"/>
    <mergeCell ref="K44:P45"/>
    <mergeCell ref="L55:M55"/>
    <mergeCell ref="N55:O55"/>
    <mergeCell ref="C57:E57"/>
    <mergeCell ref="J55:K55"/>
    <mergeCell ref="J68:K68"/>
    <mergeCell ref="L68:M68"/>
    <mergeCell ref="N68:O68"/>
    <mergeCell ref="J50:K50"/>
    <mergeCell ref="L50:M50"/>
    <mergeCell ref="L61:M61"/>
    <mergeCell ref="N61:O61"/>
    <mergeCell ref="J61:K61"/>
    <mergeCell ref="B67:J67"/>
    <mergeCell ref="F57:P57"/>
    <mergeCell ref="C58:P58"/>
    <mergeCell ref="N50:O50"/>
    <mergeCell ref="Q1:Q3"/>
    <mergeCell ref="K33:P35"/>
    <mergeCell ref="I7:P7"/>
    <mergeCell ref="I8:P8"/>
    <mergeCell ref="I9:P9"/>
    <mergeCell ref="B1:P1"/>
    <mergeCell ref="B2:P2"/>
    <mergeCell ref="B3:P3"/>
    <mergeCell ref="B4:P4"/>
    <mergeCell ref="G6:P6"/>
    <mergeCell ref="I10:P10"/>
    <mergeCell ref="B5:P5"/>
  </mergeCells>
  <phoneticPr fontId="15" type="noConversion"/>
  <conditionalFormatting sqref="Q1:Q3">
    <cfRule type="cellIs" dxfId="137"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7" right="0.5" top="0.5" bottom="0.5" header="0.5" footer="0.3"/>
  <pageSetup scale="86" orientation="portrait" r:id="rId3"/>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pageSetUpPr fitToPage="1"/>
  </sheetPr>
  <dimension ref="A1:AG82"/>
  <sheetViews>
    <sheetView showGridLines="0" topLeftCell="B1" zoomScaleNormal="100" workbookViewId="0">
      <selection activeCell="E8" sqref="E8"/>
    </sheetView>
  </sheetViews>
  <sheetFormatPr defaultColWidth="9.42578125" defaultRowHeight="11.25" x14ac:dyDescent="0.2"/>
  <cols>
    <col min="1" max="1" width="9.42578125" style="442" hidden="1" customWidth="1"/>
    <col min="2" max="2" width="1.5703125" style="19" customWidth="1"/>
    <col min="3" max="3" width="6.5703125" style="19" customWidth="1"/>
    <col min="4" max="4" width="5.5703125" style="19" customWidth="1"/>
    <col min="5" max="5" width="11" style="19" customWidth="1"/>
    <col min="6" max="6" width="3.5703125" style="19" customWidth="1"/>
    <col min="7" max="7" width="15.5703125" style="19" customWidth="1"/>
    <col min="8" max="8" width="1.5703125" style="19" customWidth="1"/>
    <col min="9" max="9" width="15.5703125" style="19" customWidth="1"/>
    <col min="10" max="10" width="1.5703125" style="19" customWidth="1"/>
    <col min="11" max="11" width="15.5703125" style="19" customWidth="1"/>
    <col min="12" max="12" width="1.5703125" style="19" customWidth="1"/>
    <col min="13" max="18" width="3.42578125" style="19" customWidth="1"/>
    <col min="19" max="19" width="4.5703125" style="19" customWidth="1"/>
    <col min="20" max="20" width="0" style="19" hidden="1" customWidth="1"/>
    <col min="21" max="22" width="9.42578125" style="442" hidden="1" customWidth="1"/>
    <col min="23" max="16384" width="9.42578125" style="19"/>
  </cols>
  <sheetData>
    <row r="1" spans="1:33" s="16" customFormat="1" ht="15" customHeight="1" x14ac:dyDescent="0.25">
      <c r="A1" s="441"/>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829" t="str">
        <f>IF(Index!$B$33="na","NA","")</f>
        <v/>
      </c>
      <c r="U1" s="441"/>
      <c r="V1" s="441"/>
      <c r="AG1" s="17"/>
    </row>
    <row r="2" spans="1:33" s="16" customFormat="1" ht="15" customHeight="1" x14ac:dyDescent="0.25">
      <c r="A2" s="441"/>
      <c r="B2" s="2827" t="str">
        <f>+Index!$A$2</f>
        <v>2022 ACFR Worksheets</v>
      </c>
      <c r="C2" s="2827"/>
      <c r="D2" s="2827"/>
      <c r="E2" s="2827"/>
      <c r="F2" s="2827"/>
      <c r="G2" s="2827"/>
      <c r="H2" s="2827"/>
      <c r="I2" s="2827"/>
      <c r="J2" s="2827"/>
      <c r="K2" s="2827"/>
      <c r="L2" s="2827"/>
      <c r="M2" s="2827"/>
      <c r="N2" s="2827"/>
      <c r="O2" s="2827"/>
      <c r="P2" s="2827"/>
      <c r="Q2" s="2827"/>
      <c r="R2" s="2827"/>
      <c r="S2" s="2829"/>
      <c r="U2" s="441"/>
      <c r="V2" s="441"/>
    </row>
    <row r="3" spans="1:33" s="16" customFormat="1" ht="15" customHeight="1" x14ac:dyDescent="0.25">
      <c r="A3" s="441"/>
      <c r="B3" s="2827" t="s">
        <v>3501</v>
      </c>
      <c r="C3" s="2827"/>
      <c r="D3" s="2827"/>
      <c r="E3" s="2827"/>
      <c r="F3" s="2827"/>
      <c r="G3" s="2827"/>
      <c r="H3" s="2827"/>
      <c r="I3" s="2827"/>
      <c r="J3" s="2827"/>
      <c r="K3" s="2827"/>
      <c r="L3" s="2827"/>
      <c r="M3" s="2827"/>
      <c r="N3" s="2827"/>
      <c r="O3" s="2827"/>
      <c r="P3" s="2827"/>
      <c r="Q3" s="2827"/>
      <c r="R3" s="2827"/>
      <c r="S3" s="2829"/>
      <c r="U3" s="441"/>
      <c r="V3" s="441"/>
    </row>
    <row r="4" spans="1:33" s="16" customFormat="1" ht="15" customHeight="1" x14ac:dyDescent="0.25">
      <c r="A4" s="441"/>
      <c r="B4" s="2827" t="s">
        <v>4721</v>
      </c>
      <c r="C4" s="2827"/>
      <c r="D4" s="2827"/>
      <c r="E4" s="2827"/>
      <c r="F4" s="2827"/>
      <c r="G4" s="2827"/>
      <c r="H4" s="2827"/>
      <c r="I4" s="2827"/>
      <c r="J4" s="2827"/>
      <c r="K4" s="2827"/>
      <c r="L4" s="2827"/>
      <c r="M4" s="2827"/>
      <c r="N4" s="2827"/>
      <c r="O4" s="2827"/>
      <c r="P4" s="2827"/>
      <c r="Q4" s="2827"/>
      <c r="R4" s="2827"/>
      <c r="S4" s="18"/>
      <c r="U4" s="441"/>
      <c r="V4" s="441"/>
    </row>
    <row r="5" spans="1:33" s="16" customFormat="1" ht="15" customHeight="1" x14ac:dyDescent="0.25">
      <c r="A5" s="441"/>
      <c r="B5" s="2827" t="s">
        <v>4720</v>
      </c>
      <c r="C5" s="2827"/>
      <c r="D5" s="2827"/>
      <c r="E5" s="2827"/>
      <c r="F5" s="2827"/>
      <c r="G5" s="2827"/>
      <c r="H5" s="2827"/>
      <c r="I5" s="2827"/>
      <c r="J5" s="2827"/>
      <c r="K5" s="2827"/>
      <c r="L5" s="2827"/>
      <c r="M5" s="2827"/>
      <c r="N5" s="2827"/>
      <c r="O5" s="2827"/>
      <c r="P5" s="2827"/>
      <c r="Q5" s="429"/>
      <c r="R5" s="429"/>
      <c r="S5" s="18"/>
      <c r="U5" s="441"/>
      <c r="V5" s="441"/>
    </row>
    <row r="6" spans="1:33" s="102" customFormat="1" ht="12" customHeight="1" x14ac:dyDescent="0.2">
      <c r="A6" s="436"/>
      <c r="J6" s="870" t="s">
        <v>3500</v>
      </c>
      <c r="L6" s="870"/>
      <c r="M6" s="870"/>
      <c r="N6" s="870"/>
      <c r="O6" s="870"/>
      <c r="P6" s="870"/>
      <c r="Q6" s="870"/>
      <c r="R6" s="870"/>
      <c r="U6" s="436"/>
      <c r="V6" s="436"/>
      <c r="W6" s="494"/>
      <c r="X6" s="494"/>
      <c r="Y6" s="494"/>
    </row>
    <row r="7" spans="1:33" s="102" customFormat="1" ht="12" customHeight="1" x14ac:dyDescent="0.2">
      <c r="A7" s="436"/>
      <c r="E7" s="202"/>
      <c r="H7" s="103" t="s">
        <v>327</v>
      </c>
      <c r="I7" s="2807" t="str">
        <f>+Index!$E$10</f>
        <v>01</v>
      </c>
      <c r="J7" s="2807"/>
      <c r="K7" s="2807"/>
      <c r="L7" s="2807"/>
      <c r="M7" s="2807"/>
      <c r="N7" s="2807"/>
      <c r="O7" s="2807"/>
      <c r="P7" s="2807"/>
      <c r="Q7" s="2807"/>
      <c r="R7" s="2807"/>
      <c r="S7" s="25"/>
      <c r="U7" s="436"/>
      <c r="V7" s="436"/>
      <c r="W7" s="494"/>
      <c r="X7" s="494"/>
      <c r="Y7" s="494"/>
    </row>
    <row r="8" spans="1:33" s="102" customFormat="1" ht="12" customHeight="1" x14ac:dyDescent="0.2">
      <c r="A8" s="436"/>
      <c r="C8" s="2324" t="s">
        <v>5062</v>
      </c>
      <c r="D8" s="494"/>
      <c r="E8" s="2418" t="s">
        <v>5063</v>
      </c>
      <c r="H8" s="103" t="s">
        <v>1154</v>
      </c>
      <c r="I8" s="2831" t="str">
        <f>+Index!$E$11</f>
        <v>North Carolina General Assembly</v>
      </c>
      <c r="J8" s="2831"/>
      <c r="K8" s="2831"/>
      <c r="L8" s="2831"/>
      <c r="M8" s="2831"/>
      <c r="N8" s="2831"/>
      <c r="O8" s="2831"/>
      <c r="P8" s="2831"/>
      <c r="Q8" s="2831"/>
      <c r="R8" s="2831"/>
      <c r="S8" s="25"/>
      <c r="U8" s="436"/>
      <c r="V8" s="436"/>
      <c r="W8" s="494"/>
      <c r="X8" s="494"/>
      <c r="Y8" s="494"/>
    </row>
    <row r="9" spans="1:33" s="102" customFormat="1" ht="12" customHeight="1" x14ac:dyDescent="0.2">
      <c r="A9" s="436"/>
      <c r="B9" s="102" t="s">
        <v>477</v>
      </c>
      <c r="E9" s="106" t="s">
        <v>256</v>
      </c>
      <c r="H9" s="103" t="s">
        <v>972</v>
      </c>
      <c r="I9" s="2832" t="str">
        <f>CONCATENATE(Index!$E$12," ",Index!$E$14)</f>
        <v xml:space="preserve"> </v>
      </c>
      <c r="J9" s="2832"/>
      <c r="K9" s="2832"/>
      <c r="L9" s="2832"/>
      <c r="M9" s="2832"/>
      <c r="N9" s="2832"/>
      <c r="O9" s="2832"/>
      <c r="P9" s="2832"/>
      <c r="Q9" s="2832"/>
      <c r="R9" s="2832"/>
      <c r="S9" s="25"/>
      <c r="U9" s="436"/>
      <c r="V9" s="436"/>
      <c r="W9" s="494"/>
      <c r="X9" s="494"/>
      <c r="Y9" s="494"/>
    </row>
    <row r="10" spans="1:33" s="102" customFormat="1" ht="12" customHeight="1" x14ac:dyDescent="0.2">
      <c r="A10" s="436"/>
      <c r="E10" s="202"/>
      <c r="H10" s="103" t="s">
        <v>348</v>
      </c>
      <c r="I10" s="2832">
        <f>+Index!$E$13</f>
        <v>0</v>
      </c>
      <c r="J10" s="2832"/>
      <c r="K10" s="2832"/>
      <c r="L10" s="2832"/>
      <c r="M10" s="2832"/>
      <c r="N10" s="2832"/>
      <c r="O10" s="2832"/>
      <c r="P10" s="2832"/>
      <c r="Q10" s="2832"/>
      <c r="R10" s="2832"/>
      <c r="S10" s="25"/>
      <c r="U10" s="436"/>
      <c r="V10" s="436"/>
      <c r="W10" s="494"/>
      <c r="X10" s="494"/>
      <c r="Y10" s="494"/>
    </row>
    <row r="11" spans="1:33" s="102" customFormat="1" ht="6.75" customHeight="1" thickBot="1" x14ac:dyDescent="0.25">
      <c r="A11" s="436"/>
      <c r="B11" s="107"/>
      <c r="C11" s="107"/>
      <c r="D11" s="107"/>
      <c r="E11" s="107"/>
      <c r="F11" s="107"/>
      <c r="G11" s="107"/>
      <c r="H11" s="107"/>
      <c r="I11" s="107"/>
      <c r="J11" s="107"/>
      <c r="K11" s="107"/>
      <c r="L11" s="107"/>
      <c r="M11" s="107"/>
      <c r="N11" s="107"/>
      <c r="O11" s="107"/>
      <c r="P11" s="107"/>
      <c r="Q11" s="107"/>
      <c r="R11" s="107"/>
      <c r="U11" s="436"/>
      <c r="V11" s="436"/>
      <c r="W11" s="494"/>
      <c r="X11" s="494"/>
      <c r="Y11" s="494"/>
    </row>
    <row r="12" spans="1:33" s="102" customFormat="1" ht="14.1" customHeight="1" x14ac:dyDescent="0.2">
      <c r="A12" s="436"/>
      <c r="U12" s="436"/>
      <c r="V12" s="436"/>
      <c r="W12" s="494"/>
      <c r="X12" s="494"/>
      <c r="Y12" s="494"/>
    </row>
    <row r="13" spans="1:33" s="102" customFormat="1" ht="12" customHeight="1" x14ac:dyDescent="0.2">
      <c r="A13" s="436">
        <f>SUM(A15:A31)</f>
        <v>0</v>
      </c>
      <c r="B13" s="109" t="s">
        <v>796</v>
      </c>
      <c r="C13" s="14"/>
      <c r="D13" s="14"/>
      <c r="E13" s="14"/>
      <c r="F13" s="14"/>
      <c r="G13" s="14"/>
      <c r="H13" s="14"/>
      <c r="I13" s="14"/>
      <c r="J13" s="14"/>
      <c r="K13" s="14"/>
      <c r="L13" s="14"/>
      <c r="M13" s="14"/>
      <c r="N13" s="14"/>
      <c r="O13" s="14"/>
      <c r="P13" s="14"/>
      <c r="Q13" s="14"/>
      <c r="R13" s="14"/>
      <c r="S13" s="14"/>
      <c r="T13" s="14"/>
      <c r="U13" s="438"/>
      <c r="V13" s="436"/>
      <c r="W13" s="494"/>
      <c r="X13" s="494"/>
      <c r="Y13" s="2324" t="s">
        <v>5061</v>
      </c>
    </row>
    <row r="14" spans="1:33" s="102" customFormat="1" ht="12" customHeight="1" thickBot="1" x14ac:dyDescent="0.25">
      <c r="A14" s="436"/>
      <c r="B14" s="109"/>
      <c r="C14" s="14"/>
      <c r="D14" s="14"/>
      <c r="E14" s="14"/>
      <c r="F14" s="14"/>
      <c r="G14" s="14"/>
      <c r="H14" s="14"/>
      <c r="I14" s="14"/>
      <c r="J14" s="14"/>
      <c r="K14" s="14"/>
      <c r="L14" s="14"/>
      <c r="M14" s="14"/>
      <c r="N14" s="14"/>
      <c r="O14" s="14"/>
      <c r="P14" s="14"/>
      <c r="Q14" s="14"/>
      <c r="R14" s="14"/>
      <c r="S14" s="14"/>
      <c r="T14" s="14"/>
      <c r="U14" s="438"/>
      <c r="V14" s="436"/>
      <c r="W14" s="494"/>
      <c r="X14" s="494"/>
      <c r="Y14" s="494"/>
    </row>
    <row r="15" spans="1:33" s="102" customFormat="1" ht="12.75" customHeight="1" thickBot="1" x14ac:dyDescent="0.25">
      <c r="A15" s="436" t="str">
        <f>IF(ISBLANK(D15)," ",C15)</f>
        <v xml:space="preserve"> </v>
      </c>
      <c r="B15" s="14"/>
      <c r="C15" s="259"/>
      <c r="D15" s="1586"/>
      <c r="E15" s="2" t="s">
        <v>201</v>
      </c>
      <c r="F15" s="14"/>
      <c r="G15" s="14"/>
      <c r="H15" s="14"/>
      <c r="I15" s="14"/>
      <c r="J15" s="14"/>
      <c r="K15" s="14"/>
      <c r="L15" s="14"/>
      <c r="M15" s="14"/>
      <c r="N15" s="14"/>
      <c r="O15" s="14"/>
      <c r="P15" s="14"/>
      <c r="Q15" s="14"/>
      <c r="R15" s="14"/>
      <c r="S15" s="14"/>
      <c r="T15" s="14"/>
      <c r="U15" s="438"/>
      <c r="V15" s="436"/>
      <c r="W15" s="2306" t="str">
        <f>IF(D15="X","22610100","")</f>
        <v/>
      </c>
      <c r="X15" s="494"/>
      <c r="Y15" s="494"/>
    </row>
    <row r="16" spans="1:33" s="102" customFormat="1" ht="6" customHeight="1" thickBot="1" x14ac:dyDescent="0.25">
      <c r="A16" s="436"/>
      <c r="B16" s="14"/>
      <c r="C16" s="259"/>
      <c r="D16" s="14"/>
      <c r="E16" s="14"/>
      <c r="F16" s="14"/>
      <c r="G16" s="14"/>
      <c r="H16" s="14"/>
      <c r="I16" s="14"/>
      <c r="J16" s="14"/>
      <c r="K16" s="14"/>
      <c r="L16" s="14"/>
      <c r="M16" s="14"/>
      <c r="N16" s="14"/>
      <c r="O16" s="14"/>
      <c r="P16" s="14"/>
      <c r="Q16" s="14"/>
      <c r="R16" s="14"/>
      <c r="S16" s="14"/>
      <c r="T16" s="14"/>
      <c r="U16" s="438"/>
      <c r="V16" s="436"/>
      <c r="W16" s="2306"/>
      <c r="X16" s="494"/>
      <c r="Y16" s="494"/>
    </row>
    <row r="17" spans="1:25" s="102" customFormat="1" ht="12.75" customHeight="1" thickBot="1" x14ac:dyDescent="0.25">
      <c r="A17" s="436" t="str">
        <f>IF(ISBLANK(D17)," ",C17)</f>
        <v xml:space="preserve"> </v>
      </c>
      <c r="B17" s="14"/>
      <c r="C17" s="259"/>
      <c r="D17" s="1586"/>
      <c r="E17" s="2" t="s">
        <v>481</v>
      </c>
      <c r="F17" s="14"/>
      <c r="G17" s="14"/>
      <c r="H17" s="14"/>
      <c r="I17" s="14"/>
      <c r="J17" s="14"/>
      <c r="K17" s="14"/>
      <c r="L17" s="14"/>
      <c r="M17" s="14"/>
      <c r="N17" s="14"/>
      <c r="O17" s="14"/>
      <c r="P17" s="14"/>
      <c r="Q17" s="14"/>
      <c r="R17" s="14"/>
      <c r="S17" s="14"/>
      <c r="T17" s="14"/>
      <c r="U17" s="438"/>
      <c r="V17" s="436"/>
      <c r="W17" s="2306" t="str">
        <f>IF(D17="X","22610000","")</f>
        <v/>
      </c>
      <c r="X17" s="494"/>
      <c r="Y17" s="494"/>
    </row>
    <row r="18" spans="1:25" s="102" customFormat="1" ht="6" customHeight="1" thickBot="1" x14ac:dyDescent="0.25">
      <c r="A18" s="436"/>
      <c r="B18" s="14"/>
      <c r="C18" s="259"/>
      <c r="D18" s="14"/>
      <c r="E18" s="14"/>
      <c r="F18" s="14"/>
      <c r="G18" s="14"/>
      <c r="H18" s="14"/>
      <c r="I18" s="14"/>
      <c r="J18" s="14"/>
      <c r="K18" s="14"/>
      <c r="L18" s="14"/>
      <c r="M18" s="14"/>
      <c r="N18" s="14"/>
      <c r="O18" s="14"/>
      <c r="P18" s="14"/>
      <c r="Q18" s="14"/>
      <c r="R18" s="14"/>
      <c r="S18" s="14"/>
      <c r="T18" s="14"/>
      <c r="U18" s="438"/>
      <c r="V18" s="436"/>
      <c r="W18" s="2306"/>
      <c r="X18" s="494"/>
      <c r="Y18" s="494"/>
    </row>
    <row r="19" spans="1:25" s="102" customFormat="1" ht="12.75" customHeight="1" thickBot="1" x14ac:dyDescent="0.25">
      <c r="A19" s="436" t="str">
        <f>IF(ISBLANK(D19)," ",C19)</f>
        <v xml:space="preserve"> </v>
      </c>
      <c r="B19" s="14"/>
      <c r="C19" s="259"/>
      <c r="D19" s="1586"/>
      <c r="E19" s="2" t="s">
        <v>193</v>
      </c>
      <c r="F19" s="14"/>
      <c r="H19" s="14"/>
      <c r="I19" s="14"/>
      <c r="J19" s="14"/>
      <c r="K19" s="14"/>
      <c r="L19" s="14"/>
      <c r="M19" s="14"/>
      <c r="N19" s="14"/>
      <c r="O19" s="14"/>
      <c r="P19" s="14"/>
      <c r="Q19" s="14"/>
      <c r="R19" s="14"/>
      <c r="S19" s="14"/>
      <c r="T19" s="14"/>
      <c r="U19" s="438"/>
      <c r="V19" s="436"/>
      <c r="W19" s="2306" t="str">
        <f>IF(D19="X","22610300","")</f>
        <v/>
      </c>
      <c r="X19" s="494"/>
      <c r="Y19" s="494"/>
    </row>
    <row r="20" spans="1:25" s="102" customFormat="1" ht="6.75" customHeight="1" thickBot="1" x14ac:dyDescent="0.25">
      <c r="A20" s="436"/>
      <c r="B20" s="14"/>
      <c r="C20" s="14"/>
      <c r="D20" s="14"/>
      <c r="E20" s="14"/>
      <c r="F20" s="14"/>
      <c r="G20" s="438"/>
      <c r="H20" s="438"/>
      <c r="I20" s="438"/>
      <c r="J20" s="438"/>
      <c r="K20" s="438"/>
      <c r="L20" s="4"/>
      <c r="M20" s="14"/>
      <c r="N20" s="14"/>
      <c r="O20" s="14"/>
      <c r="P20" s="14"/>
      <c r="Q20" s="14"/>
      <c r="R20" s="14"/>
      <c r="S20" s="14"/>
      <c r="T20" s="14"/>
      <c r="U20" s="438"/>
      <c r="V20" s="436"/>
      <c r="W20" s="2306"/>
      <c r="X20" s="494"/>
      <c r="Y20" s="494"/>
    </row>
    <row r="21" spans="1:25" s="102" customFormat="1" ht="12.75" customHeight="1" thickBot="1" x14ac:dyDescent="0.25">
      <c r="A21" s="436"/>
      <c r="B21" s="14"/>
      <c r="C21" s="259"/>
      <c r="D21" s="1586"/>
      <c r="E21" s="2" t="s">
        <v>1129</v>
      </c>
      <c r="F21" s="14"/>
      <c r="G21" s="438"/>
      <c r="H21" s="438"/>
      <c r="I21" s="438"/>
      <c r="J21" s="438"/>
      <c r="K21" s="438"/>
      <c r="L21" s="4"/>
      <c r="M21" s="14"/>
      <c r="N21" s="14"/>
      <c r="O21" s="14"/>
      <c r="P21" s="14"/>
      <c r="Q21" s="14"/>
      <c r="R21" s="14"/>
      <c r="S21" s="14"/>
      <c r="T21" s="14"/>
      <c r="U21" s="438"/>
      <c r="V21" s="436"/>
      <c r="W21" s="2306" t="str">
        <f>IF(D21="X","22610500","")</f>
        <v/>
      </c>
      <c r="X21" s="494"/>
      <c r="Y21" s="494"/>
    </row>
    <row r="22" spans="1:25" s="102" customFormat="1" ht="6" customHeight="1" thickBot="1" x14ac:dyDescent="0.25">
      <c r="A22" s="436"/>
      <c r="B22" s="14"/>
      <c r="C22" s="14"/>
      <c r="D22" s="14"/>
      <c r="E22" s="14"/>
      <c r="F22" s="14"/>
      <c r="G22" s="438"/>
      <c r="H22" s="438"/>
      <c r="I22" s="438"/>
      <c r="J22" s="438"/>
      <c r="K22" s="438"/>
      <c r="L22" s="4"/>
      <c r="M22" s="14"/>
      <c r="N22" s="14"/>
      <c r="O22" s="14"/>
      <c r="P22" s="14"/>
      <c r="Q22" s="14"/>
      <c r="R22" s="14"/>
      <c r="S22" s="14"/>
      <c r="T22" s="14"/>
      <c r="U22" s="438"/>
      <c r="V22" s="436"/>
      <c r="W22" s="2306"/>
      <c r="X22" s="494"/>
      <c r="Y22" s="494"/>
    </row>
    <row r="23" spans="1:25" s="102" customFormat="1" ht="12.75" customHeight="1" thickBot="1" x14ac:dyDescent="0.25">
      <c r="A23" s="436"/>
      <c r="B23" s="14"/>
      <c r="C23" s="259"/>
      <c r="D23" s="1586"/>
      <c r="E23" s="2" t="s">
        <v>1302</v>
      </c>
      <c r="F23" s="14"/>
      <c r="G23" s="438"/>
      <c r="H23" s="438"/>
      <c r="I23" s="438"/>
      <c r="J23" s="438"/>
      <c r="K23" s="438"/>
      <c r="L23" s="4"/>
      <c r="M23" s="14"/>
      <c r="N23" s="14"/>
      <c r="O23" s="14"/>
      <c r="P23" s="14"/>
      <c r="Q23" s="14"/>
      <c r="R23" s="14"/>
      <c r="S23" s="14"/>
      <c r="T23" s="14"/>
      <c r="U23" s="438"/>
      <c r="V23" s="436"/>
      <c r="W23" s="2306" t="str">
        <f>IF(D23="X","22610600","")</f>
        <v/>
      </c>
      <c r="X23" s="494"/>
      <c r="Y23" s="494"/>
    </row>
    <row r="24" spans="1:25" s="102" customFormat="1" ht="6" customHeight="1" thickBot="1" x14ac:dyDescent="0.25">
      <c r="A24" s="436"/>
      <c r="B24" s="14"/>
      <c r="C24" s="259"/>
      <c r="D24" s="1833"/>
      <c r="E24" s="2"/>
      <c r="F24" s="14"/>
      <c r="G24" s="438"/>
      <c r="H24" s="438"/>
      <c r="I24" s="438"/>
      <c r="J24" s="438"/>
      <c r="K24" s="438"/>
      <c r="L24" s="4"/>
      <c r="M24" s="14"/>
      <c r="N24" s="14"/>
      <c r="O24" s="14"/>
      <c r="P24" s="14"/>
      <c r="Q24" s="14"/>
      <c r="R24" s="14"/>
      <c r="S24" s="14"/>
      <c r="T24" s="14"/>
      <c r="U24" s="438"/>
      <c r="V24" s="436"/>
      <c r="W24" s="2306"/>
      <c r="X24" s="494"/>
      <c r="Y24" s="494"/>
    </row>
    <row r="25" spans="1:25" s="102" customFormat="1" ht="12.75" customHeight="1" thickBot="1" x14ac:dyDescent="0.25">
      <c r="A25" s="436"/>
      <c r="B25" s="14"/>
      <c r="C25" s="259"/>
      <c r="D25" s="1586"/>
      <c r="E25" s="2" t="s">
        <v>4606</v>
      </c>
      <c r="F25" s="14"/>
      <c r="G25" s="14"/>
      <c r="H25" s="14"/>
      <c r="I25" s="94"/>
      <c r="J25" s="438"/>
      <c r="K25" s="438"/>
      <c r="L25" s="4"/>
      <c r="M25" s="14"/>
      <c r="N25" s="14"/>
      <c r="O25" s="14"/>
      <c r="P25" s="14"/>
      <c r="Q25" s="14"/>
      <c r="R25" s="14"/>
      <c r="S25" s="14"/>
      <c r="T25" s="14"/>
      <c r="U25" s="438"/>
      <c r="V25" s="436"/>
      <c r="W25" s="2306" t="str">
        <f>IF(D25="X","22320000","")</f>
        <v/>
      </c>
      <c r="X25" s="494"/>
      <c r="Y25" s="494"/>
    </row>
    <row r="26" spans="1:25" s="102" customFormat="1" ht="6" customHeight="1" thickBot="1" x14ac:dyDescent="0.25">
      <c r="A26" s="436"/>
      <c r="B26" s="14"/>
      <c r="C26" s="259"/>
      <c r="D26" s="1833"/>
      <c r="E26" s="665"/>
      <c r="F26" s="14"/>
      <c r="G26" s="14"/>
      <c r="H26" s="14"/>
      <c r="I26" s="94"/>
      <c r="J26" s="438"/>
      <c r="K26" s="438"/>
      <c r="L26" s="4"/>
      <c r="M26" s="14"/>
      <c r="N26" s="14"/>
      <c r="O26" s="14"/>
      <c r="P26" s="14"/>
      <c r="Q26" s="14"/>
      <c r="R26" s="14"/>
      <c r="S26" s="14"/>
      <c r="T26" s="14"/>
      <c r="U26" s="438"/>
      <c r="V26" s="436"/>
      <c r="W26" s="2317"/>
      <c r="X26" s="494"/>
      <c r="Y26" s="494"/>
    </row>
    <row r="27" spans="1:25" s="102" customFormat="1" ht="12.75" customHeight="1" thickBot="1" x14ac:dyDescent="0.25">
      <c r="A27" s="436"/>
      <c r="B27" s="14"/>
      <c r="C27" s="259"/>
      <c r="D27" s="1586"/>
      <c r="E27" s="2" t="s">
        <v>4722</v>
      </c>
      <c r="F27" s="14"/>
      <c r="G27" s="14"/>
      <c r="H27" s="14"/>
      <c r="I27" s="94"/>
      <c r="J27" s="14"/>
      <c r="K27" s="4"/>
      <c r="L27" s="4"/>
      <c r="M27" s="14"/>
      <c r="N27" s="14"/>
      <c r="O27" s="14"/>
      <c r="P27" s="14"/>
      <c r="Q27" s="14"/>
      <c r="R27" s="14"/>
      <c r="S27" s="14"/>
      <c r="T27" s="14"/>
      <c r="U27" s="438"/>
      <c r="V27" s="436"/>
      <c r="W27" s="2317" t="str">
        <f>IF(D27="X","22610400","")</f>
        <v/>
      </c>
      <c r="X27" s="494"/>
      <c r="Y27" s="494"/>
    </row>
    <row r="28" spans="1:25" s="102" customFormat="1" ht="12.75" customHeight="1" x14ac:dyDescent="0.2">
      <c r="A28" s="436"/>
      <c r="B28" s="14"/>
      <c r="C28" s="259"/>
      <c r="D28" s="2322"/>
      <c r="E28" s="2294"/>
      <c r="F28" s="14"/>
      <c r="G28" s="14"/>
      <c r="H28" s="14"/>
      <c r="I28" s="2297"/>
      <c r="J28" s="14"/>
      <c r="K28" s="2299"/>
      <c r="L28" s="2299"/>
      <c r="M28" s="14"/>
      <c r="N28" s="14"/>
      <c r="O28" s="14"/>
      <c r="P28" s="14"/>
      <c r="Q28" s="14"/>
      <c r="R28" s="14"/>
      <c r="S28" s="14"/>
      <c r="T28" s="14"/>
      <c r="U28" s="438"/>
      <c r="V28" s="436"/>
      <c r="W28" s="2317"/>
      <c r="X28" s="494"/>
      <c r="Y28" s="494"/>
    </row>
    <row r="29" spans="1:25" s="102" customFormat="1" ht="12.75" customHeight="1" x14ac:dyDescent="0.2">
      <c r="A29" s="436"/>
      <c r="B29" s="14"/>
      <c r="C29" s="259"/>
      <c r="D29" s="2322"/>
      <c r="E29" s="2294"/>
      <c r="F29" s="14"/>
      <c r="G29" s="14"/>
      <c r="H29" s="14"/>
      <c r="I29" s="2297"/>
      <c r="J29" s="14"/>
      <c r="K29" s="2299"/>
      <c r="L29" s="2299"/>
      <c r="M29" s="14"/>
      <c r="N29" s="14"/>
      <c r="O29" s="14"/>
      <c r="P29" s="14"/>
      <c r="Q29" s="14"/>
      <c r="R29" s="14"/>
      <c r="S29" s="14"/>
      <c r="T29" s="14"/>
      <c r="U29" s="438"/>
      <c r="V29" s="436"/>
      <c r="W29" s="2317"/>
      <c r="X29" s="494"/>
      <c r="Y29" s="494"/>
    </row>
    <row r="30" spans="1:25" s="102" customFormat="1" ht="12.75" customHeight="1" x14ac:dyDescent="0.2">
      <c r="A30" s="436"/>
      <c r="B30" s="14"/>
      <c r="C30" s="259"/>
      <c r="D30" s="2322"/>
      <c r="E30" s="2294"/>
      <c r="F30" s="14"/>
      <c r="G30" s="2328" t="s">
        <v>5058</v>
      </c>
      <c r="H30" s="2328"/>
      <c r="I30" s="2328" t="s">
        <v>5059</v>
      </c>
      <c r="J30" s="2329"/>
      <c r="K30" s="2329" t="s">
        <v>5060</v>
      </c>
      <c r="L30" s="2330"/>
      <c r="M30" s="2331"/>
      <c r="N30" s="2331"/>
      <c r="O30" s="14"/>
      <c r="P30" s="14"/>
      <c r="Q30" s="14"/>
      <c r="R30" s="14"/>
      <c r="S30" s="14"/>
      <c r="T30" s="14"/>
      <c r="U30" s="438"/>
      <c r="V30" s="436"/>
      <c r="W30" s="2317"/>
      <c r="X30" s="494"/>
      <c r="Y30" s="494"/>
    </row>
    <row r="31" spans="1:25" s="102" customFormat="1" ht="12" customHeight="1" x14ac:dyDescent="0.2">
      <c r="A31" s="436"/>
      <c r="B31" s="14"/>
      <c r="C31" s="14"/>
      <c r="D31" s="14"/>
      <c r="E31" s="14"/>
      <c r="F31" s="14"/>
      <c r="G31" s="14"/>
      <c r="H31" s="14"/>
      <c r="I31" s="14"/>
      <c r="J31" s="14"/>
      <c r="K31" s="4" t="s">
        <v>368</v>
      </c>
      <c r="L31" s="4"/>
      <c r="M31" s="14"/>
      <c r="N31" s="14"/>
      <c r="O31" s="14"/>
      <c r="P31" s="14"/>
      <c r="Q31" s="14"/>
      <c r="R31" s="14"/>
      <c r="S31" s="14"/>
      <c r="T31" s="14"/>
      <c r="U31" s="438"/>
      <c r="V31" s="436"/>
      <c r="W31" s="494"/>
      <c r="X31" s="494"/>
      <c r="Y31" s="494"/>
    </row>
    <row r="32" spans="1:25" s="102" customFormat="1" ht="12" customHeight="1" x14ac:dyDescent="0.2">
      <c r="A32" s="436"/>
      <c r="B32" s="14"/>
      <c r="C32" s="14"/>
      <c r="D32" s="14"/>
      <c r="E32" s="26" t="s">
        <v>802</v>
      </c>
      <c r="G32" s="26" t="s">
        <v>261</v>
      </c>
      <c r="H32" s="14"/>
      <c r="I32" s="26" t="s">
        <v>509</v>
      </c>
      <c r="J32" s="4"/>
      <c r="K32" s="26" t="s">
        <v>369</v>
      </c>
      <c r="L32" s="4"/>
      <c r="M32" s="4"/>
      <c r="N32" s="4"/>
      <c r="O32" s="4"/>
      <c r="P32" s="14"/>
      <c r="Q32" s="14"/>
      <c r="S32" s="14"/>
      <c r="T32" s="438"/>
      <c r="U32" s="438">
        <f>LARGE(U33:U45,1)</f>
        <v>0</v>
      </c>
      <c r="V32" s="438">
        <f>LARGE(V33:V45,1)</f>
        <v>0</v>
      </c>
      <c r="W32" s="494"/>
      <c r="X32" s="494"/>
      <c r="Y32" s="494"/>
    </row>
    <row r="33" spans="1:25" s="102" customFormat="1" ht="14.85" customHeight="1" x14ac:dyDescent="0.2">
      <c r="A33" s="436">
        <v>1</v>
      </c>
      <c r="B33" s="14"/>
      <c r="C33" s="14"/>
      <c r="D33" s="100">
        <f>+E33</f>
        <v>2023</v>
      </c>
      <c r="E33" s="437">
        <f>+YEAR(Data!$A$2)+1</f>
        <v>2023</v>
      </c>
      <c r="G33" s="434"/>
      <c r="H33" s="105"/>
      <c r="I33" s="434"/>
      <c r="J33" s="105"/>
      <c r="K33" s="434"/>
      <c r="L33" s="105"/>
      <c r="M33" s="2857" t="s">
        <v>736</v>
      </c>
      <c r="N33" s="2858"/>
      <c r="O33" s="2858"/>
      <c r="P33" s="2858"/>
      <c r="Q33" s="2858"/>
      <c r="R33" s="2859"/>
      <c r="S33" s="14"/>
      <c r="T33" s="439">
        <f>SUM($G33:$G$45)</f>
        <v>0</v>
      </c>
      <c r="U33" s="438">
        <f>IF($T33&gt;0,$D33,0)</f>
        <v>0</v>
      </c>
      <c r="V33" s="438">
        <f>IF($T33&gt;0,$D33,0)</f>
        <v>0</v>
      </c>
      <c r="W33" s="2309" t="s">
        <v>5037</v>
      </c>
      <c r="X33" s="494"/>
      <c r="Y33" s="494"/>
    </row>
    <row r="34" spans="1:25" s="102" customFormat="1" ht="14.85" customHeight="1" x14ac:dyDescent="0.2">
      <c r="A34" s="436">
        <v>2</v>
      </c>
      <c r="B34" s="14"/>
      <c r="C34" s="14"/>
      <c r="D34" s="100">
        <f>+E34</f>
        <v>2024</v>
      </c>
      <c r="E34" s="437">
        <f>E33+1</f>
        <v>2024</v>
      </c>
      <c r="G34" s="434"/>
      <c r="H34" s="105"/>
      <c r="I34" s="434"/>
      <c r="J34" s="105"/>
      <c r="K34" s="434"/>
      <c r="L34" s="105"/>
      <c r="M34" s="2860"/>
      <c r="N34" s="2861"/>
      <c r="O34" s="2861"/>
      <c r="P34" s="2861"/>
      <c r="Q34" s="2861"/>
      <c r="R34" s="2862"/>
      <c r="S34" s="14"/>
      <c r="T34" s="439">
        <f>SUM($G34:$G$45)</f>
        <v>0</v>
      </c>
      <c r="U34" s="438">
        <f t="shared" ref="U34:V45" si="0">IF($T34&gt;0,$D34,0)</f>
        <v>0</v>
      </c>
      <c r="V34" s="438">
        <f t="shared" si="0"/>
        <v>0</v>
      </c>
      <c r="W34" s="2309" t="s">
        <v>5038</v>
      </c>
      <c r="X34" s="494"/>
      <c r="Y34" s="494"/>
    </row>
    <row r="35" spans="1:25" s="102" customFormat="1" ht="14.85" customHeight="1" x14ac:dyDescent="0.2">
      <c r="A35" s="436">
        <v>3</v>
      </c>
      <c r="B35" s="14"/>
      <c r="C35" s="14"/>
      <c r="D35" s="100">
        <f>+E35</f>
        <v>2025</v>
      </c>
      <c r="E35" s="437">
        <f>E34+1</f>
        <v>2025</v>
      </c>
      <c r="G35" s="434"/>
      <c r="H35" s="105"/>
      <c r="I35" s="434"/>
      <c r="J35" s="105"/>
      <c r="K35" s="434"/>
      <c r="L35" s="105"/>
      <c r="M35" s="2863"/>
      <c r="N35" s="2864"/>
      <c r="O35" s="2864"/>
      <c r="P35" s="2864"/>
      <c r="Q35" s="2864"/>
      <c r="R35" s="2865"/>
      <c r="S35" s="14"/>
      <c r="T35" s="439">
        <f>SUM($G35:$G$45)</f>
        <v>0</v>
      </c>
      <c r="U35" s="438">
        <f t="shared" si="0"/>
        <v>0</v>
      </c>
      <c r="V35" s="438">
        <f t="shared" si="0"/>
        <v>0</v>
      </c>
      <c r="W35" s="2309" t="s">
        <v>5039</v>
      </c>
      <c r="X35" s="494"/>
      <c r="Y35" s="494"/>
    </row>
    <row r="36" spans="1:25" s="102" customFormat="1" ht="14.85" customHeight="1" x14ac:dyDescent="0.2">
      <c r="A36" s="436">
        <v>4</v>
      </c>
      <c r="B36" s="14"/>
      <c r="C36" s="14"/>
      <c r="D36" s="100">
        <f>+E36</f>
        <v>2026</v>
      </c>
      <c r="E36" s="437">
        <f>E35+1</f>
        <v>2026</v>
      </c>
      <c r="G36" s="434"/>
      <c r="H36" s="105"/>
      <c r="I36" s="434"/>
      <c r="J36" s="105"/>
      <c r="K36" s="434"/>
      <c r="L36" s="105"/>
      <c r="M36" s="2851"/>
      <c r="N36" s="2852"/>
      <c r="O36" s="2852"/>
      <c r="P36" s="2852"/>
      <c r="Q36" s="2852"/>
      <c r="R36" s="2853"/>
      <c r="S36" s="14"/>
      <c r="T36" s="439">
        <f>SUM($G36:$G$45)</f>
        <v>0</v>
      </c>
      <c r="U36" s="438">
        <f t="shared" si="0"/>
        <v>0</v>
      </c>
      <c r="V36" s="438">
        <f t="shared" si="0"/>
        <v>0</v>
      </c>
      <c r="W36" s="2309" t="s">
        <v>5040</v>
      </c>
      <c r="X36" s="494"/>
      <c r="Y36" s="494"/>
    </row>
    <row r="37" spans="1:25" s="102" customFormat="1" ht="14.85" customHeight="1" x14ac:dyDescent="0.2">
      <c r="A37" s="436">
        <v>5</v>
      </c>
      <c r="B37" s="14"/>
      <c r="C37" s="14"/>
      <c r="D37" s="100">
        <f>+E37</f>
        <v>2027</v>
      </c>
      <c r="E37" s="437">
        <f>E36+1</f>
        <v>2027</v>
      </c>
      <c r="G37" s="434"/>
      <c r="H37" s="105"/>
      <c r="I37" s="434"/>
      <c r="J37" s="105"/>
      <c r="K37" s="434"/>
      <c r="L37" s="105"/>
      <c r="M37" s="14"/>
      <c r="N37" s="14"/>
      <c r="O37" s="14"/>
      <c r="P37" s="14"/>
      <c r="S37" s="14"/>
      <c r="T37" s="439">
        <f>SUM($G37:$G$45)</f>
        <v>0</v>
      </c>
      <c r="U37" s="438">
        <f t="shared" si="0"/>
        <v>0</v>
      </c>
      <c r="V37" s="438">
        <f t="shared" si="0"/>
        <v>0</v>
      </c>
      <c r="W37" s="2309" t="s">
        <v>5041</v>
      </c>
      <c r="X37" s="494"/>
      <c r="Y37" s="494"/>
    </row>
    <row r="38" spans="1:25" s="102" customFormat="1" ht="14.85" customHeight="1" x14ac:dyDescent="0.2">
      <c r="A38" s="436">
        <v>6</v>
      </c>
      <c r="B38" s="14"/>
      <c r="C38" s="14"/>
      <c r="D38" s="100">
        <f>E37+1</f>
        <v>2028</v>
      </c>
      <c r="E38" s="437" t="str">
        <f t="shared" ref="E38:E45" si="1">(D38)&amp;" - "&amp;(D38+4)</f>
        <v>2028 - 2032</v>
      </c>
      <c r="G38" s="434"/>
      <c r="H38" s="105"/>
      <c r="I38" s="434"/>
      <c r="J38" s="105"/>
      <c r="K38" s="434"/>
      <c r="L38" s="105"/>
      <c r="M38" s="2857" t="s">
        <v>435</v>
      </c>
      <c r="N38" s="2858"/>
      <c r="O38" s="2858"/>
      <c r="P38" s="2858"/>
      <c r="Q38" s="2858"/>
      <c r="R38" s="2859"/>
      <c r="S38" s="14"/>
      <c r="T38" s="439">
        <f>SUM($G38:$G$45)</f>
        <v>0</v>
      </c>
      <c r="U38" s="438">
        <f t="shared" si="0"/>
        <v>0</v>
      </c>
      <c r="V38" s="438">
        <f>IF($T38&gt;0,$D38+4,0)</f>
        <v>0</v>
      </c>
      <c r="W38" s="2309" t="s">
        <v>5042</v>
      </c>
      <c r="X38" s="494"/>
      <c r="Y38" s="494"/>
    </row>
    <row r="39" spans="1:25" s="102" customFormat="1" ht="14.85" customHeight="1" x14ac:dyDescent="0.2">
      <c r="A39" s="436">
        <v>7</v>
      </c>
      <c r="B39" s="14"/>
      <c r="C39" s="14"/>
      <c r="D39" s="100">
        <f t="shared" ref="D39:D45" si="2">D38+5</f>
        <v>2033</v>
      </c>
      <c r="E39" s="437" t="str">
        <f t="shared" si="1"/>
        <v>2033 - 2037</v>
      </c>
      <c r="G39" s="434"/>
      <c r="H39" s="105"/>
      <c r="I39" s="434"/>
      <c r="J39" s="105"/>
      <c r="K39" s="434"/>
      <c r="L39" s="105"/>
      <c r="M39" s="2860"/>
      <c r="N39" s="2861"/>
      <c r="O39" s="2861"/>
      <c r="P39" s="2861"/>
      <c r="Q39" s="2861"/>
      <c r="R39" s="2862"/>
      <c r="S39" s="14"/>
      <c r="T39" s="439">
        <f>SUM($G39:$G$45)</f>
        <v>0</v>
      </c>
      <c r="U39" s="438">
        <f t="shared" si="0"/>
        <v>0</v>
      </c>
      <c r="V39" s="438">
        <f t="shared" ref="V39:V45" si="3">IF($T39&gt;0,$D39+4,0)</f>
        <v>0</v>
      </c>
      <c r="W39" s="2309" t="s">
        <v>5043</v>
      </c>
      <c r="X39" s="494"/>
      <c r="Y39" s="494"/>
    </row>
    <row r="40" spans="1:25" s="102" customFormat="1" ht="14.85" customHeight="1" x14ac:dyDescent="0.2">
      <c r="A40" s="436">
        <v>8</v>
      </c>
      <c r="B40" s="14"/>
      <c r="C40" s="14"/>
      <c r="D40" s="100">
        <f t="shared" si="2"/>
        <v>2038</v>
      </c>
      <c r="E40" s="437" t="str">
        <f t="shared" si="1"/>
        <v>2038 - 2042</v>
      </c>
      <c r="G40" s="434"/>
      <c r="H40" s="105"/>
      <c r="I40" s="434"/>
      <c r="J40" s="105"/>
      <c r="K40" s="434"/>
      <c r="L40" s="105"/>
      <c r="M40" s="2863"/>
      <c r="N40" s="2864"/>
      <c r="O40" s="2864"/>
      <c r="P40" s="2864"/>
      <c r="Q40" s="2864"/>
      <c r="R40" s="2865"/>
      <c r="S40" s="14"/>
      <c r="T40" s="439">
        <f>SUM($G40:$G$45)</f>
        <v>0</v>
      </c>
      <c r="U40" s="438">
        <f t="shared" si="0"/>
        <v>0</v>
      </c>
      <c r="V40" s="438">
        <f t="shared" si="3"/>
        <v>0</v>
      </c>
      <c r="W40" s="2309" t="s">
        <v>5044</v>
      </c>
      <c r="X40" s="494"/>
      <c r="Y40" s="494"/>
    </row>
    <row r="41" spans="1:25" s="102" customFormat="1" ht="14.85" customHeight="1" x14ac:dyDescent="0.2">
      <c r="A41" s="436">
        <v>9</v>
      </c>
      <c r="B41" s="14"/>
      <c r="C41" s="14"/>
      <c r="D41" s="100">
        <f t="shared" si="2"/>
        <v>2043</v>
      </c>
      <c r="E41" s="437" t="str">
        <f t="shared" si="1"/>
        <v>2043 - 2047</v>
      </c>
      <c r="G41" s="434"/>
      <c r="H41" s="105"/>
      <c r="I41" s="434"/>
      <c r="J41" s="105"/>
      <c r="K41" s="434"/>
      <c r="L41" s="105"/>
      <c r="M41" s="2871" t="s">
        <v>1308</v>
      </c>
      <c r="N41" s="2872"/>
      <c r="O41" s="2873"/>
      <c r="P41" s="2871" t="s">
        <v>1309</v>
      </c>
      <c r="Q41" s="2872"/>
      <c r="R41" s="2873"/>
      <c r="S41" s="14"/>
      <c r="T41" s="439">
        <f>SUM($G41:$G$45)</f>
        <v>0</v>
      </c>
      <c r="U41" s="438">
        <f t="shared" si="0"/>
        <v>0</v>
      </c>
      <c r="V41" s="438">
        <f t="shared" si="3"/>
        <v>0</v>
      </c>
      <c r="W41" s="2309" t="s">
        <v>5045</v>
      </c>
      <c r="X41" s="494"/>
      <c r="Y41" s="494"/>
    </row>
    <row r="42" spans="1:25" s="102" customFormat="1" ht="14.85" customHeight="1" x14ac:dyDescent="0.2">
      <c r="A42" s="436">
        <v>10</v>
      </c>
      <c r="B42" s="14"/>
      <c r="C42" s="14"/>
      <c r="D42" s="100">
        <f t="shared" si="2"/>
        <v>2048</v>
      </c>
      <c r="E42" s="437" t="str">
        <f t="shared" si="1"/>
        <v>2048 - 2052</v>
      </c>
      <c r="G42" s="434"/>
      <c r="H42" s="105"/>
      <c r="I42" s="434"/>
      <c r="J42" s="105"/>
      <c r="K42" s="434"/>
      <c r="L42" s="105"/>
      <c r="M42" s="2856"/>
      <c r="N42" s="2854"/>
      <c r="O42" s="2855"/>
      <c r="P42" s="2856"/>
      <c r="Q42" s="2854"/>
      <c r="R42" s="2855"/>
      <c r="S42" s="14"/>
      <c r="T42" s="439">
        <f>SUM($G42:$G$45)</f>
        <v>0</v>
      </c>
      <c r="U42" s="438">
        <f t="shared" si="0"/>
        <v>0</v>
      </c>
      <c r="V42" s="438">
        <f t="shared" si="3"/>
        <v>0</v>
      </c>
      <c r="W42" s="2309" t="s">
        <v>5046</v>
      </c>
      <c r="X42" s="494"/>
      <c r="Y42" s="494"/>
    </row>
    <row r="43" spans="1:25" s="102" customFormat="1" ht="14.85" customHeight="1" x14ac:dyDescent="0.2">
      <c r="A43" s="436">
        <v>11</v>
      </c>
      <c r="B43" s="14"/>
      <c r="C43" s="14"/>
      <c r="D43" s="100">
        <f t="shared" si="2"/>
        <v>2053</v>
      </c>
      <c r="E43" s="437" t="str">
        <f t="shared" si="1"/>
        <v>2053 - 2057</v>
      </c>
      <c r="G43" s="434"/>
      <c r="H43" s="105"/>
      <c r="I43" s="434"/>
      <c r="J43" s="105"/>
      <c r="K43" s="434"/>
      <c r="L43" s="105"/>
      <c r="S43" s="14"/>
      <c r="T43" s="439">
        <f>SUM($G43:$G$45)</f>
        <v>0</v>
      </c>
      <c r="U43" s="438">
        <f t="shared" si="0"/>
        <v>0</v>
      </c>
      <c r="V43" s="438">
        <f t="shared" si="3"/>
        <v>0</v>
      </c>
      <c r="W43" s="2309" t="s">
        <v>5047</v>
      </c>
      <c r="X43" s="494"/>
      <c r="Y43" s="494"/>
    </row>
    <row r="44" spans="1:25" s="102" customFormat="1" ht="14.85" customHeight="1" x14ac:dyDescent="0.2">
      <c r="A44" s="436">
        <v>12</v>
      </c>
      <c r="B44" s="14"/>
      <c r="C44" s="14"/>
      <c r="D44" s="100">
        <f t="shared" si="2"/>
        <v>2058</v>
      </c>
      <c r="E44" s="437" t="str">
        <f t="shared" si="1"/>
        <v>2058 - 2062</v>
      </c>
      <c r="G44" s="434"/>
      <c r="H44" s="105"/>
      <c r="I44" s="434"/>
      <c r="J44" s="105"/>
      <c r="K44" s="434"/>
      <c r="L44" s="105"/>
      <c r="M44" s="2857" t="s">
        <v>81</v>
      </c>
      <c r="N44" s="2858"/>
      <c r="O44" s="2858"/>
      <c r="P44" s="2858"/>
      <c r="Q44" s="2858"/>
      <c r="R44" s="2859"/>
      <c r="S44" s="14"/>
      <c r="T44" s="439">
        <f>SUM($G44:$G$45)</f>
        <v>0</v>
      </c>
      <c r="U44" s="438">
        <f t="shared" si="0"/>
        <v>0</v>
      </c>
      <c r="V44" s="438">
        <f t="shared" si="3"/>
        <v>0</v>
      </c>
      <c r="W44" s="2309" t="s">
        <v>5048</v>
      </c>
      <c r="X44" s="494"/>
      <c r="Y44" s="494"/>
    </row>
    <row r="45" spans="1:25" s="102" customFormat="1" ht="14.85" customHeight="1" x14ac:dyDescent="0.2">
      <c r="A45" s="436">
        <v>13</v>
      </c>
      <c r="B45" s="14"/>
      <c r="C45" s="14"/>
      <c r="D45" s="100">
        <f t="shared" si="2"/>
        <v>2063</v>
      </c>
      <c r="E45" s="437" t="str">
        <f t="shared" si="1"/>
        <v>2063 - 2067</v>
      </c>
      <c r="G45" s="434"/>
      <c r="H45" s="105"/>
      <c r="I45" s="434"/>
      <c r="J45" s="105"/>
      <c r="K45" s="434"/>
      <c r="L45" s="105"/>
      <c r="M45" s="2860"/>
      <c r="N45" s="2861"/>
      <c r="O45" s="2861"/>
      <c r="P45" s="2861"/>
      <c r="Q45" s="2861"/>
      <c r="R45" s="2862"/>
      <c r="S45" s="14"/>
      <c r="T45" s="439">
        <f>SUM($G45:$G$45)</f>
        <v>0</v>
      </c>
      <c r="U45" s="438">
        <f t="shared" si="0"/>
        <v>0</v>
      </c>
      <c r="V45" s="438">
        <f t="shared" si="3"/>
        <v>0</v>
      </c>
      <c r="W45" s="2309" t="s">
        <v>5049</v>
      </c>
      <c r="X45" s="494"/>
      <c r="Y45" s="494"/>
    </row>
    <row r="46" spans="1:25" s="102" customFormat="1" ht="16.350000000000001" customHeight="1" thickBot="1" x14ac:dyDescent="0.25">
      <c r="A46" s="436"/>
      <c r="B46" s="14"/>
      <c r="C46" s="14"/>
      <c r="D46" s="2" t="s">
        <v>803</v>
      </c>
      <c r="E46" s="14"/>
      <c r="F46" s="14"/>
      <c r="G46" s="444">
        <f>SUM(G33:G45)</f>
        <v>0</v>
      </c>
      <c r="H46" s="105"/>
      <c r="I46" s="444">
        <f>SUM(I33:I45)</f>
        <v>0</v>
      </c>
      <c r="J46" s="105"/>
      <c r="K46" s="444">
        <f>SUM(K33:K45)</f>
        <v>0</v>
      </c>
      <c r="L46" s="105"/>
      <c r="M46" s="2840"/>
      <c r="N46" s="2841"/>
      <c r="O46" s="2841"/>
      <c r="P46" s="2841"/>
      <c r="Q46" s="2841"/>
      <c r="R46" s="2842"/>
      <c r="S46" s="14"/>
      <c r="T46" s="438"/>
      <c r="U46" s="438">
        <f>YEAR(__FMD320)</f>
        <v>1900</v>
      </c>
      <c r="V46" s="436"/>
      <c r="W46" s="494"/>
      <c r="X46" s="494"/>
      <c r="Y46" s="494"/>
    </row>
    <row r="47" spans="1:25" s="102" customFormat="1" ht="12.75" customHeight="1" thickTop="1" x14ac:dyDescent="0.2">
      <c r="A47" s="436"/>
      <c r="B47" s="14"/>
      <c r="C47" s="14"/>
      <c r="D47" s="2"/>
      <c r="E47" s="14"/>
      <c r="F47" s="14"/>
      <c r="G47" s="14"/>
      <c r="H47" s="99" t="s">
        <v>948</v>
      </c>
      <c r="I47" s="313" t="s">
        <v>1319</v>
      </c>
      <c r="J47" s="98"/>
      <c r="K47" s="4"/>
      <c r="L47" s="4"/>
      <c r="M47" s="4"/>
      <c r="N47" s="98"/>
      <c r="O47" s="98"/>
      <c r="P47" s="94"/>
      <c r="Q47" s="94"/>
      <c r="R47" s="14"/>
      <c r="S47" s="14"/>
      <c r="T47" s="14"/>
      <c r="U47" s="438"/>
      <c r="V47" s="436"/>
      <c r="W47" s="494"/>
      <c r="X47" s="494"/>
      <c r="Y47" s="494"/>
    </row>
    <row r="48" spans="1:25" s="102" customFormat="1" ht="8.1" customHeight="1" x14ac:dyDescent="0.2">
      <c r="A48" s="436"/>
      <c r="B48" s="14"/>
      <c r="C48" s="14"/>
      <c r="D48" s="2"/>
      <c r="E48" s="14"/>
      <c r="F48" s="14"/>
      <c r="G48" s="14"/>
      <c r="H48" s="99"/>
      <c r="I48" s="279"/>
      <c r="J48" s="98"/>
      <c r="K48" s="4"/>
      <c r="L48" s="4"/>
      <c r="M48" s="4"/>
      <c r="N48" s="98"/>
      <c r="O48" s="98"/>
      <c r="P48" s="94"/>
      <c r="Q48" s="94"/>
      <c r="R48" s="14"/>
      <c r="S48" s="14"/>
      <c r="T48" s="14"/>
      <c r="U48" s="438"/>
      <c r="V48" s="436"/>
      <c r="W48" s="494"/>
      <c r="X48" s="494"/>
      <c r="Y48" s="494"/>
    </row>
    <row r="49" spans="1:25" s="102" customFormat="1" ht="12.75" customHeight="1" x14ac:dyDescent="0.2">
      <c r="A49" s="436"/>
      <c r="B49" s="14" t="s">
        <v>1094</v>
      </c>
      <c r="C49" s="14"/>
      <c r="D49" s="2"/>
      <c r="E49" s="14"/>
      <c r="F49" s="14"/>
      <c r="G49" s="14"/>
      <c r="H49" s="99"/>
      <c r="I49" s="98"/>
      <c r="J49" s="98"/>
      <c r="K49" s="4"/>
      <c r="L49" s="4"/>
      <c r="M49" s="4"/>
      <c r="N49" s="98"/>
      <c r="O49" s="98"/>
      <c r="P49" s="94"/>
      <c r="Q49" s="94"/>
      <c r="R49" s="14"/>
      <c r="S49" s="14"/>
      <c r="T49" s="14"/>
      <c r="U49" s="438"/>
      <c r="V49" s="436"/>
      <c r="W49" s="494"/>
      <c r="X49" s="494"/>
      <c r="Y49" s="494"/>
    </row>
    <row r="50" spans="1:25" s="102" customFormat="1" ht="12.75" customHeight="1" x14ac:dyDescent="0.2">
      <c r="A50" s="436"/>
      <c r="B50" s="14" t="s">
        <v>1044</v>
      </c>
      <c r="C50" s="14"/>
      <c r="D50" s="2"/>
      <c r="E50" s="14"/>
      <c r="F50" s="14"/>
      <c r="G50" s="14"/>
      <c r="H50" s="99"/>
      <c r="I50" s="98"/>
      <c r="J50" s="98"/>
      <c r="K50" s="4"/>
      <c r="L50" s="4"/>
      <c r="M50" s="4"/>
      <c r="N50" s="98"/>
      <c r="O50" s="98"/>
      <c r="P50" s="94"/>
      <c r="Q50" s="94"/>
      <c r="R50" s="14"/>
      <c r="S50" s="14"/>
      <c r="T50" s="14"/>
      <c r="U50" s="438"/>
      <c r="V50" s="436"/>
      <c r="W50" s="494"/>
      <c r="X50" s="494"/>
      <c r="Y50" s="494"/>
    </row>
    <row r="51" spans="1:25" s="102" customFormat="1" ht="12.75" customHeight="1" x14ac:dyDescent="0.2">
      <c r="A51" s="436"/>
      <c r="B51" s="14"/>
      <c r="C51" s="14"/>
      <c r="D51" s="94" t="s">
        <v>969</v>
      </c>
      <c r="E51" s="1403"/>
      <c r="F51" s="14"/>
      <c r="G51" s="14"/>
      <c r="H51" s="99"/>
      <c r="I51" s="98"/>
      <c r="J51" s="98"/>
      <c r="K51" s="4"/>
      <c r="L51" s="4"/>
      <c r="M51" s="4"/>
      <c r="N51" s="98"/>
      <c r="O51" s="98"/>
      <c r="P51" s="94"/>
      <c r="Q51" s="94"/>
      <c r="R51" s="14"/>
      <c r="S51" s="14"/>
      <c r="T51" s="14"/>
      <c r="U51" s="438"/>
      <c r="V51" s="436"/>
      <c r="W51" s="494"/>
      <c r="X51" s="494"/>
      <c r="Y51" s="494"/>
    </row>
    <row r="52" spans="1:25" s="102" customFormat="1" ht="12.75" customHeight="1" x14ac:dyDescent="0.2">
      <c r="A52" s="436"/>
      <c r="B52" s="14"/>
      <c r="C52" s="14"/>
      <c r="D52" s="94" t="s">
        <v>970</v>
      </c>
      <c r="E52" s="1685"/>
      <c r="F52" s="14"/>
      <c r="G52" s="14"/>
      <c r="H52" s="99"/>
      <c r="I52" s="98"/>
      <c r="J52" s="98"/>
      <c r="K52" s="4"/>
      <c r="L52" s="4"/>
      <c r="M52" s="4"/>
      <c r="N52" s="98"/>
      <c r="O52" s="98"/>
      <c r="P52" s="94"/>
      <c r="Q52" s="94"/>
      <c r="R52" s="14"/>
      <c r="S52" s="14"/>
      <c r="T52" s="14"/>
      <c r="U52" s="438"/>
      <c r="V52" s="436"/>
      <c r="W52" s="494"/>
      <c r="X52" s="494"/>
      <c r="Y52" s="494"/>
    </row>
    <row r="53" spans="1:25" s="102" customFormat="1" ht="12.75" customHeight="1" x14ac:dyDescent="0.2">
      <c r="A53" s="436"/>
      <c r="B53" s="14"/>
      <c r="C53" s="14"/>
      <c r="D53" s="2"/>
      <c r="E53" s="14"/>
      <c r="F53" s="14"/>
      <c r="G53" s="14"/>
      <c r="H53" s="99"/>
      <c r="I53" s="98"/>
      <c r="J53" s="98"/>
      <c r="K53" s="4"/>
      <c r="L53" s="4"/>
      <c r="M53" s="4"/>
      <c r="N53" s="98"/>
      <c r="O53" s="98"/>
      <c r="P53" s="94"/>
      <c r="Q53" s="94"/>
      <c r="R53" s="14"/>
      <c r="S53" s="14"/>
      <c r="T53" s="14"/>
      <c r="U53" s="438"/>
      <c r="V53" s="436"/>
      <c r="W53" s="494"/>
      <c r="X53" s="494"/>
      <c r="Y53" s="494"/>
    </row>
    <row r="54" spans="1:25" s="102" customFormat="1" ht="12.75" customHeight="1" x14ac:dyDescent="0.2">
      <c r="A54" s="436"/>
      <c r="B54" s="14" t="str">
        <f>CONCATENATE("Do the fiscal year ",+TEXT(Data!$A$6,"yyyy")," principal requirements (including debt without interest rate swaps on 315) agree with")</f>
        <v>Do the fiscal year 2023 principal requirements (including debt without interest rate swaps on 315) agree with</v>
      </c>
      <c r="C54" s="14"/>
      <c r="D54" s="2"/>
      <c r="E54" s="14"/>
      <c r="F54" s="14"/>
      <c r="G54" s="14"/>
      <c r="H54" s="99"/>
      <c r="I54" s="98"/>
      <c r="J54" s="98"/>
      <c r="K54" s="4"/>
      <c r="L54" s="4"/>
      <c r="M54" s="4"/>
      <c r="N54" s="98"/>
      <c r="O54" s="98"/>
      <c r="P54" s="94"/>
      <c r="Q54" s="94"/>
      <c r="R54" s="14"/>
      <c r="S54" s="14"/>
      <c r="T54" s="14"/>
      <c r="U54" s="438"/>
      <c r="V54" s="436"/>
      <c r="W54" s="494"/>
      <c r="X54" s="494"/>
      <c r="Y54" s="494"/>
    </row>
    <row r="55" spans="1:25" s="102" customFormat="1" ht="12.75" customHeight="1" x14ac:dyDescent="0.2">
      <c r="A55" s="436"/>
      <c r="B55" s="14" t="s">
        <v>1005</v>
      </c>
      <c r="C55" s="14"/>
      <c r="D55" s="2"/>
      <c r="E55" s="14"/>
      <c r="F55" s="14"/>
      <c r="G55" s="14"/>
      <c r="H55" s="99"/>
      <c r="I55" s="98"/>
      <c r="J55" s="98"/>
      <c r="K55" s="4"/>
      <c r="L55" s="4"/>
      <c r="M55" s="4"/>
      <c r="N55" s="98"/>
      <c r="O55" s="98"/>
      <c r="P55" s="94"/>
      <c r="Q55" s="94"/>
      <c r="R55" s="14"/>
      <c r="S55" s="14"/>
      <c r="T55" s="14"/>
      <c r="U55" s="438"/>
      <c r="V55" s="436"/>
      <c r="W55" s="494"/>
      <c r="X55" s="494"/>
      <c r="Y55" s="494"/>
    </row>
    <row r="56" spans="1:25" s="102" customFormat="1" ht="12.75" customHeight="1" x14ac:dyDescent="0.2">
      <c r="A56" s="436"/>
      <c r="B56" s="15" t="s">
        <v>587</v>
      </c>
      <c r="C56" s="14"/>
      <c r="D56" s="2"/>
      <c r="E56" s="14"/>
      <c r="F56" s="14"/>
      <c r="G56" s="14"/>
      <c r="H56" s="99"/>
      <c r="I56" s="98"/>
      <c r="J56" s="98"/>
      <c r="K56" s="4"/>
      <c r="L56" s="4"/>
      <c r="M56" s="4"/>
      <c r="N56" s="98"/>
      <c r="O56" s="98"/>
      <c r="P56" s="94"/>
      <c r="Q56" s="94"/>
      <c r="R56" s="14"/>
      <c r="S56" s="14"/>
      <c r="T56" s="14"/>
      <c r="U56" s="438"/>
      <c r="V56" s="436"/>
      <c r="W56" s="494"/>
      <c r="X56" s="494"/>
      <c r="Y56" s="494"/>
    </row>
    <row r="57" spans="1:25" s="102" customFormat="1" ht="12.75" customHeight="1" x14ac:dyDescent="0.2">
      <c r="A57" s="436"/>
      <c r="B57" s="14"/>
      <c r="C57" s="14"/>
      <c r="D57" s="94" t="s">
        <v>969</v>
      </c>
      <c r="E57" s="1403"/>
      <c r="F57" s="14"/>
      <c r="G57" s="14"/>
      <c r="H57" s="99"/>
      <c r="I57" s="98"/>
      <c r="J57" s="98"/>
      <c r="K57" s="4"/>
      <c r="L57" s="4"/>
      <c r="M57" s="4"/>
      <c r="N57" s="98"/>
      <c r="O57" s="98"/>
      <c r="P57" s="94"/>
      <c r="Q57" s="94"/>
      <c r="R57" s="14"/>
      <c r="S57" s="14"/>
      <c r="T57" s="14"/>
      <c r="U57" s="438"/>
      <c r="V57" s="436"/>
      <c r="W57" s="494"/>
      <c r="X57" s="494"/>
      <c r="Y57" s="494"/>
    </row>
    <row r="58" spans="1:25" s="102" customFormat="1" ht="12.75" customHeight="1" x14ac:dyDescent="0.2">
      <c r="A58" s="436"/>
      <c r="B58" s="14"/>
      <c r="C58" s="14"/>
      <c r="D58" s="94" t="s">
        <v>970</v>
      </c>
      <c r="E58" s="1685"/>
      <c r="F58" s="14"/>
      <c r="G58" s="14"/>
      <c r="H58" s="99"/>
      <c r="I58" s="98"/>
      <c r="J58" s="98"/>
      <c r="K58" s="4"/>
      <c r="L58" s="4"/>
      <c r="M58" s="4"/>
      <c r="N58" s="98"/>
      <c r="O58" s="98"/>
      <c r="P58" s="94"/>
      <c r="Q58" s="94"/>
      <c r="R58" s="14"/>
      <c r="S58" s="14"/>
      <c r="T58" s="14"/>
      <c r="U58" s="438"/>
      <c r="V58" s="436"/>
      <c r="W58" s="494"/>
      <c r="X58" s="494"/>
      <c r="Y58" s="494"/>
    </row>
    <row r="59" spans="1:25" s="102" customFormat="1" ht="8.1" customHeight="1" x14ac:dyDescent="0.2">
      <c r="A59" s="436"/>
      <c r="B59" s="14"/>
      <c r="C59" s="14"/>
      <c r="D59" s="94"/>
      <c r="E59" s="14"/>
      <c r="F59" s="14"/>
      <c r="G59" s="14"/>
      <c r="H59" s="99"/>
      <c r="I59" s="98"/>
      <c r="J59" s="98"/>
      <c r="K59" s="4"/>
      <c r="L59" s="4"/>
      <c r="M59" s="4"/>
      <c r="N59" s="98"/>
      <c r="O59" s="98"/>
      <c r="P59" s="94"/>
      <c r="Q59" s="94"/>
      <c r="R59" s="14"/>
      <c r="S59" s="14"/>
      <c r="T59" s="14"/>
      <c r="U59" s="438"/>
      <c r="V59" s="436"/>
      <c r="W59" s="494"/>
      <c r="X59" s="494"/>
      <c r="Y59" s="494"/>
    </row>
    <row r="60" spans="1:25" s="102" customFormat="1" ht="12.75" customHeight="1" x14ac:dyDescent="0.2">
      <c r="A60" s="436"/>
      <c r="D60" s="14" t="s">
        <v>236</v>
      </c>
      <c r="E60" s="14"/>
      <c r="F60" s="14"/>
      <c r="G60" s="2866"/>
      <c r="H60" s="2867"/>
      <c r="I60" s="2867"/>
      <c r="J60" s="2867"/>
      <c r="K60" s="2867"/>
      <c r="L60" s="2867"/>
      <c r="M60" s="2867"/>
      <c r="N60" s="2867"/>
      <c r="O60" s="2867"/>
      <c r="P60" s="2867"/>
      <c r="Q60" s="2867"/>
      <c r="R60" s="2867"/>
      <c r="S60" s="14"/>
      <c r="T60" s="14"/>
      <c r="U60" s="438"/>
      <c r="V60" s="436"/>
      <c r="W60" s="494"/>
      <c r="X60" s="494"/>
      <c r="Y60" s="494"/>
    </row>
    <row r="61" spans="1:25" s="102" customFormat="1" ht="14.1" customHeight="1" x14ac:dyDescent="0.2">
      <c r="A61" s="436"/>
      <c r="B61" s="14"/>
      <c r="C61" s="14"/>
      <c r="D61" s="2866"/>
      <c r="E61" s="2868"/>
      <c r="F61" s="2868"/>
      <c r="G61" s="2868"/>
      <c r="H61" s="2868"/>
      <c r="I61" s="2868"/>
      <c r="J61" s="2868"/>
      <c r="K61" s="2868"/>
      <c r="L61" s="2868"/>
      <c r="M61" s="2868"/>
      <c r="N61" s="2868"/>
      <c r="O61" s="2868"/>
      <c r="P61" s="2868"/>
      <c r="Q61" s="2868"/>
      <c r="R61" s="2868"/>
      <c r="S61" s="14"/>
      <c r="T61" s="14"/>
      <c r="U61" s="438"/>
      <c r="V61" s="436"/>
      <c r="W61" s="494"/>
      <c r="X61" s="494"/>
      <c r="Y61" s="494"/>
    </row>
    <row r="62" spans="1:25" s="102" customFormat="1" ht="14.1" customHeight="1" x14ac:dyDescent="0.2">
      <c r="A62" s="436"/>
      <c r="B62" s="14"/>
      <c r="C62" s="14"/>
      <c r="D62" s="2869"/>
      <c r="E62" s="2870"/>
      <c r="F62" s="2870"/>
      <c r="G62" s="2870"/>
      <c r="H62" s="2870"/>
      <c r="I62" s="2870"/>
      <c r="J62" s="2870"/>
      <c r="K62" s="2870"/>
      <c r="L62" s="2870"/>
      <c r="M62" s="2870"/>
      <c r="N62" s="2870"/>
      <c r="O62" s="2870"/>
      <c r="P62" s="2870"/>
      <c r="Q62" s="2870"/>
      <c r="R62" s="2870"/>
      <c r="S62" s="14"/>
      <c r="T62" s="14"/>
      <c r="U62" s="438"/>
      <c r="V62" s="436"/>
      <c r="W62" s="494"/>
      <c r="X62" s="494"/>
      <c r="Y62" s="494"/>
    </row>
    <row r="63" spans="1:25" ht="12.75" customHeight="1" x14ac:dyDescent="0.2"/>
    <row r="64" spans="1:25" ht="12.75" x14ac:dyDescent="0.2">
      <c r="B64" s="14" t="s">
        <v>1330</v>
      </c>
      <c r="C64" s="14"/>
      <c r="D64" s="2"/>
      <c r="E64" s="14"/>
      <c r="F64" s="14"/>
      <c r="G64" s="14"/>
      <c r="H64" s="99"/>
      <c r="I64" s="98"/>
      <c r="J64" s="4"/>
      <c r="K64" s="4"/>
      <c r="L64" s="98"/>
      <c r="M64" s="98"/>
      <c r="N64" s="94"/>
      <c r="O64" s="94"/>
    </row>
    <row r="65" spans="1:15" ht="12.75" x14ac:dyDescent="0.2">
      <c r="B65" s="15" t="s">
        <v>1321</v>
      </c>
      <c r="C65" s="14"/>
      <c r="D65" s="2"/>
      <c r="E65" s="14"/>
      <c r="F65" s="14"/>
      <c r="G65" s="98"/>
      <c r="H65" s="99"/>
      <c r="I65" s="98"/>
      <c r="J65" s="2874"/>
      <c r="K65" s="2874"/>
      <c r="L65" s="2835"/>
      <c r="M65" s="2835"/>
      <c r="N65" s="2875"/>
      <c r="O65" s="2875"/>
    </row>
    <row r="66" spans="1:15" ht="12.75" x14ac:dyDescent="0.2">
      <c r="B66" s="15"/>
      <c r="C66" s="14"/>
      <c r="D66" s="94" t="s">
        <v>969</v>
      </c>
      <c r="E66" s="1403"/>
      <c r="F66" s="14"/>
      <c r="G66" s="98"/>
      <c r="H66" s="99"/>
      <c r="I66" s="98"/>
      <c r="J66" s="909"/>
      <c r="K66" s="909"/>
      <c r="L66" s="98"/>
      <c r="M66" s="98"/>
      <c r="N66" s="902"/>
      <c r="O66" s="902"/>
    </row>
    <row r="67" spans="1:15" ht="12.75" x14ac:dyDescent="0.2">
      <c r="B67" s="15"/>
      <c r="C67" s="14"/>
      <c r="D67" s="94" t="s">
        <v>970</v>
      </c>
      <c r="E67" s="1685"/>
      <c r="F67" s="14"/>
      <c r="G67" s="98"/>
      <c r="H67" s="99"/>
      <c r="I67" s="98"/>
      <c r="J67" s="909"/>
      <c r="K67" s="909"/>
      <c r="L67" s="98"/>
      <c r="M67" s="98"/>
      <c r="N67" s="902"/>
      <c r="O67" s="902"/>
    </row>
    <row r="68" spans="1:15" ht="8.1" customHeight="1" x14ac:dyDescent="0.2">
      <c r="B68" s="15"/>
      <c r="C68" s="14"/>
      <c r="D68" s="2"/>
      <c r="E68" s="14"/>
      <c r="F68" s="14"/>
      <c r="G68" s="98"/>
      <c r="H68" s="99"/>
      <c r="I68" s="98"/>
      <c r="J68" s="909"/>
      <c r="K68" s="909"/>
      <c r="L68" s="98"/>
      <c r="M68" s="98"/>
      <c r="N68" s="902"/>
      <c r="O68" s="902"/>
    </row>
    <row r="69" spans="1:15" ht="12.75" x14ac:dyDescent="0.2">
      <c r="D69" s="14" t="s">
        <v>1329</v>
      </c>
      <c r="E69" s="94"/>
      <c r="F69" s="94"/>
      <c r="G69" s="94"/>
      <c r="H69" s="99"/>
      <c r="I69" s="905"/>
      <c r="J69" s="905"/>
      <c r="K69" s="1686" t="s">
        <v>4238</v>
      </c>
      <c r="L69" s="98"/>
      <c r="M69" s="98"/>
      <c r="N69" s="902"/>
      <c r="O69" s="902"/>
    </row>
    <row r="72" spans="1:15" ht="15" x14ac:dyDescent="0.2">
      <c r="A72" s="443" t="str">
        <f ca="1">MID(CELL("filename",A1),FIND("]",CELL("filename",A1))+1,256)</f>
        <v>320</v>
      </c>
      <c r="B72" s="443" t="s">
        <v>449</v>
      </c>
    </row>
    <row r="73" spans="1:15" ht="15" x14ac:dyDescent="0.2">
      <c r="A73" s="443" t="s">
        <v>446</v>
      </c>
      <c r="B73" s="443" t="str">
        <f t="shared" ref="B73:B82" ca="1" si="4">IF(ISNA(INDEX(ErrorTable,MATCH($A$72&amp;$A73&amp;FALSE,ErrorKey,0),6)),"",INDEX(ErrorTable,MATCH($A$72&amp;$A73&amp;FALSE,ErrorKey,0),6))</f>
        <v/>
      </c>
    </row>
    <row r="74" spans="1:15" ht="15" x14ac:dyDescent="0.2">
      <c r="A74" s="443" t="s">
        <v>447</v>
      </c>
      <c r="B74" s="443" t="str">
        <f t="shared" ca="1" si="4"/>
        <v/>
      </c>
    </row>
    <row r="75" spans="1:15" ht="15" x14ac:dyDescent="0.2">
      <c r="A75" s="443" t="s">
        <v>448</v>
      </c>
      <c r="B75" s="443" t="str">
        <f t="shared" ca="1" si="4"/>
        <v/>
      </c>
    </row>
    <row r="76" spans="1:15" ht="15" x14ac:dyDescent="0.2">
      <c r="A76" s="443" t="s">
        <v>450</v>
      </c>
      <c r="B76" s="443" t="str">
        <f t="shared" ca="1" si="4"/>
        <v>Original issue amount is blank.</v>
      </c>
    </row>
    <row r="77" spans="1:15" ht="15" x14ac:dyDescent="0.2">
      <c r="A77" s="443" t="s">
        <v>451</v>
      </c>
      <c r="B77" s="443" t="str">
        <f t="shared" ca="1" si="4"/>
        <v>"From" interest rate is blank.</v>
      </c>
    </row>
    <row r="78" spans="1:15" ht="15" x14ac:dyDescent="0.2">
      <c r="A78" s="443" t="s">
        <v>452</v>
      </c>
      <c r="B78" s="443" t="str">
        <f t="shared" ca="1" si="4"/>
        <v>"To" interest rate is blank.</v>
      </c>
    </row>
    <row r="79" spans="1:15" ht="15" x14ac:dyDescent="0.2">
      <c r="A79" s="443" t="s">
        <v>453</v>
      </c>
      <c r="B79" s="443" t="str">
        <f t="shared" ca="1" si="4"/>
        <v>Final maturity date is blank.</v>
      </c>
    </row>
    <row r="80" spans="1:15" ht="15" x14ac:dyDescent="0.2">
      <c r="A80" s="443" t="s">
        <v>454</v>
      </c>
      <c r="B80" s="443" t="str">
        <f t="shared" ca="1" si="4"/>
        <v/>
      </c>
    </row>
    <row r="81" spans="1:2" ht="15" x14ac:dyDescent="0.2">
      <c r="A81" s="443" t="s">
        <v>455</v>
      </c>
      <c r="B81" s="443" t="str">
        <f t="shared" ca="1" si="4"/>
        <v/>
      </c>
    </row>
    <row r="82" spans="1:2" ht="15" x14ac:dyDescent="0.2">
      <c r="A82" s="443" t="s">
        <v>456</v>
      </c>
      <c r="B82" s="443" t="str">
        <f t="shared" ca="1" si="4"/>
        <v/>
      </c>
    </row>
  </sheetData>
  <sheetProtection algorithmName="SHA-512" hashValue="10BpeBP1OqzJn1QBGgVDYlHxEMcjufqSc3iGvyoJz1XoBOv5gP1wP616aEOnA/j3re8DNkUiFMfBVrRRB91SBg==" saltValue="kmQUB/5BZ9TfR2VrPBLE4Q=="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88" orientation="portrait" r:id="rId1"/>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88" orientation="portrait" r:id="rId2"/>
      <headerFooter alignWithMargins="0">
        <oddFooter>&amp;R&amp;A</oddFooter>
      </headerFooter>
    </customSheetView>
  </customSheetViews>
  <mergeCells count="25">
    <mergeCell ref="D62:R62"/>
    <mergeCell ref="M41:O41"/>
    <mergeCell ref="P41:R41"/>
    <mergeCell ref="M44:R45"/>
    <mergeCell ref="J65:K65"/>
    <mergeCell ref="L65:M65"/>
    <mergeCell ref="N65:O65"/>
    <mergeCell ref="M38:R40"/>
    <mergeCell ref="M36:R36"/>
    <mergeCell ref="M46:R46"/>
    <mergeCell ref="G60:R60"/>
    <mergeCell ref="D61:R61"/>
    <mergeCell ref="M42:O42"/>
    <mergeCell ref="P42:R42"/>
    <mergeCell ref="S1:S3"/>
    <mergeCell ref="M33:R35"/>
    <mergeCell ref="I7:R7"/>
    <mergeCell ref="I8:R8"/>
    <mergeCell ref="I9:R9"/>
    <mergeCell ref="B3:R3"/>
    <mergeCell ref="B2:R2"/>
    <mergeCell ref="B1:R1"/>
    <mergeCell ref="I10:R10"/>
    <mergeCell ref="B4:R4"/>
    <mergeCell ref="B5:P5"/>
  </mergeCells>
  <phoneticPr fontId="15" type="noConversion"/>
  <conditionalFormatting sqref="S1:S3">
    <cfRule type="cellIs" dxfId="136"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75" right="0.5" top="0.5" bottom="0.5" header="0.5" footer="0.5"/>
  <pageSetup scale="84" orientation="portrait" r:id="rId3"/>
  <headerFooter alignWithMargins="0">
    <oddFooter>&amp;R&amp;A</oddFooter>
  </headerFooter>
  <ignoredErrors>
    <ignoredError sqref="I9:I1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N51"/>
  <sheetViews>
    <sheetView zoomScaleNormal="100" workbookViewId="0">
      <selection activeCell="G1" sqref="G1:J1048576"/>
    </sheetView>
  </sheetViews>
  <sheetFormatPr defaultColWidth="9.42578125" defaultRowHeight="12.75" x14ac:dyDescent="0.2"/>
  <cols>
    <col min="1" max="1" width="11.5703125" style="675" customWidth="1"/>
    <col min="2" max="2" width="2.42578125" style="675" customWidth="1"/>
    <col min="3" max="3" width="14.5703125" style="675" customWidth="1"/>
    <col min="4" max="4" width="2.42578125" style="675" customWidth="1"/>
    <col min="5" max="5" width="59.42578125" style="675" customWidth="1"/>
    <col min="6" max="6" width="6.5703125" style="675" customWidth="1"/>
    <col min="7" max="7" width="46.5703125" style="675" hidden="1" customWidth="1"/>
    <col min="8" max="8" width="9.140625" style="675" hidden="1" customWidth="1"/>
    <col min="9" max="9" width="10.5703125" style="675" hidden="1" customWidth="1"/>
    <col min="10" max="10" width="10.140625" style="675" hidden="1" customWidth="1"/>
    <col min="11" max="13" width="12.42578125" style="675" customWidth="1"/>
    <col min="14" max="16384" width="9.42578125" style="675"/>
  </cols>
  <sheetData>
    <row r="1" spans="1:14" s="1663" customFormat="1" ht="18.75" x14ac:dyDescent="0.3">
      <c r="A1" s="2695" t="s">
        <v>1007</v>
      </c>
      <c r="B1" s="2696"/>
      <c r="C1" s="2696"/>
      <c r="D1" s="2696"/>
      <c r="E1" s="2696"/>
    </row>
    <row r="2" spans="1:14" s="1663" customFormat="1" ht="15.75" x14ac:dyDescent="0.25">
      <c r="A2" s="2697" t="s">
        <v>5338</v>
      </c>
      <c r="B2" s="2697"/>
      <c r="C2" s="2697"/>
      <c r="D2" s="2697"/>
      <c r="E2" s="2697"/>
      <c r="G2" s="1864" t="s">
        <v>4482</v>
      </c>
    </row>
    <row r="3" spans="1:14" s="1663" customFormat="1" ht="15.75" x14ac:dyDescent="0.25">
      <c r="A3" s="1673"/>
      <c r="B3" s="1673"/>
      <c r="C3" s="1673"/>
      <c r="D3" s="1673"/>
      <c r="E3" s="1673"/>
    </row>
    <row r="4" spans="1:14" ht="15.75" customHeight="1" x14ac:dyDescent="0.25">
      <c r="G4" s="2698" t="s">
        <v>4235</v>
      </c>
      <c r="H4" s="2698"/>
      <c r="I4" s="2698"/>
      <c r="J4" s="2698"/>
    </row>
    <row r="5" spans="1:14" ht="95.1" customHeight="1" thickBot="1" x14ac:dyDescent="0.3">
      <c r="A5" s="1675" t="s">
        <v>4229</v>
      </c>
      <c r="C5" s="1675" t="s">
        <v>4234</v>
      </c>
      <c r="E5" s="1674" t="s">
        <v>4236</v>
      </c>
      <c r="G5" s="1675" t="s">
        <v>4230</v>
      </c>
      <c r="H5" s="1675" t="s">
        <v>4231</v>
      </c>
      <c r="I5" s="1675" t="s">
        <v>4232</v>
      </c>
      <c r="J5" s="1675" t="s">
        <v>4233</v>
      </c>
    </row>
    <row r="6" spans="1:14" ht="114.75" thickBot="1" x14ac:dyDescent="0.25">
      <c r="A6" s="1891">
        <v>44707</v>
      </c>
      <c r="B6" s="1892"/>
      <c r="C6" s="1893" t="s">
        <v>5779</v>
      </c>
      <c r="D6" s="1892"/>
      <c r="E6" s="1894" t="s">
        <v>5781</v>
      </c>
      <c r="G6" s="2457" t="s">
        <v>4392</v>
      </c>
      <c r="H6" s="1680">
        <v>44707</v>
      </c>
      <c r="I6" s="1680">
        <v>44707</v>
      </c>
      <c r="J6" s="1834"/>
    </row>
    <row r="7" spans="1:14" ht="114" x14ac:dyDescent="0.2">
      <c r="A7" s="1891">
        <v>44707</v>
      </c>
      <c r="B7" s="1892"/>
      <c r="C7" s="1893" t="s">
        <v>5779</v>
      </c>
      <c r="D7" s="1892"/>
      <c r="E7" s="1894" t="s">
        <v>5780</v>
      </c>
      <c r="G7" s="2457" t="s">
        <v>4392</v>
      </c>
      <c r="H7" s="1680">
        <v>44707</v>
      </c>
      <c r="I7" s="1680">
        <v>44707</v>
      </c>
      <c r="J7" s="1834"/>
      <c r="N7" s="2686"/>
    </row>
    <row r="8" spans="1:14" ht="57" customHeight="1" x14ac:dyDescent="0.2">
      <c r="A8" s="2201">
        <v>44729</v>
      </c>
      <c r="B8" s="2164"/>
      <c r="C8" s="2693" t="s">
        <v>5783</v>
      </c>
      <c r="D8" s="2164"/>
      <c r="E8" s="2165" t="s">
        <v>5784</v>
      </c>
      <c r="F8" s="2166"/>
      <c r="G8" s="1833" t="s">
        <v>5785</v>
      </c>
      <c r="H8" s="1680">
        <v>44729</v>
      </c>
      <c r="I8" s="1680">
        <v>44729</v>
      </c>
      <c r="J8" s="1834"/>
    </row>
    <row r="9" spans="1:14" ht="14.25" x14ac:dyDescent="0.2">
      <c r="A9" s="1895"/>
      <c r="B9" s="1892"/>
      <c r="C9" s="1893"/>
      <c r="D9" s="1892"/>
      <c r="E9" s="1894"/>
      <c r="G9" s="1679"/>
      <c r="H9" s="1680"/>
      <c r="I9" s="1680"/>
      <c r="J9" s="1680"/>
    </row>
    <row r="10" spans="1:14" ht="14.25" x14ac:dyDescent="0.2">
      <c r="A10" s="1895"/>
      <c r="B10" s="1892"/>
      <c r="C10" s="1893"/>
      <c r="D10" s="1892"/>
      <c r="E10" s="1894"/>
      <c r="G10" s="1681"/>
      <c r="H10" s="1680"/>
      <c r="I10" s="1680"/>
      <c r="J10" s="1680"/>
    </row>
    <row r="11" spans="1:14" ht="33" customHeight="1" x14ac:dyDescent="0.2">
      <c r="A11" s="1895"/>
      <c r="B11" s="1892"/>
      <c r="C11" s="1893"/>
      <c r="D11" s="1892"/>
      <c r="E11" s="1894"/>
      <c r="G11" s="1833"/>
      <c r="H11" s="1680"/>
      <c r="I11" s="1680"/>
      <c r="J11" s="1834"/>
    </row>
    <row r="12" spans="1:14" s="1667" customFormat="1" ht="33" customHeight="1" x14ac:dyDescent="0.2">
      <c r="A12" s="1895"/>
      <c r="B12" s="1897"/>
      <c r="C12" s="1893"/>
      <c r="D12" s="1897"/>
      <c r="E12" s="1894"/>
      <c r="G12" s="1681"/>
      <c r="H12" s="1682"/>
      <c r="I12" s="1682"/>
      <c r="J12" s="1682"/>
    </row>
    <row r="13" spans="1:14" ht="33" customHeight="1" x14ac:dyDescent="0.2">
      <c r="A13" s="1895"/>
      <c r="B13" s="1892"/>
      <c r="C13" s="1893"/>
      <c r="D13" s="1892"/>
      <c r="E13" s="1894"/>
      <c r="G13" s="1833"/>
      <c r="H13" s="1682"/>
      <c r="I13" s="1682"/>
      <c r="J13" s="1682"/>
    </row>
    <row r="14" spans="1:14" ht="49.35" customHeight="1" x14ac:dyDescent="0.2">
      <c r="A14" s="2201"/>
      <c r="B14" s="1892"/>
      <c r="C14" s="1893"/>
      <c r="D14" s="1892"/>
      <c r="E14" s="1894"/>
      <c r="G14" s="1833"/>
      <c r="H14" s="1680"/>
      <c r="I14" s="1680"/>
      <c r="J14" s="1680"/>
    </row>
    <row r="15" spans="1:14" ht="113.45" customHeight="1" x14ac:dyDescent="0.2">
      <c r="A15" s="2201"/>
      <c r="B15" s="1892"/>
      <c r="C15" s="2200"/>
      <c r="D15" s="1892"/>
      <c r="E15" s="2199"/>
      <c r="G15" s="1833"/>
      <c r="H15" s="1680"/>
      <c r="I15" s="1680"/>
      <c r="J15" s="1680"/>
    </row>
    <row r="16" spans="1:14" ht="33" customHeight="1" x14ac:dyDescent="0.2">
      <c r="A16" s="1895"/>
      <c r="B16" s="1892"/>
      <c r="C16" s="1893"/>
      <c r="D16" s="1892"/>
      <c r="E16" s="1896"/>
      <c r="G16" s="1679"/>
      <c r="H16" s="1680"/>
      <c r="I16" s="1680"/>
      <c r="J16" s="1680"/>
    </row>
    <row r="17" spans="1:10" ht="33" customHeight="1" x14ac:dyDescent="0.2">
      <c r="A17" s="1677"/>
      <c r="B17" s="1664"/>
      <c r="C17" s="1683"/>
      <c r="D17" s="1664"/>
      <c r="E17" s="1676"/>
      <c r="G17" s="1679"/>
      <c r="H17" s="1680"/>
      <c r="I17" s="1680"/>
      <c r="J17" s="1680"/>
    </row>
    <row r="18" spans="1:10" ht="33" customHeight="1" x14ac:dyDescent="0.2">
      <c r="A18" s="1677"/>
      <c r="B18" s="1664"/>
      <c r="C18" s="1683"/>
      <c r="D18" s="1664"/>
      <c r="E18" s="1676"/>
      <c r="G18" s="1679"/>
      <c r="H18" s="1680"/>
      <c r="I18" s="1680"/>
      <c r="J18" s="1680"/>
    </row>
    <row r="19" spans="1:10" ht="33" customHeight="1" x14ac:dyDescent="0.2">
      <c r="A19" s="1677"/>
      <c r="B19" s="1664"/>
      <c r="C19" s="1683"/>
      <c r="D19" s="1664"/>
      <c r="E19" s="1676"/>
      <c r="G19" s="1679"/>
      <c r="H19" s="1680"/>
      <c r="I19" s="1680"/>
      <c r="J19" s="1680"/>
    </row>
    <row r="20" spans="1:10" ht="33" customHeight="1" x14ac:dyDescent="0.2">
      <c r="A20" s="1677"/>
      <c r="B20" s="1664"/>
      <c r="C20" s="1684"/>
      <c r="D20" s="1664"/>
      <c r="E20" s="1676"/>
      <c r="G20" s="1679"/>
      <c r="H20" s="1680"/>
      <c r="I20" s="1680"/>
      <c r="J20" s="1680"/>
    </row>
    <row r="21" spans="1:10" ht="33" customHeight="1" x14ac:dyDescent="0.2">
      <c r="A21" s="1677"/>
      <c r="B21" s="1664"/>
      <c r="C21" s="1683"/>
      <c r="D21" s="1664"/>
      <c r="E21" s="1676"/>
      <c r="G21" s="1679"/>
      <c r="H21" s="1680"/>
      <c r="I21" s="1680"/>
      <c r="J21" s="1680"/>
    </row>
    <row r="22" spans="1:10" ht="33" customHeight="1" x14ac:dyDescent="0.2">
      <c r="A22" s="1677"/>
      <c r="B22" s="1664"/>
      <c r="C22" s="1683"/>
      <c r="D22" s="1664"/>
      <c r="E22" s="1676"/>
      <c r="G22" s="1679"/>
      <c r="H22" s="1680"/>
      <c r="I22" s="1680"/>
      <c r="J22" s="1680"/>
    </row>
    <row r="23" spans="1:10" ht="33" customHeight="1" x14ac:dyDescent="0.2">
      <c r="A23" s="1677"/>
      <c r="B23" s="1664"/>
      <c r="C23" s="1683"/>
      <c r="D23" s="1664"/>
      <c r="E23" s="1676"/>
      <c r="G23" s="1679"/>
      <c r="H23" s="1680"/>
      <c r="I23" s="1680"/>
      <c r="J23" s="1680"/>
    </row>
    <row r="24" spans="1:10" ht="33" customHeight="1" x14ac:dyDescent="0.2">
      <c r="A24" s="1677"/>
      <c r="B24" s="1664"/>
      <c r="C24" s="1683"/>
      <c r="D24" s="1664"/>
      <c r="E24" s="1676"/>
      <c r="G24" s="1679"/>
      <c r="H24" s="1680"/>
      <c r="I24" s="1680"/>
      <c r="J24" s="1680"/>
    </row>
    <row r="25" spans="1:10" ht="33" customHeight="1" x14ac:dyDescent="0.2">
      <c r="A25" s="1677"/>
      <c r="B25" s="1664"/>
      <c r="C25" s="1683"/>
      <c r="D25" s="1664"/>
      <c r="E25" s="1676"/>
      <c r="G25" s="1679"/>
      <c r="H25" s="1680"/>
      <c r="I25" s="1680"/>
      <c r="J25" s="1680"/>
    </row>
    <row r="26" spans="1:10" ht="33" customHeight="1" x14ac:dyDescent="0.2">
      <c r="A26" s="1677"/>
      <c r="B26" s="1664"/>
      <c r="C26" s="1683"/>
      <c r="D26" s="1664"/>
      <c r="E26" s="1676"/>
      <c r="G26" s="1679"/>
      <c r="H26" s="1680"/>
      <c r="I26" s="1680"/>
      <c r="J26" s="1680"/>
    </row>
    <row r="27" spans="1:10" ht="33" customHeight="1" x14ac:dyDescent="0.2">
      <c r="A27" s="1677"/>
      <c r="B27" s="1664"/>
      <c r="C27" s="1683"/>
      <c r="D27" s="1664"/>
      <c r="E27" s="1676"/>
      <c r="G27" s="1679"/>
      <c r="H27" s="1680"/>
      <c r="I27" s="1680"/>
      <c r="J27" s="1680"/>
    </row>
    <row r="28" spans="1:10" ht="33" customHeight="1" x14ac:dyDescent="0.2">
      <c r="A28" s="1677"/>
      <c r="B28" s="1664"/>
      <c r="C28" s="1683"/>
      <c r="D28" s="1664"/>
      <c r="E28" s="1676"/>
      <c r="G28" s="1679"/>
      <c r="H28" s="1680"/>
      <c r="I28" s="1680"/>
      <c r="J28" s="1680"/>
    </row>
    <row r="29" spans="1:10" ht="33" customHeight="1" x14ac:dyDescent="0.2">
      <c r="A29" s="1677"/>
      <c r="B29" s="1664"/>
      <c r="C29" s="1683"/>
      <c r="D29" s="1664"/>
      <c r="E29" s="1676"/>
      <c r="G29" s="1679"/>
      <c r="H29" s="1680"/>
      <c r="I29" s="1680"/>
      <c r="J29" s="1680"/>
    </row>
    <row r="30" spans="1:10" ht="33" customHeight="1" x14ac:dyDescent="0.2">
      <c r="A30" s="1677"/>
      <c r="B30" s="1664"/>
      <c r="C30" s="1683"/>
      <c r="D30" s="1664"/>
      <c r="E30" s="1676"/>
      <c r="G30" s="1679"/>
      <c r="H30" s="1680"/>
      <c r="I30" s="1680"/>
      <c r="J30" s="1680"/>
    </row>
    <row r="31" spans="1:10" ht="33" customHeight="1" x14ac:dyDescent="0.2">
      <c r="A31" s="1677"/>
      <c r="B31" s="1664"/>
      <c r="C31" s="1683"/>
      <c r="D31" s="1664"/>
      <c r="E31" s="1676"/>
      <c r="G31" s="1679"/>
      <c r="H31" s="1680"/>
      <c r="I31" s="1680"/>
      <c r="J31" s="1680"/>
    </row>
    <row r="32" spans="1:10" ht="33" customHeight="1" x14ac:dyDescent="0.2">
      <c r="A32" s="1678"/>
      <c r="B32" s="1664"/>
      <c r="C32" s="1683"/>
      <c r="D32" s="1664"/>
      <c r="E32" s="1676"/>
      <c r="G32" s="1679"/>
      <c r="H32" s="1680"/>
      <c r="I32" s="1680"/>
      <c r="J32" s="1680"/>
    </row>
    <row r="33" spans="1:10" ht="33" customHeight="1" x14ac:dyDescent="0.2">
      <c r="A33" s="1678"/>
      <c r="B33" s="1664"/>
      <c r="C33" s="1683"/>
      <c r="D33" s="1664"/>
      <c r="E33" s="1676"/>
      <c r="G33" s="1679"/>
      <c r="H33" s="1680"/>
      <c r="I33" s="1680"/>
      <c r="J33" s="1680"/>
    </row>
    <row r="34" spans="1:10" ht="33" customHeight="1" x14ac:dyDescent="0.2">
      <c r="A34" s="1678"/>
      <c r="B34" s="1664"/>
      <c r="C34" s="1683"/>
      <c r="D34" s="1664"/>
      <c r="E34" s="1676"/>
      <c r="G34" s="1679"/>
      <c r="H34" s="1680"/>
      <c r="I34" s="1680"/>
      <c r="J34" s="1680"/>
    </row>
    <row r="35" spans="1:10" ht="14.25" x14ac:dyDescent="0.2">
      <c r="A35" s="1664"/>
      <c r="B35" s="1664"/>
      <c r="C35" s="1671"/>
      <c r="D35" s="1664"/>
      <c r="E35" s="1672"/>
    </row>
    <row r="36" spans="1:10" ht="14.25" x14ac:dyDescent="0.2">
      <c r="A36" s="1664"/>
      <c r="B36" s="1664"/>
      <c r="C36" s="1671"/>
      <c r="D36" s="1664"/>
      <c r="E36" s="1672"/>
    </row>
    <row r="37" spans="1:10" ht="14.25" x14ac:dyDescent="0.2">
      <c r="A37" s="1664"/>
      <c r="B37" s="1664"/>
      <c r="C37" s="1671"/>
      <c r="D37" s="1664"/>
      <c r="E37" s="1672"/>
    </row>
    <row r="38" spans="1:10" ht="14.25" x14ac:dyDescent="0.2">
      <c r="A38" s="1664"/>
      <c r="B38" s="1664"/>
      <c r="C38" s="1671"/>
      <c r="D38" s="1664"/>
      <c r="E38" s="1672"/>
    </row>
    <row r="39" spans="1:10" ht="14.25" x14ac:dyDescent="0.2">
      <c r="A39" s="1664"/>
      <c r="B39" s="1664"/>
      <c r="C39" s="1671"/>
      <c r="D39" s="1664"/>
      <c r="E39" s="1672"/>
    </row>
    <row r="40" spans="1:10" ht="14.25" x14ac:dyDescent="0.2">
      <c r="A40" s="1664"/>
      <c r="B40" s="1664"/>
      <c r="C40" s="1671"/>
      <c r="D40" s="1664"/>
      <c r="E40" s="1672"/>
    </row>
    <row r="41" spans="1:10" ht="14.25" x14ac:dyDescent="0.2">
      <c r="A41" s="1664"/>
      <c r="B41" s="1664"/>
      <c r="C41" s="1671"/>
      <c r="D41" s="1664"/>
      <c r="E41" s="1672"/>
    </row>
    <row r="42" spans="1:10" ht="14.25" x14ac:dyDescent="0.2">
      <c r="A42" s="1664"/>
      <c r="B42" s="1664"/>
      <c r="C42" s="1671"/>
      <c r="D42" s="1664"/>
      <c r="E42" s="1672"/>
    </row>
    <row r="43" spans="1:10" ht="14.25" x14ac:dyDescent="0.2">
      <c r="A43" s="1664"/>
      <c r="B43" s="1664"/>
      <c r="C43" s="1671"/>
      <c r="D43" s="1664"/>
      <c r="E43" s="1672"/>
    </row>
    <row r="44" spans="1:10" ht="14.25" x14ac:dyDescent="0.2">
      <c r="A44" s="1664"/>
      <c r="B44" s="1664"/>
      <c r="C44" s="1671"/>
      <c r="D44" s="1664"/>
      <c r="E44" s="1672"/>
    </row>
    <row r="45" spans="1:10" ht="14.25" x14ac:dyDescent="0.2">
      <c r="A45" s="1664"/>
      <c r="B45" s="1664"/>
      <c r="C45" s="1671"/>
      <c r="D45" s="1664"/>
      <c r="E45" s="1672"/>
    </row>
    <row r="46" spans="1:10" ht="14.25" x14ac:dyDescent="0.2">
      <c r="A46" s="1664"/>
      <c r="B46" s="1664"/>
      <c r="C46" s="1671"/>
      <c r="D46" s="1664"/>
      <c r="E46" s="1672"/>
    </row>
    <row r="47" spans="1:10" ht="14.25" x14ac:dyDescent="0.2">
      <c r="A47" s="1664"/>
      <c r="B47" s="1664"/>
      <c r="C47" s="1671"/>
      <c r="D47" s="1664"/>
      <c r="E47" s="1672"/>
    </row>
    <row r="48" spans="1:10" ht="14.25" x14ac:dyDescent="0.2">
      <c r="A48" s="1664"/>
      <c r="B48" s="1664"/>
      <c r="C48" s="1671"/>
      <c r="D48" s="1664"/>
      <c r="E48" s="1672"/>
    </row>
    <row r="49" spans="1:5" ht="14.25" x14ac:dyDescent="0.2">
      <c r="A49" s="1664"/>
      <c r="B49" s="1664"/>
      <c r="C49" s="1671"/>
      <c r="D49" s="1664"/>
      <c r="E49" s="1672"/>
    </row>
    <row r="50" spans="1:5" ht="14.25" x14ac:dyDescent="0.2">
      <c r="A50" s="1664"/>
      <c r="B50" s="1664"/>
      <c r="C50" s="1671"/>
      <c r="D50" s="1664"/>
      <c r="E50" s="1672"/>
    </row>
    <row r="51" spans="1:5" ht="14.25" x14ac:dyDescent="0.2">
      <c r="A51" s="1664"/>
      <c r="B51" s="1664"/>
      <c r="C51" s="1671"/>
      <c r="D51" s="1664"/>
      <c r="E51" s="1672"/>
    </row>
  </sheetData>
  <sheetProtection algorithmName="SHA-512" hashValue="UKKDOFzKhA4Y/+Hc2lEPWHhYViLlaL9TWQUjmMQPq5UgarzqNRq81jBjGBMq1UxdAWl2HN1WQYS9z6QDSMiE5A==" saltValue="6GguX0CJl9Au70a3fqxbCQ==" spinCount="100000" sheet="1" objects="1" scenarios="1" autoFilter="0"/>
  <mergeCells count="3">
    <mergeCell ref="A1:E1"/>
    <mergeCell ref="A2:E2"/>
    <mergeCell ref="G4:J4"/>
  </mergeCells>
  <pageMargins left="0.5" right="0.5" top="0.5" bottom="0.5" header="0.3" footer="0.3"/>
  <pageSetup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AA65"/>
  <sheetViews>
    <sheetView showGridLines="0" zoomScaleNormal="100" workbookViewId="0">
      <selection activeCell="A15" sqref="A15:E15"/>
    </sheetView>
  </sheetViews>
  <sheetFormatPr defaultColWidth="9.42578125" defaultRowHeight="11.25" x14ac:dyDescent="0.2"/>
  <cols>
    <col min="1" max="1" width="1.5703125" style="40" customWidth="1"/>
    <col min="2" max="2" width="4.42578125" style="40" customWidth="1"/>
    <col min="3" max="3" width="7.5703125" style="40" customWidth="1"/>
    <col min="4" max="4" width="1.5703125" style="40" customWidth="1"/>
    <col min="5" max="5" width="13.5703125" style="40" customWidth="1"/>
    <col min="6" max="6" width="1.5703125" style="40" customWidth="1"/>
    <col min="7" max="7" width="9.5703125" style="40" customWidth="1"/>
    <col min="8" max="8" width="2.5703125" style="40" customWidth="1"/>
    <col min="9" max="9" width="16.5703125" style="40" customWidth="1"/>
    <col min="10" max="10" width="1.42578125" style="40" customWidth="1"/>
    <col min="11" max="11" width="8.42578125" style="40" customWidth="1"/>
    <col min="12" max="12" width="6.42578125" style="40" customWidth="1"/>
    <col min="13" max="13" width="22.5703125" style="40" customWidth="1"/>
    <col min="14" max="14" width="4.5703125" style="40" customWidth="1"/>
    <col min="15" max="16384" width="9.42578125" style="40"/>
  </cols>
  <sheetData>
    <row r="1" spans="1:27"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829" t="str">
        <f>IF(Index!$B$34="na","NA","")</f>
        <v/>
      </c>
      <c r="AA1" s="42"/>
    </row>
    <row r="2" spans="1:27" s="41" customFormat="1" ht="15" customHeight="1" x14ac:dyDescent="0.25">
      <c r="A2" s="2808" t="str">
        <f>+Index!$A$2</f>
        <v>2022 ACFR Worksheets</v>
      </c>
      <c r="B2" s="2808"/>
      <c r="C2" s="2808"/>
      <c r="D2" s="2808"/>
      <c r="E2" s="2808"/>
      <c r="F2" s="2808"/>
      <c r="G2" s="2808"/>
      <c r="H2" s="2808"/>
      <c r="I2" s="2808"/>
      <c r="J2" s="2808"/>
      <c r="K2" s="2808"/>
      <c r="L2" s="2808"/>
      <c r="M2" s="2808"/>
      <c r="N2" s="2829"/>
    </row>
    <row r="3" spans="1:27" s="41" customFormat="1" ht="15" customHeight="1" x14ac:dyDescent="0.25">
      <c r="A3" s="2808" t="s">
        <v>3502</v>
      </c>
      <c r="B3" s="2808"/>
      <c r="C3" s="2808"/>
      <c r="D3" s="2808"/>
      <c r="E3" s="2808"/>
      <c r="F3" s="2808"/>
      <c r="G3" s="2808"/>
      <c r="H3" s="2808"/>
      <c r="I3" s="2808"/>
      <c r="J3" s="2808"/>
      <c r="K3" s="2808"/>
      <c r="L3" s="2808"/>
      <c r="M3" s="2808"/>
      <c r="N3" s="2829"/>
    </row>
    <row r="4" spans="1:27" s="132" customFormat="1" ht="15" customHeight="1" x14ac:dyDescent="0.2">
      <c r="H4" s="137"/>
    </row>
    <row r="5" spans="1:27" s="132" customFormat="1" ht="15" customHeight="1" x14ac:dyDescent="0.2">
      <c r="D5" s="137"/>
      <c r="I5" s="134" t="s">
        <v>327</v>
      </c>
      <c r="J5" s="2886" t="str">
        <f>+Index!$E$10</f>
        <v>01</v>
      </c>
      <c r="K5" s="2886"/>
      <c r="L5" s="2886"/>
      <c r="M5" s="2886"/>
      <c r="N5" s="890"/>
    </row>
    <row r="6" spans="1:27" s="132" customFormat="1" ht="15" customHeight="1" x14ac:dyDescent="0.2">
      <c r="I6" s="134" t="s">
        <v>1154</v>
      </c>
      <c r="J6" s="2880" t="str">
        <f>+Index!$E$11</f>
        <v>North Carolina General Assembly</v>
      </c>
      <c r="K6" s="2880"/>
      <c r="L6" s="2880"/>
      <c r="M6" s="2880"/>
      <c r="N6" s="890"/>
    </row>
    <row r="7" spans="1:27" s="132" customFormat="1" ht="15" customHeight="1" x14ac:dyDescent="0.2">
      <c r="A7" s="132" t="s">
        <v>477</v>
      </c>
      <c r="D7" s="2881" t="s">
        <v>805</v>
      </c>
      <c r="E7" s="2882"/>
      <c r="I7" s="134" t="s">
        <v>972</v>
      </c>
      <c r="J7" s="2832" t="str">
        <f>CONCATENATE(Index!$E$12," ",Index!$E$14)</f>
        <v xml:space="preserve"> </v>
      </c>
      <c r="K7" s="2832"/>
      <c r="L7" s="2832"/>
      <c r="M7" s="2832"/>
      <c r="N7" s="891"/>
    </row>
    <row r="8" spans="1:27" s="132" customFormat="1" ht="15" customHeight="1" x14ac:dyDescent="0.2">
      <c r="D8" s="137"/>
      <c r="I8" s="134" t="s">
        <v>348</v>
      </c>
      <c r="J8" s="2883">
        <f>+Index!$E$13</f>
        <v>0</v>
      </c>
      <c r="K8" s="2883"/>
      <c r="L8" s="2883"/>
      <c r="M8" s="2883"/>
      <c r="N8" s="892"/>
    </row>
    <row r="9" spans="1:27" s="132" customFormat="1" ht="6" customHeight="1" thickBot="1" x14ac:dyDescent="0.25">
      <c r="A9" s="136"/>
      <c r="B9" s="136"/>
      <c r="C9" s="136"/>
      <c r="D9" s="136"/>
      <c r="E9" s="136"/>
      <c r="F9" s="136"/>
      <c r="G9" s="136"/>
      <c r="H9" s="136"/>
      <c r="I9" s="136"/>
      <c r="J9" s="136"/>
      <c r="K9" s="136"/>
      <c r="L9" s="136"/>
      <c r="M9" s="136"/>
    </row>
    <row r="10" spans="1:27" s="132" customFormat="1" ht="5.0999999999999996" customHeight="1" x14ac:dyDescent="0.2"/>
    <row r="11" spans="1:27" s="132" customFormat="1" ht="5.0999999999999996" customHeight="1" x14ac:dyDescent="0.2"/>
    <row r="12" spans="1:27" s="132" customFormat="1" ht="12.75" customHeight="1" x14ac:dyDescent="0.2">
      <c r="A12" s="2878" t="s">
        <v>1268</v>
      </c>
      <c r="B12" s="2696"/>
      <c r="C12" s="2696"/>
      <c r="D12" s="2696"/>
      <c r="E12" s="2696"/>
      <c r="F12" s="2696"/>
      <c r="G12" s="2696"/>
      <c r="H12" s="2696"/>
      <c r="I12" s="2696"/>
      <c r="J12" s="2696"/>
      <c r="K12" s="2696"/>
      <c r="L12" s="2696"/>
      <c r="M12" s="2696"/>
    </row>
    <row r="13" spans="1:27" s="132" customFormat="1" ht="12.75" customHeight="1" x14ac:dyDescent="0.2">
      <c r="A13" s="2879" t="s">
        <v>4172</v>
      </c>
      <c r="B13" s="2696"/>
      <c r="C13" s="2696"/>
      <c r="D13" s="2696"/>
      <c r="E13" s="2696"/>
      <c r="F13" s="2696"/>
      <c r="G13" s="2696"/>
      <c r="H13" s="2696"/>
      <c r="I13" s="2696"/>
      <c r="J13" s="2696"/>
      <c r="K13" s="2696"/>
      <c r="L13" s="2696"/>
      <c r="M13" s="2696"/>
    </row>
    <row r="14" spans="1:27" s="132" customFormat="1" ht="12.75" customHeight="1" x14ac:dyDescent="0.2">
      <c r="A14" s="1653" t="s">
        <v>4175</v>
      </c>
      <c r="B14"/>
      <c r="C14"/>
      <c r="D14"/>
      <c r="E14"/>
      <c r="F14"/>
      <c r="G14"/>
      <c r="H14"/>
      <c r="I14"/>
      <c r="J14"/>
      <c r="K14"/>
      <c r="L14"/>
      <c r="M14"/>
    </row>
    <row r="15" spans="1:27" s="132" customFormat="1" ht="12.75" customHeight="1" x14ac:dyDescent="0.2">
      <c r="A15" s="2884" t="s">
        <v>4173</v>
      </c>
      <c r="B15" s="2885"/>
      <c r="C15" s="2885"/>
      <c r="D15" s="2885"/>
      <c r="E15" s="2885"/>
      <c r="F15"/>
      <c r="G15"/>
      <c r="H15"/>
      <c r="I15"/>
      <c r="J15"/>
      <c r="K15"/>
      <c r="L15"/>
      <c r="M15"/>
    </row>
    <row r="16" spans="1:27" s="132" customFormat="1" ht="10.35" customHeight="1" x14ac:dyDescent="0.2">
      <c r="A16" s="1654"/>
      <c r="B16" s="2"/>
      <c r="C16" s="2"/>
      <c r="D16" s="2"/>
      <c r="E16" s="2"/>
      <c r="F16"/>
      <c r="G16"/>
      <c r="H16"/>
      <c r="I16"/>
      <c r="J16"/>
      <c r="K16"/>
      <c r="L16"/>
      <c r="M16"/>
    </row>
    <row r="17" spans="1:13" s="132" customFormat="1" ht="14.1" customHeight="1" x14ac:dyDescent="0.25">
      <c r="A17" s="2879" t="s">
        <v>4174</v>
      </c>
      <c r="B17" s="2696"/>
      <c r="C17" s="2696"/>
      <c r="D17" s="2696"/>
      <c r="E17" s="2696"/>
      <c r="F17" s="2696"/>
      <c r="G17" s="2696"/>
      <c r="H17" s="2696"/>
      <c r="I17" s="2696"/>
      <c r="J17" s="2696"/>
      <c r="K17" s="2696"/>
      <c r="L17" s="2696"/>
      <c r="M17" s="2696"/>
    </row>
    <row r="18" spans="1:13" s="132" customFormat="1" ht="10.35" customHeight="1" x14ac:dyDescent="0.2">
      <c r="A18" s="834"/>
      <c r="B18"/>
      <c r="C18"/>
      <c r="D18"/>
      <c r="E18"/>
      <c r="F18"/>
      <c r="G18"/>
      <c r="H18"/>
      <c r="I18"/>
      <c r="J18"/>
      <c r="K18"/>
      <c r="L18"/>
      <c r="M18"/>
    </row>
    <row r="19" spans="1:13" s="132" customFormat="1" ht="15" customHeight="1" x14ac:dyDescent="0.2">
      <c r="A19" s="828" t="s">
        <v>1267</v>
      </c>
    </row>
    <row r="20" spans="1:13" s="132" customFormat="1" ht="15" customHeight="1" x14ac:dyDescent="0.2">
      <c r="B20" s="827" t="s">
        <v>1266</v>
      </c>
      <c r="C20" s="822"/>
      <c r="G20" s="827"/>
      <c r="I20" s="886"/>
      <c r="K20" s="829" t="s">
        <v>1265</v>
      </c>
    </row>
    <row r="21" spans="1:13" s="132" customFormat="1" ht="14.85" customHeight="1" x14ac:dyDescent="0.2">
      <c r="B21" s="132" t="s">
        <v>1264</v>
      </c>
      <c r="C21" s="822"/>
      <c r="G21" s="827"/>
      <c r="I21" s="887"/>
      <c r="K21" s="829" t="s">
        <v>1263</v>
      </c>
    </row>
    <row r="22" spans="1:13" s="132" customFormat="1" ht="14.85" customHeight="1" thickBot="1" x14ac:dyDescent="0.25">
      <c r="B22" s="833" t="s">
        <v>1262</v>
      </c>
      <c r="C22" s="822"/>
      <c r="G22" s="827"/>
      <c r="I22" s="888">
        <f>SUM(I20:I21)</f>
        <v>0</v>
      </c>
      <c r="K22" s="829" t="s">
        <v>1261</v>
      </c>
    </row>
    <row r="23" spans="1:13" s="132" customFormat="1" ht="6" customHeight="1" thickTop="1" x14ac:dyDescent="0.2">
      <c r="C23" s="833"/>
      <c r="G23" s="827"/>
      <c r="I23" s="830"/>
      <c r="K23" s="829"/>
    </row>
    <row r="24" spans="1:13" s="132" customFormat="1" ht="11.1" customHeight="1" x14ac:dyDescent="0.25">
      <c r="B24" s="832" t="s">
        <v>517</v>
      </c>
      <c r="C24" s="2876" t="s">
        <v>1260</v>
      </c>
      <c r="D24" s="2877"/>
      <c r="E24" s="2877"/>
      <c r="F24" s="2877"/>
      <c r="G24" s="2877"/>
      <c r="H24" s="2877"/>
      <c r="I24" s="2877"/>
      <c r="J24" s="2877"/>
      <c r="K24" s="2877"/>
      <c r="L24" s="2877"/>
      <c r="M24" s="2877"/>
    </row>
    <row r="25" spans="1:13" s="132" customFormat="1" ht="11.1" customHeight="1" x14ac:dyDescent="0.25">
      <c r="B25" s="832"/>
      <c r="C25" s="2876" t="s">
        <v>1259</v>
      </c>
      <c r="D25" s="2877"/>
      <c r="E25" s="2877"/>
      <c r="F25" s="2877"/>
      <c r="G25" s="2877"/>
      <c r="H25" s="2877"/>
      <c r="I25" s="2877"/>
      <c r="J25" s="2877"/>
      <c r="K25" s="2877"/>
      <c r="L25" s="2877"/>
      <c r="M25" s="2877"/>
    </row>
    <row r="26" spans="1:13" s="132" customFormat="1" ht="4.3499999999999996" customHeight="1" x14ac:dyDescent="0.25">
      <c r="B26" s="832"/>
      <c r="C26" s="824" t="s">
        <v>841</v>
      </c>
      <c r="D26" s="831"/>
      <c r="E26" s="831"/>
      <c r="F26" s="831"/>
      <c r="G26" s="827"/>
      <c r="I26" s="830"/>
      <c r="K26" s="829"/>
    </row>
    <row r="27" spans="1:13" s="132" customFormat="1" ht="15" customHeight="1" x14ac:dyDescent="0.2">
      <c r="B27" s="827" t="s">
        <v>1258</v>
      </c>
      <c r="C27" s="827"/>
      <c r="D27" s="831"/>
      <c r="E27" s="831"/>
      <c r="F27" s="831"/>
      <c r="G27" s="827"/>
      <c r="I27" s="830"/>
      <c r="K27" s="829"/>
    </row>
    <row r="28" spans="1:13" s="132" customFormat="1" ht="15" customHeight="1" x14ac:dyDescent="0.2">
      <c r="B28" s="827"/>
      <c r="C28" s="1655"/>
      <c r="D28" s="831"/>
      <c r="E28" s="831" t="s">
        <v>969</v>
      </c>
      <c r="F28" s="831"/>
      <c r="G28" s="827"/>
      <c r="I28" s="830"/>
      <c r="K28" s="829"/>
    </row>
    <row r="29" spans="1:13" s="132" customFormat="1" ht="15" customHeight="1" x14ac:dyDescent="0.2">
      <c r="B29" s="827"/>
      <c r="C29" s="1687"/>
      <c r="D29" s="831"/>
      <c r="E29" s="831" t="s">
        <v>970</v>
      </c>
      <c r="F29" s="831"/>
      <c r="G29" s="827"/>
      <c r="I29" s="830"/>
      <c r="K29" s="829"/>
    </row>
    <row r="30" spans="1:13" s="132" customFormat="1" ht="6" customHeight="1" x14ac:dyDescent="0.2"/>
    <row r="31" spans="1:13" ht="12.75" x14ac:dyDescent="0.2">
      <c r="A31" s="828" t="s">
        <v>1257</v>
      </c>
      <c r="C31"/>
      <c r="D31"/>
      <c r="E31"/>
      <c r="F31"/>
      <c r="G31"/>
      <c r="H31"/>
      <c r="I31"/>
      <c r="J31"/>
      <c r="K31"/>
      <c r="L31"/>
      <c r="M31"/>
    </row>
    <row r="32" spans="1:13" ht="14.1" customHeight="1" x14ac:dyDescent="0.2">
      <c r="A32" s="132"/>
      <c r="B32" s="826" t="s">
        <v>213</v>
      </c>
      <c r="C32" s="1655"/>
      <c r="E32" s="827" t="s">
        <v>1256</v>
      </c>
      <c r="F32" s="822"/>
      <c r="G32" s="822"/>
      <c r="H32" s="822"/>
      <c r="I32" s="822"/>
      <c r="J32" s="822"/>
      <c r="K32" s="822"/>
      <c r="L32" s="132"/>
      <c r="M32" s="132"/>
    </row>
    <row r="33" spans="1:13" ht="12.6" customHeight="1" x14ac:dyDescent="0.2">
      <c r="A33" s="132"/>
      <c r="B33" s="826"/>
      <c r="D33" s="822"/>
      <c r="E33" s="822" t="s">
        <v>1255</v>
      </c>
      <c r="F33" s="822"/>
      <c r="G33" s="822"/>
      <c r="H33" s="822"/>
      <c r="I33" s="822"/>
      <c r="J33" s="822"/>
      <c r="K33" s="822"/>
      <c r="L33" s="132"/>
      <c r="M33" s="132"/>
    </row>
    <row r="34" spans="1:13" ht="12.6" customHeight="1" x14ac:dyDescent="0.2">
      <c r="A34" s="132"/>
      <c r="B34" s="826"/>
      <c r="C34" s="822"/>
      <c r="D34" s="822"/>
      <c r="E34" s="822" t="s">
        <v>1254</v>
      </c>
      <c r="F34" s="822"/>
      <c r="G34" s="822"/>
      <c r="H34" s="822"/>
      <c r="I34" s="822"/>
      <c r="J34" s="822"/>
      <c r="K34" s="822"/>
      <c r="L34" s="132"/>
      <c r="M34" s="132"/>
    </row>
    <row r="35" spans="1:13" ht="14.1" customHeight="1" x14ac:dyDescent="0.2">
      <c r="A35" s="132"/>
      <c r="B35" s="826" t="s">
        <v>214</v>
      </c>
      <c r="C35" s="1655"/>
      <c r="D35" s="825" t="s">
        <v>1253</v>
      </c>
      <c r="E35" s="822"/>
      <c r="F35" s="822"/>
      <c r="G35" s="822"/>
      <c r="H35" s="822"/>
      <c r="I35" s="822"/>
      <c r="J35" s="822"/>
      <c r="K35" s="822"/>
      <c r="L35" s="132"/>
      <c r="M35" s="132"/>
    </row>
    <row r="36" spans="1:13" ht="12.6" customHeight="1" x14ac:dyDescent="0.2">
      <c r="A36" s="132"/>
      <c r="B36" s="826"/>
      <c r="D36" s="822"/>
      <c r="E36" s="822" t="s">
        <v>1252</v>
      </c>
      <c r="F36" s="822"/>
      <c r="G36" s="822"/>
      <c r="H36" s="822"/>
      <c r="I36" s="822"/>
      <c r="J36" s="822"/>
      <c r="K36" s="822"/>
      <c r="L36" s="132"/>
      <c r="M36" s="132"/>
    </row>
    <row r="37" spans="1:13" ht="14.1" customHeight="1" x14ac:dyDescent="0.2">
      <c r="A37" s="132"/>
      <c r="B37" s="826" t="s">
        <v>143</v>
      </c>
      <c r="C37" s="1655"/>
      <c r="D37" s="825" t="s">
        <v>1251</v>
      </c>
      <c r="E37" s="822"/>
      <c r="F37" s="822"/>
      <c r="G37" s="822"/>
      <c r="H37" s="822"/>
      <c r="I37" s="822"/>
      <c r="J37" s="822"/>
      <c r="K37" s="822"/>
      <c r="L37" s="132"/>
      <c r="M37" s="132"/>
    </row>
    <row r="38" spans="1:13" ht="12.6" customHeight="1" x14ac:dyDescent="0.2">
      <c r="A38" s="132"/>
      <c r="B38" s="826"/>
      <c r="D38" s="822"/>
      <c r="E38" s="822" t="s">
        <v>1250</v>
      </c>
      <c r="F38" s="822"/>
      <c r="G38" s="822"/>
      <c r="H38" s="822"/>
      <c r="I38" s="822"/>
      <c r="J38" s="822"/>
      <c r="K38" s="822"/>
      <c r="L38" s="132"/>
      <c r="M38" s="132"/>
    </row>
    <row r="39" spans="1:13" ht="12.6" customHeight="1" x14ac:dyDescent="0.2">
      <c r="A39" s="132"/>
      <c r="B39" s="826"/>
      <c r="D39" s="822"/>
      <c r="E39" s="822" t="s">
        <v>1249</v>
      </c>
      <c r="F39" s="822"/>
      <c r="G39" s="822"/>
      <c r="H39" s="822"/>
      <c r="I39" s="822"/>
      <c r="J39" s="822"/>
      <c r="K39" s="822"/>
      <c r="L39" s="132"/>
      <c r="M39" s="132"/>
    </row>
    <row r="40" spans="1:13" ht="14.1" customHeight="1" x14ac:dyDescent="0.2">
      <c r="A40" s="132"/>
      <c r="B40" s="826" t="s">
        <v>1231</v>
      </c>
      <c r="C40" s="1655"/>
      <c r="D40" s="825" t="s">
        <v>1248</v>
      </c>
      <c r="E40" s="822"/>
      <c r="F40" s="822"/>
      <c r="G40" s="822"/>
      <c r="H40" s="822"/>
      <c r="I40" s="822"/>
      <c r="J40" s="822"/>
      <c r="K40" s="822"/>
      <c r="L40" s="132"/>
      <c r="M40" s="132"/>
    </row>
    <row r="41" spans="1:13" ht="12.6" customHeight="1" x14ac:dyDescent="0.2">
      <c r="A41" s="132"/>
      <c r="B41" s="826"/>
      <c r="D41" s="822"/>
      <c r="E41" s="822" t="s">
        <v>1247</v>
      </c>
      <c r="F41" s="822"/>
      <c r="G41" s="822"/>
      <c r="H41" s="822"/>
      <c r="I41" s="822"/>
      <c r="J41" s="822"/>
      <c r="K41" s="822"/>
      <c r="L41" s="132"/>
      <c r="M41" s="132"/>
    </row>
    <row r="42" spans="1:13" ht="14.1" customHeight="1" x14ac:dyDescent="0.2">
      <c r="A42" s="132"/>
      <c r="B42" s="826" t="s">
        <v>1246</v>
      </c>
      <c r="C42" s="1655"/>
      <c r="D42" s="825" t="s">
        <v>1245</v>
      </c>
      <c r="E42" s="822"/>
      <c r="F42" s="822"/>
      <c r="G42" s="822"/>
      <c r="H42" s="822"/>
      <c r="I42" s="822"/>
      <c r="J42" s="822"/>
      <c r="K42" s="822"/>
      <c r="L42" s="132"/>
      <c r="M42" s="132"/>
    </row>
    <row r="43" spans="1:13" ht="12.6" customHeight="1" x14ac:dyDescent="0.2">
      <c r="A43" s="132"/>
      <c r="B43" s="822"/>
      <c r="D43" s="822"/>
      <c r="E43" s="822" t="s">
        <v>1244</v>
      </c>
      <c r="F43" s="822"/>
      <c r="G43" s="822"/>
      <c r="H43" s="822"/>
      <c r="I43" s="822"/>
      <c r="J43" s="822"/>
      <c r="K43" s="822"/>
      <c r="L43" s="132"/>
      <c r="M43" s="132"/>
    </row>
    <row r="44" spans="1:13" ht="12.6" customHeight="1" x14ac:dyDescent="0.2">
      <c r="A44" s="132"/>
      <c r="B44" s="822"/>
      <c r="D44" s="822"/>
      <c r="E44" s="822" t="s">
        <v>1243</v>
      </c>
      <c r="F44" s="822"/>
      <c r="G44" s="822"/>
      <c r="H44" s="822"/>
      <c r="I44" s="822"/>
      <c r="J44" s="822"/>
      <c r="K44" s="822"/>
      <c r="L44" s="132"/>
      <c r="M44" s="132"/>
    </row>
    <row r="45" spans="1:13" ht="12.6" customHeight="1" x14ac:dyDescent="0.2">
      <c r="A45" s="132"/>
      <c r="B45" s="822"/>
      <c r="D45" s="822"/>
      <c r="E45" s="822" t="s">
        <v>1242</v>
      </c>
      <c r="F45" s="822"/>
      <c r="G45" s="822"/>
      <c r="H45" s="822"/>
      <c r="I45" s="822"/>
      <c r="J45" s="822"/>
      <c r="K45" s="822"/>
      <c r="L45" s="132"/>
      <c r="M45" s="132"/>
    </row>
    <row r="46" spans="1:13" ht="12.6" customHeight="1" x14ac:dyDescent="0.2">
      <c r="A46" s="132"/>
      <c r="B46" s="822"/>
      <c r="D46" s="822"/>
      <c r="E46" s="822" t="s">
        <v>1241</v>
      </c>
      <c r="F46" s="822"/>
      <c r="G46" s="822"/>
      <c r="H46" s="822"/>
      <c r="I46" s="822"/>
      <c r="J46" s="822"/>
      <c r="K46" s="822"/>
      <c r="L46" s="132"/>
      <c r="M46" s="132"/>
    </row>
    <row r="47" spans="1:13" ht="15" customHeight="1" x14ac:dyDescent="0.25">
      <c r="A47" s="132"/>
      <c r="B47" s="824" t="s">
        <v>1240</v>
      </c>
      <c r="D47" s="822"/>
      <c r="E47" s="822"/>
      <c r="F47" s="822"/>
      <c r="G47" s="822"/>
      <c r="H47" s="822"/>
      <c r="I47" s="822"/>
      <c r="J47" s="822"/>
      <c r="K47" s="822"/>
      <c r="L47" s="132"/>
      <c r="M47" s="132"/>
    </row>
    <row r="48" spans="1:13" ht="4.3499999999999996" customHeight="1" x14ac:dyDescent="0.2">
      <c r="A48" s="132"/>
      <c r="B48" s="132"/>
      <c r="C48" s="132"/>
      <c r="D48" s="132"/>
      <c r="E48" s="132"/>
      <c r="F48" s="132"/>
      <c r="G48" s="132"/>
      <c r="H48" s="132"/>
      <c r="I48" s="132"/>
      <c r="J48" s="132"/>
      <c r="K48" s="132"/>
      <c r="L48" s="132"/>
      <c r="M48" s="132"/>
    </row>
    <row r="49" spans="1:13" ht="12.75" x14ac:dyDescent="0.2">
      <c r="A49" s="383" t="s">
        <v>1239</v>
      </c>
      <c r="B49" s="132"/>
      <c r="C49" s="132"/>
      <c r="D49" s="132"/>
      <c r="E49" s="132"/>
      <c r="F49" s="132"/>
      <c r="G49" s="132"/>
      <c r="H49" s="132"/>
      <c r="I49" s="132"/>
      <c r="J49" s="132"/>
      <c r="K49" s="132"/>
      <c r="L49" s="132"/>
      <c r="M49" s="132"/>
    </row>
    <row r="50" spans="1:13" ht="14.1" customHeight="1" x14ac:dyDescent="0.2">
      <c r="B50" s="823" t="s">
        <v>213</v>
      </c>
      <c r="C50" s="1655"/>
      <c r="E50" s="822" t="s">
        <v>1238</v>
      </c>
      <c r="F50" s="132"/>
      <c r="G50" s="132"/>
      <c r="H50" s="132"/>
      <c r="I50" s="132"/>
      <c r="J50" s="132"/>
      <c r="K50" s="132"/>
      <c r="L50" s="132"/>
      <c r="M50" s="132"/>
    </row>
    <row r="51" spans="1:13" ht="12.6" customHeight="1" x14ac:dyDescent="0.2">
      <c r="B51" s="14"/>
      <c r="C51" s="14"/>
      <c r="E51" s="822" t="s">
        <v>1237</v>
      </c>
      <c r="F51" s="132"/>
      <c r="G51" s="132"/>
      <c r="H51" s="132"/>
      <c r="I51" s="132"/>
      <c r="J51" s="132"/>
      <c r="K51" s="132"/>
      <c r="L51" s="132"/>
      <c r="M51" s="132"/>
    </row>
    <row r="52" spans="1:13" ht="14.1" customHeight="1" x14ac:dyDescent="0.2">
      <c r="B52" s="823" t="s">
        <v>214</v>
      </c>
      <c r="C52" s="1403"/>
      <c r="E52" s="822" t="s">
        <v>1236</v>
      </c>
      <c r="F52" s="132"/>
      <c r="G52" s="132"/>
      <c r="H52" s="132"/>
      <c r="I52" s="132"/>
      <c r="J52" s="132"/>
      <c r="K52" s="132"/>
      <c r="L52" s="132"/>
      <c r="M52" s="132"/>
    </row>
    <row r="53" spans="1:13" ht="12.6" customHeight="1" x14ac:dyDescent="0.2">
      <c r="B53" s="14"/>
      <c r="C53" s="14"/>
      <c r="E53" s="822" t="s">
        <v>1235</v>
      </c>
      <c r="F53" s="132"/>
      <c r="G53" s="132"/>
      <c r="H53" s="132"/>
      <c r="I53" s="132"/>
      <c r="J53" s="132"/>
      <c r="K53" s="132"/>
      <c r="L53" s="132"/>
      <c r="M53" s="132"/>
    </row>
    <row r="54" spans="1:13" ht="12.6" customHeight="1" x14ac:dyDescent="0.2">
      <c r="B54" s="14"/>
      <c r="C54" s="14"/>
      <c r="E54" s="822" t="s">
        <v>1234</v>
      </c>
      <c r="F54" s="132"/>
      <c r="G54" s="132"/>
      <c r="H54" s="132"/>
      <c r="I54" s="132"/>
      <c r="J54" s="132"/>
      <c r="K54" s="132"/>
      <c r="L54" s="132"/>
      <c r="M54" s="132"/>
    </row>
    <row r="55" spans="1:13" ht="14.1" customHeight="1" x14ac:dyDescent="0.2">
      <c r="B55" s="823" t="s">
        <v>143</v>
      </c>
      <c r="C55" s="1403"/>
      <c r="E55" s="822" t="s">
        <v>1233</v>
      </c>
      <c r="F55" s="132"/>
      <c r="G55" s="132"/>
      <c r="H55" s="132"/>
      <c r="I55" s="132"/>
      <c r="J55" s="132"/>
      <c r="K55" s="132"/>
      <c r="L55" s="132"/>
      <c r="M55" s="132"/>
    </row>
    <row r="56" spans="1:13" ht="12.6" customHeight="1" x14ac:dyDescent="0.2">
      <c r="B56" s="14"/>
      <c r="C56" s="14"/>
      <c r="E56" s="822" t="s">
        <v>1232</v>
      </c>
      <c r="F56" s="132"/>
      <c r="G56" s="132"/>
      <c r="H56" s="132"/>
      <c r="I56" s="132"/>
      <c r="J56" s="132"/>
      <c r="K56" s="132"/>
      <c r="L56" s="132"/>
      <c r="M56" s="132"/>
    </row>
    <row r="57" spans="1:13" ht="14.1" customHeight="1" x14ac:dyDescent="0.2">
      <c r="B57" s="823" t="s">
        <v>1231</v>
      </c>
      <c r="C57" s="1403"/>
      <c r="E57" s="822" t="s">
        <v>1230</v>
      </c>
      <c r="F57" s="132"/>
      <c r="G57" s="132"/>
      <c r="H57" s="132"/>
      <c r="I57" s="132"/>
      <c r="J57" s="132"/>
      <c r="K57" s="132"/>
      <c r="L57" s="132"/>
      <c r="M57" s="132"/>
    </row>
    <row r="58" spans="1:13" ht="6" customHeight="1" x14ac:dyDescent="0.2"/>
    <row r="59" spans="1:13" ht="12.75" x14ac:dyDescent="0.2">
      <c r="A59" s="383" t="s">
        <v>1229</v>
      </c>
    </row>
    <row r="60" spans="1:13" ht="12.75" customHeight="1" x14ac:dyDescent="0.2">
      <c r="A60" s="132" t="s">
        <v>1228</v>
      </c>
      <c r="B60" s="132"/>
      <c r="C60" s="132"/>
      <c r="D60" s="132"/>
      <c r="E60" s="132"/>
      <c r="F60" s="132"/>
      <c r="G60" s="132"/>
      <c r="H60" s="132"/>
      <c r="I60" s="132"/>
      <c r="J60" s="132"/>
      <c r="K60" s="132"/>
      <c r="L60" s="132"/>
      <c r="M60" s="132"/>
    </row>
    <row r="61" spans="1:13" ht="12.75" customHeight="1" x14ac:dyDescent="0.2">
      <c r="A61" s="2260" t="s">
        <v>5537</v>
      </c>
      <c r="B61" s="132"/>
      <c r="C61" s="132"/>
      <c r="D61" s="132"/>
      <c r="E61" s="132"/>
      <c r="F61" s="132"/>
      <c r="G61" s="132"/>
      <c r="H61" s="132"/>
      <c r="I61" s="132"/>
      <c r="J61" s="132"/>
      <c r="K61" s="132"/>
      <c r="L61" s="132"/>
      <c r="M61" s="132"/>
    </row>
    <row r="62" spans="1:13" ht="8.1" customHeight="1" x14ac:dyDescent="0.2">
      <c r="A62" s="132"/>
      <c r="B62" s="132"/>
      <c r="C62" s="132"/>
      <c r="D62" s="132"/>
      <c r="E62" s="132"/>
      <c r="F62" s="132"/>
      <c r="G62" s="132"/>
      <c r="H62" s="132"/>
      <c r="I62" s="132"/>
      <c r="J62" s="132"/>
      <c r="K62" s="132"/>
      <c r="L62" s="132"/>
      <c r="M62" s="132"/>
    </row>
    <row r="63" spans="1:13" ht="12.75" x14ac:dyDescent="0.2">
      <c r="A63" s="132"/>
      <c r="B63" s="132"/>
      <c r="C63" s="132"/>
      <c r="D63" s="132"/>
      <c r="E63" s="132"/>
      <c r="F63" s="132"/>
      <c r="G63" s="132"/>
      <c r="H63" s="132"/>
      <c r="I63" s="132"/>
      <c r="J63" s="132"/>
      <c r="K63" s="132"/>
      <c r="L63" s="132"/>
      <c r="M63" s="132"/>
    </row>
    <row r="64" spans="1:13" ht="12.75" x14ac:dyDescent="0.2">
      <c r="A64" s="132"/>
      <c r="B64" s="132"/>
      <c r="C64" s="132"/>
      <c r="D64" s="132"/>
      <c r="E64" s="132"/>
      <c r="F64" s="132"/>
      <c r="G64" s="132"/>
      <c r="H64" s="132"/>
      <c r="I64" s="132"/>
      <c r="J64" s="132"/>
      <c r="K64" s="132"/>
      <c r="L64" s="132"/>
      <c r="M64" s="132"/>
    </row>
    <row r="65" spans="1:13" ht="12.75" x14ac:dyDescent="0.2">
      <c r="A65" s="132"/>
      <c r="B65" s="132"/>
      <c r="C65" s="132"/>
      <c r="D65" s="132"/>
      <c r="E65" s="132"/>
      <c r="F65" s="132"/>
      <c r="G65" s="132"/>
      <c r="H65" s="132"/>
      <c r="I65" s="132"/>
      <c r="J65" s="132"/>
      <c r="K65" s="132"/>
      <c r="L65" s="132"/>
      <c r="M65" s="132"/>
    </row>
  </sheetData>
  <sheetProtection algorithmName="SHA-512" hashValue="lHDPaVhyDMa4YW9TcWUkg4QNi8XOEYitAwfHGTJZ28F5PGfhi7ScI8e8wjiq0RAPDSF7kcx6505DvAwfxi7MOQ==" saltValue="skxOT+u7MXFkUFs6h80/8A==" spinCount="100000" sheet="1" objects="1" scenarios="1" autoFilter="0"/>
  <customSheetViews>
    <customSheetView guid="{B08879A4-635B-4C39-9937-AC7883D562FC}" showGridLines="0" fitToPage="1" topLeftCell="A25">
      <selection activeCell="C63" sqref="C63"/>
      <pageMargins left="0.75" right="0.5" top="0.5" bottom="0.5" header="0.5" footer="0.25"/>
      <pageSetup scale="94" orientation="portrait" r:id="rId1"/>
      <headerFooter alignWithMargins="0">
        <oddFooter>&amp;R&amp;A</oddFooter>
      </headerFooter>
    </customSheetView>
    <customSheetView guid="{9FCFC836-1CA5-48BF-958D-24D2EA94B219}" showGridLines="0" fitToPage="1" topLeftCell="A25">
      <selection activeCell="C63" sqref="C63"/>
      <pageMargins left="0.75" right="0.5" top="0.5" bottom="0.5" header="0.5" footer="0.25"/>
      <pageSetup scale="94" orientation="portrait" r:id="rId2"/>
      <headerFooter alignWithMargins="0">
        <oddFooter>&amp;R&amp;A</oddFooter>
      </headerFooter>
    </customSheetView>
  </customSheetViews>
  <mergeCells count="15">
    <mergeCell ref="A1:M1"/>
    <mergeCell ref="N1:N3"/>
    <mergeCell ref="A2:M2"/>
    <mergeCell ref="A3:M3"/>
    <mergeCell ref="J5:M5"/>
    <mergeCell ref="C25:M25"/>
    <mergeCell ref="A12:M12"/>
    <mergeCell ref="A13:M13"/>
    <mergeCell ref="A17:M17"/>
    <mergeCell ref="J6:M6"/>
    <mergeCell ref="D7:E7"/>
    <mergeCell ref="J7:M7"/>
    <mergeCell ref="J8:M8"/>
    <mergeCell ref="A15:E15"/>
    <mergeCell ref="C24:M24"/>
  </mergeCells>
  <conditionalFormatting sqref="N1:N3">
    <cfRule type="cellIs" dxfId="135"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7" right="0.5" top="0.5" bottom="0.5" header="0.5" footer="0.25"/>
  <pageSetup scale="91" orientation="portrait" r:id="rId5"/>
  <headerFooter alignWithMargins="0">
    <oddFooter>&amp;R&amp;A</oddFooter>
  </headerFooter>
  <ignoredErrors>
    <ignoredError sqref="J7:J8" unlockedFormula="1"/>
    <ignoredError sqref="B2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dimension ref="A1:X121"/>
  <sheetViews>
    <sheetView showGridLines="0" topLeftCell="B1" zoomScaleNormal="100" workbookViewId="0">
      <selection activeCell="B1" sqref="B1:K1"/>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1" style="61" customWidth="1"/>
    <col min="6" max="6" width="8.5703125" style="61" customWidth="1"/>
    <col min="7" max="7" width="13.85546875" style="61" customWidth="1"/>
    <col min="8" max="8" width="8.140625" style="61" customWidth="1"/>
    <col min="9" max="9" width="8.5703125" style="61" customWidth="1"/>
    <col min="10" max="10" width="7.42578125" style="61" customWidth="1"/>
    <col min="11" max="11" width="21.5703125" style="61" customWidth="1"/>
    <col min="12" max="12" width="4.5703125" style="61" customWidth="1"/>
    <col min="13" max="16384" width="9.42578125" style="61"/>
  </cols>
  <sheetData>
    <row r="1" spans="1:13" ht="15.75" x14ac:dyDescent="0.25">
      <c r="A1" s="61" t="str">
        <f t="shared" ref="A1:A10" si="0">AgyIdx</f>
        <v>01</v>
      </c>
      <c r="B1" s="2697" t="str">
        <f>+Index!$A$1</f>
        <v xml:space="preserve">                                                               Office of the State Controller                                                                </v>
      </c>
      <c r="C1" s="2697"/>
      <c r="D1" s="2697"/>
      <c r="E1" s="2697"/>
      <c r="F1" s="2697"/>
      <c r="G1" s="2697"/>
      <c r="H1" s="2697"/>
      <c r="I1" s="2697"/>
      <c r="J1" s="2697"/>
      <c r="K1" s="2697"/>
      <c r="L1" s="2790" t="str">
        <f>IF(Index!$B$35="na","NA","")</f>
        <v/>
      </c>
    </row>
    <row r="2" spans="1:13" ht="15.75" x14ac:dyDescent="0.25">
      <c r="A2" s="61" t="str">
        <f t="shared" si="0"/>
        <v>01</v>
      </c>
      <c r="B2" s="2753" t="str">
        <f>+Index!$A$2</f>
        <v>2022 ACFR Worksheets</v>
      </c>
      <c r="C2" s="2753"/>
      <c r="D2" s="2753"/>
      <c r="E2" s="2753"/>
      <c r="F2" s="2753"/>
      <c r="G2" s="2753"/>
      <c r="H2" s="2753"/>
      <c r="I2" s="2753"/>
      <c r="J2" s="2753"/>
      <c r="K2" s="2753"/>
      <c r="L2" s="2790"/>
    </row>
    <row r="3" spans="1:13" ht="15.75" x14ac:dyDescent="0.25">
      <c r="A3" s="61" t="str">
        <f t="shared" si="0"/>
        <v>01</v>
      </c>
      <c r="B3" s="2754" t="s">
        <v>4684</v>
      </c>
      <c r="C3" s="2754"/>
      <c r="D3" s="2754"/>
      <c r="E3" s="2754"/>
      <c r="F3" s="2754"/>
      <c r="G3" s="2754"/>
      <c r="H3" s="2754"/>
      <c r="I3" s="2754"/>
      <c r="J3" s="2754"/>
      <c r="K3" s="2754"/>
      <c r="L3" s="2790"/>
    </row>
    <row r="4" spans="1:13" ht="12.75" customHeight="1" x14ac:dyDescent="0.2">
      <c r="A4" s="61" t="str">
        <f t="shared" si="0"/>
        <v>01</v>
      </c>
      <c r="B4" s="454"/>
      <c r="C4" s="454"/>
      <c r="D4" s="454"/>
      <c r="E4" s="454"/>
      <c r="F4" s="454"/>
      <c r="G4" s="454"/>
      <c r="H4" s="454"/>
      <c r="I4" s="454"/>
      <c r="J4" s="454"/>
      <c r="K4" s="447"/>
      <c r="L4" s="448"/>
    </row>
    <row r="5" spans="1:13" x14ac:dyDescent="0.2">
      <c r="A5" s="61" t="str">
        <f t="shared" si="0"/>
        <v>01</v>
      </c>
      <c r="B5" s="1089"/>
      <c r="C5" s="1089"/>
      <c r="D5" s="1089"/>
      <c r="E5" s="1089"/>
      <c r="F5" s="451"/>
      <c r="G5" s="1345"/>
      <c r="H5" s="1335" t="s">
        <v>327</v>
      </c>
      <c r="I5" s="2886" t="str">
        <f>+Index!$E$10</f>
        <v>01</v>
      </c>
      <c r="J5" s="2886"/>
      <c r="K5" s="2886"/>
      <c r="L5" s="2249"/>
    </row>
    <row r="6" spans="1:13" x14ac:dyDescent="0.2">
      <c r="A6" s="61" t="str">
        <f t="shared" si="0"/>
        <v>01</v>
      </c>
      <c r="B6" s="1089"/>
      <c r="C6" s="1089"/>
      <c r="D6" s="1089"/>
      <c r="E6" s="1089"/>
      <c r="F6" s="1089"/>
      <c r="G6" s="2238"/>
      <c r="H6" s="1335" t="s">
        <v>1154</v>
      </c>
      <c r="I6" s="2880" t="str">
        <f>+Index!$E$11</f>
        <v>North Carolina General Assembly</v>
      </c>
      <c r="J6" s="2880"/>
      <c r="K6" s="2880"/>
      <c r="L6" s="2249"/>
    </row>
    <row r="7" spans="1:13" x14ac:dyDescent="0.2">
      <c r="A7" s="61" t="str">
        <f t="shared" si="0"/>
        <v>01</v>
      </c>
      <c r="B7" s="2770" t="s">
        <v>3447</v>
      </c>
      <c r="C7" s="2739"/>
      <c r="D7" s="2739"/>
      <c r="E7" s="2237"/>
      <c r="F7" s="1334" t="s">
        <v>805</v>
      </c>
      <c r="G7" s="454"/>
      <c r="H7" s="1335" t="s">
        <v>972</v>
      </c>
      <c r="I7" s="2832" t="str">
        <f>CONCATENATE(Index!$E$12," ",Index!$E$14)</f>
        <v xml:space="preserve"> </v>
      </c>
      <c r="J7" s="2832"/>
      <c r="K7" s="2832"/>
      <c r="L7" s="2250"/>
    </row>
    <row r="8" spans="1:13" x14ac:dyDescent="0.2">
      <c r="A8" s="61" t="str">
        <f t="shared" si="0"/>
        <v>01</v>
      </c>
      <c r="B8" s="2238"/>
      <c r="C8" s="2238"/>
      <c r="D8" s="1345"/>
      <c r="E8" s="1345"/>
      <c r="F8" s="454"/>
      <c r="G8" s="454"/>
      <c r="H8" s="1335" t="s">
        <v>348</v>
      </c>
      <c r="I8" s="2883">
        <f>+Index!$E$13</f>
        <v>0</v>
      </c>
      <c r="J8" s="2883"/>
      <c r="K8" s="2883"/>
      <c r="L8" s="2251"/>
    </row>
    <row r="9" spans="1:13" ht="10.35" customHeight="1" thickBot="1" x14ac:dyDescent="0.25">
      <c r="A9" s="61" t="str">
        <f t="shared" si="0"/>
        <v>01</v>
      </c>
      <c r="B9" s="1346"/>
      <c r="C9" s="1346"/>
      <c r="D9" s="1346"/>
      <c r="E9" s="1346"/>
      <c r="F9" s="1346"/>
      <c r="G9" s="1346"/>
      <c r="H9" s="1346"/>
      <c r="I9" s="1346"/>
      <c r="J9" s="1346"/>
      <c r="K9" s="1346"/>
    </row>
    <row r="10" spans="1:13" ht="12" customHeight="1" x14ac:dyDescent="0.25">
      <c r="A10" s="61" t="str">
        <f t="shared" si="0"/>
        <v>01</v>
      </c>
      <c r="B10" s="2240"/>
      <c r="C10" s="2240"/>
      <c r="D10" s="2240"/>
      <c r="E10" s="2240"/>
      <c r="F10" s="2240"/>
      <c r="G10" s="2240"/>
      <c r="H10" s="2240"/>
      <c r="I10" s="2240"/>
      <c r="J10" s="2240"/>
      <c r="K10" s="2240"/>
    </row>
    <row r="11" spans="1:13" ht="12" customHeight="1" x14ac:dyDescent="0.2">
      <c r="B11" s="1204" t="s">
        <v>4550</v>
      </c>
      <c r="C11" s="1204"/>
      <c r="D11" s="1204"/>
      <c r="E11" s="1204"/>
      <c r="F11" s="1204"/>
      <c r="G11" s="1204"/>
      <c r="H11" s="1204"/>
      <c r="I11" s="1204"/>
      <c r="J11" s="1204"/>
      <c r="K11" s="1204"/>
      <c r="L11" s="1342"/>
      <c r="M11" s="1306"/>
    </row>
    <row r="12" spans="1:13" ht="12" customHeight="1" x14ac:dyDescent="0.2">
      <c r="B12" s="1204" t="s">
        <v>4570</v>
      </c>
      <c r="C12" s="1204"/>
      <c r="D12" s="1204"/>
      <c r="E12" s="1204"/>
      <c r="F12" s="1204"/>
      <c r="G12" s="1204"/>
      <c r="H12" s="1204"/>
      <c r="I12" s="1204"/>
      <c r="J12" s="1204"/>
      <c r="K12" s="1204"/>
      <c r="L12" s="1342"/>
      <c r="M12" s="1306"/>
    </row>
    <row r="13" spans="1:13" ht="12" customHeight="1" x14ac:dyDescent="0.2">
      <c r="B13" s="2887" t="s">
        <v>5664</v>
      </c>
      <c r="C13" s="2887"/>
      <c r="D13" s="2887"/>
      <c r="E13" s="2887"/>
      <c r="F13" s="2887"/>
      <c r="G13" s="2887"/>
      <c r="H13" s="1204" t="s">
        <v>5653</v>
      </c>
      <c r="I13" s="1204"/>
      <c r="J13" s="1204"/>
      <c r="K13" s="1204"/>
      <c r="L13" s="1342"/>
      <c r="M13" s="1306"/>
    </row>
    <row r="14" spans="1:13" ht="12" customHeight="1" x14ac:dyDescent="0.2">
      <c r="B14" s="2242"/>
      <c r="C14" s="2242"/>
      <c r="D14" s="2242"/>
      <c r="E14" s="2242"/>
      <c r="F14" s="2242"/>
      <c r="G14" s="2242"/>
      <c r="H14" s="1204"/>
      <c r="I14" s="1204"/>
      <c r="J14" s="1204"/>
      <c r="K14" s="1204"/>
      <c r="L14" s="1342"/>
      <c r="M14" s="1306"/>
    </row>
    <row r="15" spans="1:13" s="63" customFormat="1" ht="12" customHeight="1" x14ac:dyDescent="0.25">
      <c r="B15" s="1204" t="s">
        <v>4842</v>
      </c>
      <c r="C15" s="1088"/>
      <c r="D15" s="1089"/>
      <c r="E15" s="1089"/>
      <c r="F15" s="1089"/>
      <c r="G15" s="1089"/>
      <c r="H15" s="1089"/>
      <c r="I15" s="1089"/>
      <c r="J15" s="1089"/>
      <c r="K15" s="1089"/>
      <c r="L15" s="61"/>
    </row>
    <row r="16" spans="1:13" s="63" customFormat="1" ht="12" customHeight="1" x14ac:dyDescent="0.25">
      <c r="B16" s="1204" t="s">
        <v>4843</v>
      </c>
      <c r="C16" s="1088"/>
      <c r="D16" s="1089"/>
      <c r="E16" s="1089"/>
      <c r="F16" s="1089"/>
      <c r="G16" s="1089"/>
      <c r="H16" s="1089"/>
      <c r="I16" s="1089"/>
      <c r="J16" s="1089"/>
      <c r="K16" s="1089"/>
      <c r="L16" s="61"/>
    </row>
    <row r="17" spans="2:24" s="63" customFormat="1" ht="12" customHeight="1" x14ac:dyDescent="0.25">
      <c r="B17" s="1204" t="s">
        <v>4844</v>
      </c>
      <c r="C17" s="1088"/>
      <c r="D17" s="1089"/>
      <c r="E17" s="1089"/>
      <c r="F17" s="1089"/>
      <c r="G17" s="1089"/>
      <c r="H17" s="1089"/>
      <c r="I17" s="1089"/>
      <c r="J17" s="1089"/>
      <c r="K17" s="1089"/>
      <c r="L17" s="61"/>
    </row>
    <row r="18" spans="2:24" s="63" customFormat="1" ht="12.75" customHeight="1" x14ac:dyDescent="0.25">
      <c r="B18" s="1204" t="s">
        <v>4845</v>
      </c>
      <c r="C18" s="1088"/>
      <c r="D18" s="1089"/>
      <c r="E18" s="1089"/>
      <c r="F18" s="1089"/>
      <c r="G18" s="1089"/>
      <c r="H18" s="1089"/>
      <c r="I18" s="1089"/>
      <c r="J18" s="1089"/>
      <c r="K18" s="1089"/>
      <c r="L18" s="61"/>
    </row>
    <row r="19" spans="2:24" s="63" customFormat="1" ht="12" customHeight="1" x14ac:dyDescent="0.25">
      <c r="B19" s="1204" t="s">
        <v>4846</v>
      </c>
      <c r="C19" s="1088"/>
      <c r="D19" s="1089"/>
      <c r="E19" s="1089"/>
      <c r="F19" s="1089"/>
      <c r="G19" s="1089"/>
      <c r="H19" s="1089"/>
      <c r="I19" s="1089"/>
      <c r="J19" s="1089"/>
      <c r="K19" s="1089"/>
      <c r="L19" s="61"/>
    </row>
    <row r="20" spans="2:24" s="63" customFormat="1" ht="12" customHeight="1" x14ac:dyDescent="0.25">
      <c r="B20" s="1204" t="s">
        <v>4847</v>
      </c>
      <c r="C20" s="1088"/>
      <c r="D20" s="1089"/>
      <c r="E20" s="1089"/>
      <c r="F20" s="1089"/>
      <c r="G20" s="1089"/>
      <c r="H20" s="1089"/>
      <c r="I20" s="1089"/>
      <c r="J20" s="1089"/>
      <c r="K20" s="1089"/>
      <c r="L20" s="61"/>
    </row>
    <row r="21" spans="2:24" s="63" customFormat="1" ht="6" customHeight="1" x14ac:dyDescent="0.25">
      <c r="B21" s="1089"/>
      <c r="C21" s="1204"/>
      <c r="D21" s="2239"/>
      <c r="E21" s="2239"/>
      <c r="F21" s="2237"/>
      <c r="G21" s="2237"/>
      <c r="H21" s="2237"/>
      <c r="I21" s="2237"/>
      <c r="J21" s="2237"/>
      <c r="K21" s="2237"/>
      <c r="L21" s="61"/>
      <c r="M21" s="1307"/>
      <c r="O21" s="1204"/>
      <c r="P21" s="2239"/>
      <c r="Q21" s="2239"/>
      <c r="R21" s="2237"/>
      <c r="S21" s="2237"/>
      <c r="T21" s="2237"/>
      <c r="U21" s="2237"/>
      <c r="V21" s="2237"/>
      <c r="W21" s="2237"/>
      <c r="X21" s="61"/>
    </row>
    <row r="22" spans="2:24" s="63" customFormat="1" ht="12" customHeight="1" x14ac:dyDescent="0.25">
      <c r="B22" s="1089" t="s">
        <v>4565</v>
      </c>
      <c r="C22" s="1204"/>
      <c r="D22" s="2239"/>
      <c r="E22" s="2239"/>
      <c r="F22" s="2237"/>
      <c r="G22" s="2237"/>
      <c r="H22" s="2237"/>
      <c r="I22" s="2237"/>
      <c r="J22" s="2237"/>
      <c r="K22" s="2237"/>
      <c r="L22" s="61"/>
      <c r="M22" s="1307"/>
      <c r="N22" s="908"/>
    </row>
    <row r="23" spans="2:24" s="63" customFormat="1" ht="3.6" customHeight="1" x14ac:dyDescent="0.25">
      <c r="B23" s="1089"/>
      <c r="C23" s="1204"/>
      <c r="D23" s="2239"/>
      <c r="E23" s="2239"/>
      <c r="F23" s="2237"/>
      <c r="G23" s="2237"/>
      <c r="H23" s="2237"/>
      <c r="I23" s="2237"/>
      <c r="J23" s="2237"/>
      <c r="K23" s="2237"/>
      <c r="L23" s="61"/>
      <c r="M23" s="1307"/>
      <c r="N23" s="908"/>
    </row>
    <row r="24" spans="2:24" s="63" customFormat="1" ht="12" customHeight="1" x14ac:dyDescent="0.25">
      <c r="B24" s="1088" t="s">
        <v>4554</v>
      </c>
      <c r="C24" s="1204"/>
      <c r="D24" s="2239"/>
      <c r="E24" s="2239"/>
      <c r="F24" s="2237"/>
      <c r="G24" s="2237"/>
      <c r="H24" s="2237"/>
      <c r="I24" s="2237"/>
      <c r="J24" s="2237"/>
      <c r="K24" s="2237"/>
      <c r="L24" s="61"/>
      <c r="M24" s="1307"/>
      <c r="N24" s="908"/>
    </row>
    <row r="25" spans="2:24" s="63" customFormat="1" ht="12" customHeight="1" x14ac:dyDescent="0.25">
      <c r="B25" s="1089"/>
      <c r="C25" s="1204" t="s">
        <v>213</v>
      </c>
      <c r="D25" s="1992"/>
      <c r="F25" s="2239" t="s">
        <v>4555</v>
      </c>
      <c r="G25" s="2237"/>
      <c r="H25" s="2237"/>
      <c r="I25" s="2237"/>
      <c r="J25" s="2237"/>
      <c r="K25" s="2237"/>
      <c r="L25" s="61"/>
      <c r="M25" s="1307"/>
      <c r="N25" s="908"/>
    </row>
    <row r="26" spans="2:24" s="63" customFormat="1" ht="12" customHeight="1" x14ac:dyDescent="0.25">
      <c r="B26" s="1089"/>
      <c r="C26" s="1204" t="s">
        <v>214</v>
      </c>
      <c r="D26" s="1993"/>
      <c r="F26" s="2239" t="s">
        <v>4575</v>
      </c>
      <c r="G26" s="2237"/>
      <c r="H26" s="2237"/>
      <c r="I26" s="2237"/>
      <c r="J26" s="2237"/>
      <c r="K26" s="2237"/>
      <c r="L26" s="61"/>
      <c r="M26" s="1307"/>
      <c r="N26" s="908"/>
    </row>
    <row r="27" spans="2:24" s="63" customFormat="1" ht="12" customHeight="1" x14ac:dyDescent="0.25">
      <c r="B27" s="1089"/>
      <c r="C27" s="1204" t="s">
        <v>143</v>
      </c>
      <c r="D27" s="1993"/>
      <c r="F27" s="2239" t="s">
        <v>4556</v>
      </c>
      <c r="G27" s="2237"/>
      <c r="H27" s="2237"/>
      <c r="I27" s="2237"/>
      <c r="J27" s="2237"/>
      <c r="K27" s="2237"/>
      <c r="L27" s="61"/>
      <c r="M27" s="1307"/>
      <c r="N27" s="908"/>
    </row>
    <row r="28" spans="2:24" s="63" customFormat="1" ht="6" customHeight="1" x14ac:dyDescent="0.25">
      <c r="B28" s="1089"/>
      <c r="C28" s="1204"/>
      <c r="D28" s="2239"/>
      <c r="E28" s="2239"/>
      <c r="F28" s="2237"/>
      <c r="G28" s="2237"/>
      <c r="H28" s="2237"/>
      <c r="I28" s="2237"/>
      <c r="J28" s="2237"/>
      <c r="K28" s="2237"/>
      <c r="L28" s="61"/>
      <c r="M28" s="1307"/>
      <c r="N28" s="908"/>
    </row>
    <row r="29" spans="2:24" s="63" customFormat="1" ht="12" customHeight="1" x14ac:dyDescent="0.25">
      <c r="B29" s="1088" t="s">
        <v>4557</v>
      </c>
      <c r="C29" s="1204"/>
      <c r="D29" s="2239"/>
      <c r="E29" s="2239"/>
      <c r="F29" s="2237"/>
      <c r="G29" s="2237"/>
      <c r="H29" s="2237"/>
      <c r="I29" s="2237"/>
      <c r="J29" s="2237"/>
      <c r="K29" s="2237"/>
      <c r="L29" s="61"/>
      <c r="M29" s="1307"/>
      <c r="N29" s="908"/>
    </row>
    <row r="30" spans="2:24" s="63" customFormat="1" ht="12" customHeight="1" x14ac:dyDescent="0.25">
      <c r="B30" s="1089"/>
      <c r="C30" s="1204" t="s">
        <v>213</v>
      </c>
      <c r="D30" s="1992"/>
      <c r="E30" s="2239"/>
      <c r="F30" s="2239" t="s">
        <v>4848</v>
      </c>
      <c r="G30" s="2237"/>
      <c r="H30" s="2237"/>
      <c r="I30" s="2237"/>
      <c r="J30" s="2237"/>
      <c r="K30" s="2237"/>
      <c r="L30" s="61"/>
      <c r="M30" s="1307"/>
      <c r="N30" s="908"/>
    </row>
    <row r="31" spans="2:24" s="63" customFormat="1" ht="12" customHeight="1" x14ac:dyDescent="0.25">
      <c r="B31" s="1089"/>
      <c r="C31" s="1204"/>
      <c r="E31" s="2239"/>
      <c r="F31" s="2239" t="s">
        <v>4849</v>
      </c>
      <c r="G31" s="2237"/>
      <c r="H31" s="2237"/>
      <c r="I31" s="2237"/>
      <c r="J31" s="2237"/>
      <c r="K31" s="2237"/>
      <c r="L31" s="61"/>
      <c r="M31" s="1307"/>
      <c r="N31" s="908"/>
    </row>
    <row r="32" spans="2:24" s="63" customFormat="1" ht="12" customHeight="1" x14ac:dyDescent="0.25">
      <c r="B32" s="1089"/>
      <c r="C32" s="1204" t="s">
        <v>214</v>
      </c>
      <c r="D32" s="1992"/>
      <c r="E32" s="2239"/>
      <c r="F32" s="2239" t="s">
        <v>4558</v>
      </c>
      <c r="G32" s="2237"/>
      <c r="H32" s="2237"/>
      <c r="I32" s="2237"/>
      <c r="J32" s="2237"/>
      <c r="K32" s="2237"/>
      <c r="L32" s="61"/>
      <c r="M32" s="1307"/>
      <c r="N32" s="908"/>
    </row>
    <row r="33" spans="2:14" s="63" customFormat="1" ht="12" customHeight="1" x14ac:dyDescent="0.25">
      <c r="B33" s="1089"/>
      <c r="C33" s="1204" t="s">
        <v>143</v>
      </c>
      <c r="D33" s="1993"/>
      <c r="E33" s="2239"/>
      <c r="F33" s="2239" t="s">
        <v>4559</v>
      </c>
      <c r="G33" s="2237"/>
      <c r="H33" s="2237"/>
      <c r="I33" s="2237"/>
      <c r="J33" s="2237"/>
      <c r="K33" s="2237"/>
      <c r="L33" s="61"/>
      <c r="M33" s="1307"/>
      <c r="N33" s="908"/>
    </row>
    <row r="34" spans="2:14" s="63" customFormat="1" ht="12" customHeight="1" x14ac:dyDescent="0.25">
      <c r="B34" s="1089"/>
      <c r="C34" s="1204" t="s">
        <v>1231</v>
      </c>
      <c r="D34" s="1993"/>
      <c r="E34" s="2239"/>
      <c r="F34" s="2239" t="s">
        <v>4560</v>
      </c>
      <c r="G34" s="2237"/>
      <c r="H34" s="2237"/>
      <c r="I34" s="2237"/>
      <c r="J34" s="2237"/>
      <c r="K34" s="2237"/>
      <c r="L34" s="61"/>
      <c r="M34" s="1307"/>
      <c r="N34" s="908"/>
    </row>
    <row r="35" spans="2:14" s="63" customFormat="1" ht="12" customHeight="1" x14ac:dyDescent="0.25">
      <c r="B35" s="1089"/>
      <c r="C35" s="1204"/>
      <c r="E35" s="2239"/>
      <c r="F35" s="2239"/>
      <c r="G35" s="2237"/>
      <c r="H35" s="2237"/>
      <c r="I35" s="2237"/>
      <c r="J35" s="2237"/>
      <c r="K35" s="2237"/>
      <c r="L35" s="61"/>
      <c r="M35" s="1307"/>
      <c r="N35" s="908"/>
    </row>
    <row r="36" spans="2:14" s="63" customFormat="1" ht="12" customHeight="1" x14ac:dyDescent="0.25">
      <c r="B36" s="1089" t="s">
        <v>4850</v>
      </c>
      <c r="C36" s="61"/>
      <c r="D36" s="61"/>
      <c r="E36" s="61"/>
      <c r="F36" s="61"/>
      <c r="G36" s="61"/>
      <c r="H36" s="61"/>
      <c r="I36" s="61"/>
      <c r="J36" s="61"/>
      <c r="K36" s="61"/>
      <c r="L36" s="61"/>
      <c r="M36" s="2243"/>
      <c r="N36" s="908"/>
    </row>
    <row r="37" spans="2:14" s="63" customFormat="1" ht="13.5" customHeight="1" x14ac:dyDescent="0.25">
      <c r="B37" s="1089" t="s">
        <v>4851</v>
      </c>
      <c r="C37" s="61"/>
      <c r="D37" s="61"/>
      <c r="E37" s="61"/>
      <c r="F37" s="61"/>
      <c r="G37" s="61"/>
      <c r="H37" s="61"/>
      <c r="I37" s="61"/>
      <c r="J37" s="61"/>
      <c r="K37" s="61"/>
      <c r="L37" s="61"/>
      <c r="M37" s="61"/>
    </row>
    <row r="38" spans="2:14" s="63" customFormat="1" ht="12" customHeight="1" x14ac:dyDescent="0.25">
      <c r="B38" s="1088" t="s">
        <v>5654</v>
      </c>
      <c r="C38" s="1088"/>
      <c r="D38" s="1090"/>
      <c r="E38" s="1090"/>
      <c r="F38" s="1492"/>
      <c r="G38" s="1089"/>
      <c r="H38" s="1089"/>
      <c r="I38" s="1089"/>
      <c r="J38" s="1089"/>
      <c r="K38" s="1089"/>
      <c r="L38" s="61"/>
    </row>
    <row r="39" spans="2:14" s="63" customFormat="1" ht="12" customHeight="1" x14ac:dyDescent="0.25">
      <c r="B39" s="2244"/>
      <c r="C39" s="2244"/>
      <c r="D39" s="2245"/>
      <c r="E39" s="2245"/>
      <c r="F39" s="2246"/>
      <c r="G39" s="1909"/>
      <c r="H39" s="1909"/>
      <c r="I39" s="1909"/>
      <c r="J39" s="1909"/>
      <c r="K39" s="1909"/>
      <c r="L39" s="2247"/>
    </row>
    <row r="40" spans="2:14" s="63" customFormat="1" ht="13.5" customHeight="1" x14ac:dyDescent="0.25">
      <c r="B40" s="1956" t="s">
        <v>4852</v>
      </c>
      <c r="C40" s="1088"/>
      <c r="D40" s="1090"/>
      <c r="E40" s="1090"/>
      <c r="F40" s="1492"/>
      <c r="G40" s="1089"/>
      <c r="H40" s="1089"/>
      <c r="I40" s="1089"/>
      <c r="J40" s="1089"/>
      <c r="K40" s="1089"/>
      <c r="L40" s="61"/>
    </row>
    <row r="41" spans="2:14" s="63" customFormat="1" ht="6" customHeight="1" x14ac:dyDescent="0.25">
      <c r="B41" s="1956"/>
      <c r="C41" s="1088"/>
      <c r="D41" s="1090"/>
      <c r="E41" s="1090"/>
      <c r="F41" s="1492"/>
      <c r="G41" s="1089"/>
      <c r="H41" s="1089"/>
      <c r="I41" s="1089"/>
      <c r="J41" s="1089"/>
      <c r="K41" s="1089"/>
      <c r="L41" s="61"/>
    </row>
    <row r="42" spans="2:14" s="63" customFormat="1" ht="15.75" x14ac:dyDescent="0.25">
      <c r="B42" s="1089" t="s">
        <v>4569</v>
      </c>
      <c r="C42" s="1088"/>
      <c r="D42" s="1090"/>
      <c r="E42" s="1090"/>
      <c r="F42" s="1492"/>
      <c r="G42" s="1089"/>
      <c r="H42" s="1089"/>
      <c r="I42" s="1089"/>
      <c r="J42" s="1089"/>
      <c r="K42" s="1089"/>
      <c r="L42" s="61"/>
    </row>
    <row r="43" spans="2:14" s="63" customFormat="1" ht="12" customHeight="1" x14ac:dyDescent="0.25">
      <c r="B43" s="1088" t="s">
        <v>4853</v>
      </c>
      <c r="C43" s="1088"/>
      <c r="D43" s="1090"/>
      <c r="E43" s="1090"/>
      <c r="F43" s="1492"/>
      <c r="G43" s="1089"/>
      <c r="H43" s="1089"/>
      <c r="I43" s="1089"/>
      <c r="J43" s="1089"/>
      <c r="K43" s="1089"/>
      <c r="L43" s="61"/>
    </row>
    <row r="44" spans="2:14" s="63" customFormat="1" ht="5.25" customHeight="1" x14ac:dyDescent="0.25">
      <c r="B44" s="1089"/>
      <c r="C44" s="1088"/>
      <c r="D44" s="1090"/>
      <c r="E44" s="1090"/>
      <c r="F44" s="1492"/>
      <c r="G44" s="1089"/>
      <c r="H44" s="1089"/>
      <c r="I44" s="1089"/>
      <c r="J44" s="1089"/>
      <c r="K44" s="1089"/>
      <c r="L44" s="61"/>
    </row>
    <row r="45" spans="2:14" s="63" customFormat="1" ht="15.75" x14ac:dyDescent="0.25">
      <c r="B45" s="1955" t="s">
        <v>4567</v>
      </c>
      <c r="C45" s="1088"/>
      <c r="D45" s="1090"/>
      <c r="E45" s="1090"/>
      <c r="F45" s="1492"/>
      <c r="G45" s="1089"/>
      <c r="H45" s="1089"/>
      <c r="I45" s="1089"/>
      <c r="J45" s="1089"/>
      <c r="K45" s="1089"/>
      <c r="L45" s="61"/>
    </row>
    <row r="46" spans="2:14" s="63" customFormat="1" ht="6" customHeight="1" x14ac:dyDescent="0.25">
      <c r="B46" s="1954"/>
      <c r="C46" s="1088"/>
      <c r="D46" s="1090"/>
      <c r="E46" s="1090"/>
      <c r="F46" s="1492"/>
      <c r="G46" s="1089"/>
      <c r="H46" s="1089"/>
      <c r="I46" s="1089"/>
      <c r="J46" s="1089"/>
      <c r="K46" s="1089"/>
      <c r="L46" s="61"/>
    </row>
    <row r="47" spans="2:14" s="1089" customFormat="1" x14ac:dyDescent="0.2">
      <c r="B47" s="1953" t="s">
        <v>4561</v>
      </c>
      <c r="C47" s="1953"/>
      <c r="D47" s="1953"/>
      <c r="E47" s="1953"/>
      <c r="F47" s="1953"/>
      <c r="G47" s="1953"/>
    </row>
    <row r="48" spans="2:14" s="1089" customFormat="1" ht="12" customHeight="1" x14ac:dyDescent="0.2">
      <c r="B48" s="1089" t="s">
        <v>4854</v>
      </c>
    </row>
    <row r="49" spans="2:10" s="1089" customFormat="1" ht="12" customHeight="1" x14ac:dyDescent="0.2">
      <c r="B49" s="1089" t="s">
        <v>4855</v>
      </c>
    </row>
    <row r="50" spans="2:10" s="1089" customFormat="1" ht="12" customHeight="1" x14ac:dyDescent="0.2">
      <c r="B50" s="1088" t="s">
        <v>4562</v>
      </c>
      <c r="I50" s="2889"/>
      <c r="J50" s="2889"/>
    </row>
    <row r="51" spans="2:10" s="1089" customFormat="1" ht="12" customHeight="1" x14ac:dyDescent="0.2">
      <c r="B51" s="1088" t="s">
        <v>4650</v>
      </c>
      <c r="I51" s="2248"/>
      <c r="J51" s="2248"/>
    </row>
    <row r="52" spans="2:10" s="1089" customFormat="1" ht="12" customHeight="1" x14ac:dyDescent="0.2"/>
    <row r="53" spans="2:10" s="1089" customFormat="1" ht="12" customHeight="1" x14ac:dyDescent="0.2">
      <c r="B53" s="1953" t="s">
        <v>4563</v>
      </c>
      <c r="C53" s="1088"/>
      <c r="D53" s="1090"/>
      <c r="E53" s="1090"/>
      <c r="F53" s="1492"/>
    </row>
    <row r="54" spans="2:10" s="1089" customFormat="1" ht="12" customHeight="1" x14ac:dyDescent="0.2">
      <c r="B54" s="1089" t="s">
        <v>4856</v>
      </c>
      <c r="C54" s="1088"/>
      <c r="D54" s="1090"/>
      <c r="E54" s="1090"/>
      <c r="F54" s="1492"/>
    </row>
    <row r="55" spans="2:10" s="1089" customFormat="1" ht="12" customHeight="1" x14ac:dyDescent="0.2">
      <c r="B55" s="1089" t="s">
        <v>4857</v>
      </c>
      <c r="C55" s="1088"/>
      <c r="D55" s="1090"/>
      <c r="E55" s="1090"/>
      <c r="F55" s="1492"/>
    </row>
    <row r="56" spans="2:10" s="1089" customFormat="1" ht="12" customHeight="1" x14ac:dyDescent="0.2">
      <c r="B56" s="1088" t="s">
        <v>4564</v>
      </c>
      <c r="C56" s="1088"/>
      <c r="I56" s="2889"/>
      <c r="J56" s="2889"/>
    </row>
    <row r="57" spans="2:10" s="1089" customFormat="1" ht="12" customHeight="1" x14ac:dyDescent="0.2">
      <c r="C57" s="1088"/>
      <c r="I57" s="2248"/>
      <c r="J57" s="2248"/>
    </row>
    <row r="58" spans="2:10" s="1089" customFormat="1" ht="12" customHeight="1" x14ac:dyDescent="0.2">
      <c r="B58" s="1953" t="s">
        <v>4646</v>
      </c>
      <c r="C58" s="1088"/>
      <c r="I58" s="2248"/>
      <c r="J58" s="2248"/>
    </row>
    <row r="59" spans="2:10" s="1089" customFormat="1" ht="12" customHeight="1" x14ac:dyDescent="0.2">
      <c r="B59" s="1088" t="s">
        <v>4649</v>
      </c>
      <c r="C59" s="1088"/>
      <c r="I59" s="2888"/>
      <c r="J59" s="2888"/>
    </row>
    <row r="60" spans="2:10" s="1089" customFormat="1" ht="12" customHeight="1" x14ac:dyDescent="0.2">
      <c r="B60" s="1088" t="s">
        <v>4648</v>
      </c>
      <c r="C60" s="1088"/>
      <c r="I60" s="2889"/>
      <c r="J60" s="2889"/>
    </row>
    <row r="61" spans="2:10" s="1089" customFormat="1" ht="12" customHeight="1" x14ac:dyDescent="0.2">
      <c r="C61" s="1088"/>
      <c r="I61" s="1934"/>
      <c r="J61" s="1934"/>
    </row>
    <row r="62" spans="2:10" s="1089" customFormat="1" ht="13.5" customHeight="1" x14ac:dyDescent="0.2">
      <c r="B62" s="1088" t="s">
        <v>4858</v>
      </c>
      <c r="C62" s="1088"/>
      <c r="I62" s="1934"/>
      <c r="J62" s="1934"/>
    </row>
    <row r="63" spans="2:10" s="1089" customFormat="1" ht="5.25" customHeight="1" x14ac:dyDescent="0.2">
      <c r="C63" s="1088"/>
      <c r="I63" s="1934"/>
      <c r="J63" s="1934"/>
    </row>
    <row r="64" spans="2:10" s="1089" customFormat="1" ht="15" x14ac:dyDescent="0.2">
      <c r="B64" s="1955" t="s">
        <v>4568</v>
      </c>
      <c r="C64" s="1088"/>
      <c r="I64" s="1934"/>
      <c r="J64" s="1934"/>
    </row>
    <row r="65" spans="2:13" s="1089" customFormat="1" ht="6" customHeight="1" x14ac:dyDescent="0.2">
      <c r="B65" s="1955"/>
      <c r="C65" s="1088"/>
      <c r="I65" s="1934"/>
      <c r="J65" s="1934"/>
    </row>
    <row r="66" spans="2:13" s="1089" customFormat="1" ht="12" customHeight="1" x14ac:dyDescent="0.2">
      <c r="B66" s="1953" t="s">
        <v>4566</v>
      </c>
      <c r="C66" s="1088"/>
      <c r="I66" s="1934"/>
      <c r="J66" s="1934"/>
    </row>
    <row r="67" spans="2:13" s="1089" customFormat="1" ht="12" customHeight="1" x14ac:dyDescent="0.2">
      <c r="B67" s="1089" t="s">
        <v>4859</v>
      </c>
      <c r="C67" s="1088"/>
      <c r="I67" s="1934"/>
      <c r="J67" s="1934"/>
    </row>
    <row r="68" spans="2:13" s="1089" customFormat="1" ht="12" customHeight="1" x14ac:dyDescent="0.2">
      <c r="B68" s="1089" t="s">
        <v>4860</v>
      </c>
      <c r="I68" s="1934"/>
      <c r="J68" s="1934"/>
    </row>
    <row r="69" spans="2:13" s="1089" customFormat="1" ht="12" customHeight="1" x14ac:dyDescent="0.2">
      <c r="B69" s="1089" t="s">
        <v>4861</v>
      </c>
      <c r="I69" s="1934"/>
      <c r="J69" s="1934"/>
    </row>
    <row r="70" spans="2:13" s="1089" customFormat="1" ht="12" customHeight="1" x14ac:dyDescent="0.2">
      <c r="B70" s="1089" t="s">
        <v>4862</v>
      </c>
      <c r="I70" s="1934"/>
      <c r="J70" s="1934"/>
    </row>
    <row r="71" spans="2:13" s="1089" customFormat="1" ht="12" customHeight="1" x14ac:dyDescent="0.2">
      <c r="B71" s="1088" t="s">
        <v>4651</v>
      </c>
      <c r="I71" s="2248"/>
      <c r="J71" s="2248"/>
    </row>
    <row r="72" spans="2:13" s="1089" customFormat="1" ht="12" customHeight="1" x14ac:dyDescent="0.2">
      <c r="I72" s="1934"/>
      <c r="J72" s="1934"/>
    </row>
    <row r="73" spans="2:13" s="1089" customFormat="1" ht="12" customHeight="1" x14ac:dyDescent="0.2">
      <c r="B73" s="1953" t="s">
        <v>4576</v>
      </c>
      <c r="I73" s="1934"/>
      <c r="J73" s="1934"/>
    </row>
    <row r="74" spans="2:13" s="1089" customFormat="1" ht="12" customHeight="1" x14ac:dyDescent="0.2">
      <c r="B74" s="1089" t="s">
        <v>4863</v>
      </c>
      <c r="I74" s="1934"/>
      <c r="J74" s="1934"/>
    </row>
    <row r="75" spans="2:13" s="1089" customFormat="1" ht="12" customHeight="1" x14ac:dyDescent="0.2">
      <c r="B75" s="1089" t="s">
        <v>4864</v>
      </c>
      <c r="I75" s="1934"/>
      <c r="J75" s="1934"/>
    </row>
    <row r="76" spans="2:13" s="1089" customFormat="1" ht="12" customHeight="1" x14ac:dyDescent="0.2">
      <c r="B76" s="1088" t="s">
        <v>4647</v>
      </c>
      <c r="I76" s="2888"/>
      <c r="J76" s="2888"/>
    </row>
    <row r="77" spans="2:13" s="1089" customFormat="1" ht="12" customHeight="1" x14ac:dyDescent="0.2">
      <c r="B77" s="1088" t="s">
        <v>4648</v>
      </c>
      <c r="I77" s="2889"/>
      <c r="J77" s="2889"/>
    </row>
    <row r="78" spans="2:13" s="1089" customFormat="1" ht="12" customHeight="1" x14ac:dyDescent="0.2"/>
    <row r="79" spans="2:13" ht="12" customHeight="1" x14ac:dyDescent="0.2">
      <c r="B79" s="1344" t="s">
        <v>1229</v>
      </c>
      <c r="C79" s="1088"/>
      <c r="D79" s="1089"/>
      <c r="E79" s="1089"/>
      <c r="F79" s="1089"/>
      <c r="G79" s="1089"/>
      <c r="H79" s="1089"/>
      <c r="I79" s="1089"/>
      <c r="J79" s="1089"/>
      <c r="K79" s="1089"/>
    </row>
    <row r="80" spans="2:13" ht="12" customHeight="1" x14ac:dyDescent="0.2">
      <c r="B80" s="1204" t="s">
        <v>4553</v>
      </c>
      <c r="C80" s="2241"/>
      <c r="D80" s="2241"/>
      <c r="E80" s="2241"/>
      <c r="F80" s="2241"/>
      <c r="G80" s="2241"/>
      <c r="H80" s="2241"/>
      <c r="I80" s="2241"/>
      <c r="J80" s="2241"/>
      <c r="K80" s="1089"/>
      <c r="L80" s="2241"/>
      <c r="M80" s="40"/>
    </row>
    <row r="81" spans="2:13" ht="12" customHeight="1" x14ac:dyDescent="0.2">
      <c r="B81" s="1204" t="s">
        <v>5655</v>
      </c>
      <c r="C81" s="2241"/>
      <c r="D81" s="2241"/>
      <c r="E81" s="2241"/>
      <c r="F81" s="2241"/>
      <c r="G81" s="2241"/>
      <c r="H81" s="2241"/>
      <c r="I81" s="2241"/>
      <c r="J81" s="2241"/>
      <c r="K81" s="1089"/>
      <c r="L81" s="2241"/>
      <c r="M81" s="2241"/>
    </row>
    <row r="82" spans="2:13" ht="15.75" customHeight="1" x14ac:dyDescent="0.2">
      <c r="B82" s="1088"/>
      <c r="C82" s="1088"/>
      <c r="D82" s="1089"/>
      <c r="E82" s="1089"/>
      <c r="F82" s="1089"/>
      <c r="G82" s="1089"/>
      <c r="H82" s="1089"/>
      <c r="I82" s="1089"/>
      <c r="J82" s="1089"/>
      <c r="K82" s="1089"/>
    </row>
    <row r="83" spans="2:13" ht="12" customHeight="1" x14ac:dyDescent="0.2">
      <c r="B83" s="1088"/>
      <c r="C83" s="1088"/>
      <c r="D83" s="1089"/>
      <c r="E83" s="1089"/>
      <c r="F83" s="1089"/>
      <c r="G83" s="1089"/>
      <c r="H83" s="1089"/>
      <c r="I83" s="1089"/>
      <c r="J83" s="1089"/>
      <c r="K83" s="1089"/>
    </row>
    <row r="84" spans="2:13" ht="12" customHeight="1" x14ac:dyDescent="0.2">
      <c r="B84" s="1088"/>
      <c r="C84" s="1088"/>
      <c r="D84" s="1089"/>
      <c r="E84" s="1089"/>
      <c r="F84" s="1089"/>
      <c r="G84" s="1089"/>
      <c r="H84" s="1089"/>
      <c r="I84" s="1089"/>
      <c r="J84" s="1089"/>
      <c r="K84" s="1089"/>
    </row>
    <row r="85" spans="2:13" ht="12" customHeight="1" x14ac:dyDescent="0.2">
      <c r="B85" s="1088"/>
      <c r="C85" s="1088"/>
      <c r="D85" s="1089"/>
      <c r="E85" s="1089"/>
      <c r="F85" s="1089"/>
      <c r="G85" s="1089"/>
      <c r="H85" s="1089"/>
      <c r="I85" s="1089"/>
      <c r="J85" s="1089"/>
      <c r="K85" s="1089"/>
    </row>
    <row r="86" spans="2:13" ht="12" customHeight="1" x14ac:dyDescent="0.2">
      <c r="B86" s="1088"/>
      <c r="C86" s="1088"/>
      <c r="D86" s="1089"/>
      <c r="E86" s="1089"/>
      <c r="F86" s="1089"/>
      <c r="G86" s="1089"/>
      <c r="H86" s="1089"/>
      <c r="I86" s="1089"/>
      <c r="J86" s="1089"/>
      <c r="K86" s="1089"/>
    </row>
    <row r="87" spans="2:13" ht="5.0999999999999996" customHeight="1" x14ac:dyDescent="0.2">
      <c r="B87" s="1088"/>
      <c r="C87" s="1088"/>
      <c r="D87" s="1089"/>
      <c r="E87" s="1089"/>
      <c r="F87" s="1089"/>
      <c r="G87" s="1089"/>
      <c r="H87" s="1089"/>
      <c r="I87" s="1089"/>
      <c r="J87" s="1089"/>
      <c r="K87" s="1089"/>
    </row>
    <row r="88" spans="2:13" ht="12" customHeight="1" x14ac:dyDescent="0.2">
      <c r="B88" s="1088"/>
      <c r="C88" s="1088"/>
      <c r="D88" s="1089"/>
      <c r="E88" s="1089"/>
      <c r="F88" s="1089"/>
      <c r="G88" s="1089"/>
      <c r="H88" s="1089"/>
      <c r="I88" s="1089"/>
      <c r="J88" s="1089"/>
      <c r="K88" s="1089"/>
    </row>
    <row r="89" spans="2:13" ht="12" customHeight="1" x14ac:dyDescent="0.2">
      <c r="B89" s="1088"/>
      <c r="C89" s="1088"/>
      <c r="D89" s="1089"/>
      <c r="E89" s="1089"/>
      <c r="F89" s="1089"/>
      <c r="G89" s="1089"/>
      <c r="H89" s="1089"/>
      <c r="I89" s="1089"/>
      <c r="J89" s="1089"/>
      <c r="K89" s="1089"/>
    </row>
    <row r="90" spans="2:13" ht="12" customHeight="1" x14ac:dyDescent="0.2">
      <c r="B90" s="1088"/>
      <c r="C90" s="1088"/>
      <c r="D90" s="1089"/>
      <c r="E90" s="1089"/>
      <c r="F90" s="1089"/>
      <c r="G90" s="1089"/>
      <c r="H90" s="1089"/>
      <c r="I90" s="1089"/>
      <c r="J90" s="1089"/>
      <c r="K90" s="1089"/>
    </row>
    <row r="91" spans="2:13" ht="12" customHeight="1" x14ac:dyDescent="0.2">
      <c r="B91" s="1088"/>
      <c r="C91" s="1088"/>
      <c r="D91" s="1089"/>
      <c r="E91" s="1089"/>
      <c r="F91" s="1089"/>
      <c r="G91" s="1089"/>
      <c r="H91" s="1089"/>
      <c r="I91" s="1089"/>
      <c r="J91" s="1089"/>
      <c r="K91" s="1089"/>
    </row>
    <row r="92" spans="2:13" ht="12" customHeight="1" x14ac:dyDescent="0.2">
      <c r="B92" s="1190"/>
      <c r="C92" s="1190"/>
      <c r="D92" s="949"/>
      <c r="E92" s="949"/>
      <c r="F92" s="949"/>
      <c r="G92" s="949"/>
      <c r="H92" s="949"/>
      <c r="I92" s="949"/>
      <c r="J92" s="949"/>
      <c r="K92" s="949"/>
    </row>
    <row r="93" spans="2:13" ht="12" customHeight="1" x14ac:dyDescent="0.2">
      <c r="B93" s="1190"/>
      <c r="C93" s="1190"/>
      <c r="D93" s="949"/>
      <c r="E93" s="949"/>
      <c r="F93" s="949"/>
      <c r="G93" s="949"/>
      <c r="H93" s="949"/>
      <c r="I93" s="949"/>
      <c r="J93" s="949"/>
      <c r="K93" s="949"/>
    </row>
    <row r="94" spans="2:13" ht="5.0999999999999996" customHeight="1" x14ac:dyDescent="0.2">
      <c r="B94" s="1190"/>
      <c r="C94" s="1190"/>
      <c r="D94" s="949"/>
      <c r="E94" s="949"/>
      <c r="F94" s="949"/>
      <c r="G94" s="949"/>
      <c r="H94" s="949"/>
      <c r="I94" s="949"/>
      <c r="J94" s="949"/>
      <c r="K94" s="949"/>
    </row>
    <row r="98" spans="1:13" ht="14.1" customHeight="1" x14ac:dyDescent="0.2">
      <c r="B98" s="1190"/>
      <c r="C98" s="2241"/>
      <c r="D98" s="2241"/>
      <c r="E98" s="2241"/>
      <c r="F98" s="2241"/>
      <c r="G98" s="2241"/>
      <c r="H98" s="2241"/>
      <c r="I98" s="2241"/>
      <c r="J98" s="2241"/>
      <c r="K98" s="2241"/>
      <c r="L98" s="2241"/>
      <c r="M98" s="2241"/>
    </row>
    <row r="99" spans="1:13" ht="5.0999999999999996" customHeight="1" x14ac:dyDescent="0.2">
      <c r="B99" s="1190"/>
      <c r="C99" s="1190"/>
      <c r="D99" s="949"/>
      <c r="E99" s="949"/>
      <c r="F99" s="949"/>
      <c r="G99" s="949"/>
      <c r="H99" s="949"/>
      <c r="I99" s="949"/>
      <c r="J99" s="949"/>
      <c r="K99" s="949"/>
    </row>
    <row r="100" spans="1:13" ht="12" customHeight="1" x14ac:dyDescent="0.2">
      <c r="B100" s="1190"/>
      <c r="C100" s="1190"/>
      <c r="D100" s="949"/>
      <c r="E100" s="949"/>
      <c r="F100" s="949"/>
      <c r="G100" s="949"/>
      <c r="H100" s="949"/>
      <c r="I100" s="949"/>
      <c r="J100" s="949"/>
      <c r="K100" s="949"/>
    </row>
    <row r="101" spans="1:13" x14ac:dyDescent="0.2">
      <c r="B101" s="1190"/>
      <c r="C101" s="1190"/>
      <c r="D101" s="949"/>
      <c r="E101" s="949"/>
      <c r="F101" s="949"/>
      <c r="G101" s="949"/>
      <c r="H101" s="949"/>
      <c r="I101" s="949"/>
      <c r="J101" s="949"/>
      <c r="K101" s="949"/>
    </row>
    <row r="102" spans="1:13" x14ac:dyDescent="0.2">
      <c r="B102" s="1190"/>
      <c r="C102" s="1190"/>
      <c r="D102" s="949"/>
      <c r="E102" s="949"/>
      <c r="F102" s="949"/>
      <c r="G102" s="949"/>
      <c r="H102" s="949"/>
      <c r="I102" s="949"/>
      <c r="J102" s="949"/>
      <c r="K102" s="949"/>
    </row>
    <row r="103" spans="1:13" ht="16.5" customHeight="1" x14ac:dyDescent="0.2">
      <c r="B103" s="1190"/>
      <c r="C103" s="1190"/>
      <c r="D103" s="949"/>
      <c r="E103" s="949"/>
      <c r="F103" s="949"/>
      <c r="G103" s="949"/>
      <c r="H103" s="949"/>
      <c r="I103" s="949"/>
      <c r="J103" s="949"/>
      <c r="K103" s="949"/>
    </row>
    <row r="104" spans="1:13" ht="5.0999999999999996" customHeight="1" x14ac:dyDescent="0.2">
      <c r="B104" s="1190"/>
      <c r="C104" s="1190"/>
      <c r="D104" s="949"/>
      <c r="E104" s="949"/>
      <c r="F104" s="949"/>
      <c r="G104" s="949"/>
      <c r="H104" s="949"/>
      <c r="I104" s="949"/>
      <c r="J104" s="949"/>
      <c r="K104" s="949"/>
    </row>
    <row r="105" spans="1:13" x14ac:dyDescent="0.2">
      <c r="B105" s="1190"/>
      <c r="C105" s="1190"/>
      <c r="D105" s="949"/>
      <c r="E105" s="949"/>
      <c r="F105" s="949"/>
      <c r="G105" s="949"/>
      <c r="H105" s="949"/>
      <c r="I105" s="949"/>
      <c r="J105" s="949"/>
      <c r="K105" s="949"/>
    </row>
    <row r="106" spans="1:13" x14ac:dyDescent="0.2">
      <c r="B106" s="1190"/>
      <c r="C106" s="1190"/>
      <c r="D106" s="949"/>
      <c r="E106" s="949"/>
      <c r="F106" s="949"/>
      <c r="G106" s="949"/>
      <c r="H106" s="949"/>
      <c r="I106" s="949"/>
      <c r="J106" s="949"/>
      <c r="K106" s="949"/>
    </row>
    <row r="107" spans="1:13" x14ac:dyDescent="0.2">
      <c r="B107" s="1190"/>
      <c r="C107" s="1190"/>
      <c r="D107" s="949"/>
      <c r="E107" s="949"/>
      <c r="F107" s="949"/>
      <c r="G107" s="949"/>
      <c r="H107" s="949"/>
      <c r="I107" s="949"/>
      <c r="J107" s="949"/>
      <c r="K107" s="949"/>
    </row>
    <row r="108" spans="1:13" ht="16.5" customHeight="1" x14ac:dyDescent="0.2">
      <c r="B108" s="1190"/>
      <c r="C108" s="1190"/>
      <c r="D108" s="949"/>
      <c r="E108" s="949"/>
      <c r="F108" s="949"/>
      <c r="G108" s="949"/>
      <c r="H108" s="949"/>
      <c r="I108" s="949"/>
      <c r="J108" s="949"/>
      <c r="K108" s="949"/>
    </row>
    <row r="109" spans="1:13" ht="11.1" customHeight="1" x14ac:dyDescent="0.2">
      <c r="B109" s="1190"/>
      <c r="C109" s="1190"/>
      <c r="D109" s="949"/>
      <c r="E109" s="949"/>
      <c r="F109" s="949"/>
      <c r="G109" s="949"/>
      <c r="H109" s="949"/>
      <c r="I109" s="949"/>
      <c r="J109" s="949"/>
      <c r="K109" s="949"/>
    </row>
    <row r="110" spans="1:13" x14ac:dyDescent="0.2">
      <c r="A110" s="61" t="str">
        <f>AgyIdx</f>
        <v>01</v>
      </c>
      <c r="B110" s="1190"/>
      <c r="C110" s="1190"/>
      <c r="D110" s="949"/>
      <c r="E110" s="949"/>
      <c r="F110" s="949"/>
      <c r="G110" s="949"/>
      <c r="H110" s="949"/>
      <c r="I110" s="949"/>
      <c r="J110" s="949"/>
      <c r="K110" s="949"/>
    </row>
    <row r="111" spans="1:13" ht="15" x14ac:dyDescent="0.2">
      <c r="A111" s="794" t="str">
        <f ca="1">MID(CELL("filename",A1),FIND("]",CELL("filename",A1))+1,256)</f>
        <v>323</v>
      </c>
      <c r="B111" s="1190" t="str">
        <f t="shared" ref="B111:B120" ca="1" si="1">IF(ISNA(INDEX(ErrorTable,MATCH($A$111&amp;$A112&amp;FALSE,ErrorKey,0),6)),"",INDEX(ErrorTable,MATCH($A$111&amp;$A112&amp;FALSE,ErrorKey,0),6))</f>
        <v/>
      </c>
      <c r="C111" s="1190"/>
      <c r="D111" s="949"/>
      <c r="E111" s="949"/>
      <c r="F111" s="949"/>
      <c r="G111" s="949"/>
      <c r="H111" s="949"/>
      <c r="I111" s="949"/>
      <c r="J111" s="949"/>
      <c r="K111" s="949"/>
    </row>
    <row r="112" spans="1:13" ht="15" x14ac:dyDescent="0.2">
      <c r="A112" s="794" t="s">
        <v>446</v>
      </c>
      <c r="B112" s="1190" t="str">
        <f t="shared" ca="1" si="1"/>
        <v/>
      </c>
      <c r="C112" s="1190"/>
      <c r="D112" s="949"/>
      <c r="E112" s="949"/>
      <c r="F112" s="949"/>
      <c r="G112" s="949"/>
      <c r="H112" s="949"/>
      <c r="I112" s="949"/>
      <c r="J112" s="949"/>
      <c r="K112" s="949"/>
    </row>
    <row r="113" spans="1:11" ht="15" x14ac:dyDescent="0.2">
      <c r="A113" s="794" t="s">
        <v>447</v>
      </c>
      <c r="B113" s="1190" t="str">
        <f t="shared" ca="1" si="1"/>
        <v/>
      </c>
      <c r="C113" s="1190"/>
      <c r="D113" s="949"/>
      <c r="E113" s="949"/>
      <c r="F113" s="949"/>
      <c r="G113" s="949"/>
      <c r="H113" s="949"/>
      <c r="I113" s="949"/>
      <c r="J113" s="949"/>
      <c r="K113" s="949"/>
    </row>
    <row r="114" spans="1:11" ht="15" x14ac:dyDescent="0.2">
      <c r="A114" s="794" t="s">
        <v>448</v>
      </c>
      <c r="B114" s="794" t="str">
        <f t="shared" ca="1" si="1"/>
        <v/>
      </c>
      <c r="C114" s="1190"/>
      <c r="D114" s="949"/>
      <c r="E114" s="949"/>
      <c r="F114" s="949"/>
      <c r="G114" s="949"/>
      <c r="H114" s="949"/>
      <c r="I114" s="949"/>
      <c r="J114" s="949"/>
      <c r="K114" s="949"/>
    </row>
    <row r="115" spans="1:11" ht="15" x14ac:dyDescent="0.2">
      <c r="A115" s="794" t="s">
        <v>450</v>
      </c>
      <c r="B115" s="794" t="str">
        <f t="shared" ca="1" si="1"/>
        <v/>
      </c>
      <c r="C115" s="794"/>
    </row>
    <row r="116" spans="1:11" ht="15" x14ac:dyDescent="0.2">
      <c r="A116" s="794" t="s">
        <v>451</v>
      </c>
      <c r="B116" s="794" t="str">
        <f t="shared" ca="1" si="1"/>
        <v/>
      </c>
      <c r="C116" s="794"/>
    </row>
    <row r="117" spans="1:11" ht="15" x14ac:dyDescent="0.2">
      <c r="A117" s="794" t="s">
        <v>452</v>
      </c>
      <c r="B117" s="794" t="str">
        <f t="shared" ca="1" si="1"/>
        <v/>
      </c>
      <c r="C117" s="794"/>
    </row>
    <row r="118" spans="1:11" ht="15" x14ac:dyDescent="0.2">
      <c r="A118" s="794" t="s">
        <v>453</v>
      </c>
      <c r="B118" s="794" t="str">
        <f t="shared" ca="1" si="1"/>
        <v/>
      </c>
      <c r="C118" s="794"/>
    </row>
    <row r="119" spans="1:11" ht="15" x14ac:dyDescent="0.2">
      <c r="A119" s="794" t="s">
        <v>454</v>
      </c>
      <c r="B119" s="794" t="str">
        <f t="shared" ca="1" si="1"/>
        <v/>
      </c>
      <c r="C119" s="794"/>
    </row>
    <row r="120" spans="1:11" ht="15" x14ac:dyDescent="0.2">
      <c r="A120" s="794" t="s">
        <v>455</v>
      </c>
      <c r="B120" s="794" t="str">
        <f t="shared" ca="1" si="1"/>
        <v/>
      </c>
      <c r="C120" s="794"/>
    </row>
    <row r="121" spans="1:11" ht="15" x14ac:dyDescent="0.2">
      <c r="A121" s="794" t="s">
        <v>456</v>
      </c>
      <c r="C121" s="794"/>
    </row>
  </sheetData>
  <sheetProtection algorithmName="SHA-512" hashValue="oczWWOcsB919MqBZFe6tknYq3VvEDyk6oLJlKiVy7af+x/pITUNEl2hLjKa2C02uz36nNWK6dLgar8NPG2qB8g==" saltValue="ECFNGE7lQ/nPVvd5uqjDaw==" spinCount="100000" sheet="1" objects="1" scenarios="1" autoFilter="0"/>
  <mergeCells count="16">
    <mergeCell ref="I76:J76"/>
    <mergeCell ref="I77:J77"/>
    <mergeCell ref="I6:K6"/>
    <mergeCell ref="I7:K7"/>
    <mergeCell ref="I8:K8"/>
    <mergeCell ref="I50:J50"/>
    <mergeCell ref="I56:J56"/>
    <mergeCell ref="I59:J59"/>
    <mergeCell ref="I60:J60"/>
    <mergeCell ref="B13:G13"/>
    <mergeCell ref="B1:K1"/>
    <mergeCell ref="I5:K5"/>
    <mergeCell ref="L1:L3"/>
    <mergeCell ref="B2:K2"/>
    <mergeCell ref="B3:K3"/>
    <mergeCell ref="B7:D7"/>
  </mergeCells>
  <conditionalFormatting sqref="L1:L3">
    <cfRule type="cellIs" dxfId="134" priority="1" stopIfTrue="1" operator="equal">
      <formula>"na"</formula>
    </cfRule>
  </conditionalFormatting>
  <hyperlinks>
    <hyperlink ref="B1:K1" location="Index!A1" display="Index!A1" xr:uid="{11A3A842-DD3A-4C6F-9789-C2655813C48C}"/>
    <hyperlink ref="B13" r:id="rId1" display="Financial Reporting Update for GASB 83" xr:uid="{E1507681-22C2-4727-AF40-105569943C09}"/>
  </hyperlinks>
  <pageMargins left="0.5" right="0.5" top="0.5" bottom="0.5" header="0.43" footer="0.25"/>
  <pageSetup orientation="portrait" r:id="rId2"/>
  <headerFooter alignWithMargins="0">
    <oddFooter>&amp;R&amp;A</oddFooter>
  </headerFooter>
  <rowBreaks count="1" manualBreakCount="1">
    <brk id="61" max="16383" man="1"/>
  </rowBreaks>
  <colBreaks count="1" manualBreakCount="1">
    <brk id="1" max="6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4"/>
  <sheetViews>
    <sheetView showGridLines="0" topLeftCell="C1" zoomScaleNormal="100" workbookViewId="0">
      <selection activeCell="M27" sqref="M27"/>
    </sheetView>
  </sheetViews>
  <sheetFormatPr defaultColWidth="9.42578125" defaultRowHeight="12.75" x14ac:dyDescent="0.2"/>
  <cols>
    <col min="1" max="1" width="9.5703125" style="514" hidden="1" customWidth="1"/>
    <col min="2" max="2" width="4" style="514" hidden="1" customWidth="1"/>
    <col min="3" max="3" width="7.5703125" style="514" customWidth="1"/>
    <col min="4" max="4" width="1.42578125" style="514" customWidth="1"/>
    <col min="5" max="5" width="27.5703125" style="514" customWidth="1"/>
    <col min="6" max="6" width="1.42578125" style="514" customWidth="1"/>
    <col min="7" max="7" width="15.5703125" style="514" customWidth="1"/>
    <col min="8" max="8" width="1.42578125" style="514" customWidth="1"/>
    <col min="9" max="9" width="15.5703125" style="514" customWidth="1"/>
    <col min="10" max="10" width="1.42578125" style="514" customWidth="1"/>
    <col min="11" max="11" width="15.5703125" style="514" customWidth="1"/>
    <col min="12" max="12" width="1.42578125" style="514" customWidth="1"/>
    <col min="13" max="13" width="15" style="514" customWidth="1"/>
    <col min="14" max="14" width="1.42578125" style="514" customWidth="1"/>
    <col min="15" max="15" width="15.42578125" style="514" customWidth="1"/>
    <col min="16" max="16" width="4.42578125" style="514" customWidth="1"/>
    <col min="17" max="19" width="9.42578125" style="514"/>
    <col min="20" max="20" width="9.42578125" style="2334"/>
    <col min="21" max="16384" width="9.42578125" style="514"/>
  </cols>
  <sheetData>
    <row r="1" spans="1:27" s="502" customFormat="1" ht="15" customHeight="1" x14ac:dyDescent="0.3">
      <c r="A1" s="502" t="str">
        <f t="shared" ref="A1:A36" si="0">_AGY325</f>
        <v>01</v>
      </c>
      <c r="C1" s="2767" t="str">
        <f>+Index!$A$1</f>
        <v xml:space="preserve">                                                               Office of the State Controller                                                                </v>
      </c>
      <c r="D1" s="2767"/>
      <c r="E1" s="2767"/>
      <c r="F1" s="2767"/>
      <c r="G1" s="2767"/>
      <c r="H1" s="2767"/>
      <c r="I1" s="2767"/>
      <c r="J1" s="2767"/>
      <c r="K1" s="2767"/>
      <c r="L1" s="2767"/>
      <c r="M1" s="2767"/>
      <c r="N1" s="2767"/>
      <c r="O1" s="2767"/>
      <c r="P1" s="2766" t="str">
        <f>IF(Index!$B$36="na","NA","")</f>
        <v/>
      </c>
      <c r="Q1"/>
      <c r="T1" s="2332"/>
      <c r="AA1" s="503"/>
    </row>
    <row r="2" spans="1:27" s="502" customFormat="1" ht="15" customHeight="1" x14ac:dyDescent="0.3">
      <c r="A2" s="502" t="str">
        <f t="shared" si="0"/>
        <v>01</v>
      </c>
      <c r="C2" s="2749" t="str">
        <f>+Index!$A$2</f>
        <v>2022 ACFR Worksheets</v>
      </c>
      <c r="D2" s="2749"/>
      <c r="E2" s="2749"/>
      <c r="F2" s="2749"/>
      <c r="G2" s="2749"/>
      <c r="H2" s="2749"/>
      <c r="I2" s="2749"/>
      <c r="J2" s="2749"/>
      <c r="K2" s="2749"/>
      <c r="L2" s="2749"/>
      <c r="M2" s="2749"/>
      <c r="N2" s="2749"/>
      <c r="O2" s="2749"/>
      <c r="P2" s="2766"/>
      <c r="Q2"/>
      <c r="T2" s="2332"/>
    </row>
    <row r="3" spans="1:27" s="502" customFormat="1" ht="15" customHeight="1" x14ac:dyDescent="0.3">
      <c r="A3" s="502" t="str">
        <f t="shared" si="0"/>
        <v>01</v>
      </c>
      <c r="C3" s="2749" t="s">
        <v>3519</v>
      </c>
      <c r="D3" s="2749"/>
      <c r="E3" s="2749"/>
      <c r="F3" s="2749"/>
      <c r="G3" s="2749"/>
      <c r="H3" s="2749"/>
      <c r="I3" s="2749"/>
      <c r="J3" s="2749"/>
      <c r="K3" s="2749"/>
      <c r="L3" s="2749"/>
      <c r="M3" s="2749"/>
      <c r="N3" s="2749"/>
      <c r="O3" s="2749"/>
      <c r="P3" s="2766"/>
      <c r="Q3"/>
      <c r="T3" s="2332"/>
    </row>
    <row r="4" spans="1:27" s="504" customFormat="1" ht="6" customHeight="1" x14ac:dyDescent="0.3">
      <c r="A4" s="502" t="str">
        <f t="shared" si="0"/>
        <v>01</v>
      </c>
      <c r="C4" s="505"/>
      <c r="K4" s="430"/>
      <c r="T4" s="2333"/>
    </row>
    <row r="5" spans="1:27" s="504" customFormat="1" ht="15" customHeight="1" x14ac:dyDescent="0.3">
      <c r="A5" s="502" t="str">
        <f t="shared" si="0"/>
        <v>01</v>
      </c>
      <c r="H5" s="505"/>
      <c r="J5" s="734" t="s">
        <v>327</v>
      </c>
      <c r="K5" s="2886" t="str">
        <f>+Index!$E$10</f>
        <v>01</v>
      </c>
      <c r="L5" s="2886"/>
      <c r="M5" s="2886"/>
      <c r="N5" s="2886"/>
      <c r="O5" s="2886"/>
      <c r="T5" s="2333"/>
    </row>
    <row r="6" spans="1:27" s="504" customFormat="1" ht="15" customHeight="1" x14ac:dyDescent="0.3">
      <c r="A6" s="502" t="str">
        <f t="shared" si="0"/>
        <v>01</v>
      </c>
      <c r="J6" s="734" t="s">
        <v>1154</v>
      </c>
      <c r="K6" s="2886" t="str">
        <f>+Index!$E$11</f>
        <v>North Carolina General Assembly</v>
      </c>
      <c r="L6" s="2886"/>
      <c r="M6" s="2886"/>
      <c r="N6" s="2886"/>
      <c r="O6" s="2886"/>
      <c r="T6" s="2333"/>
    </row>
    <row r="7" spans="1:27" s="504" customFormat="1" ht="15" customHeight="1" x14ac:dyDescent="0.3">
      <c r="A7" s="502" t="str">
        <f t="shared" si="0"/>
        <v>01</v>
      </c>
      <c r="C7" s="504" t="s">
        <v>477</v>
      </c>
      <c r="F7" s="2423"/>
      <c r="G7" s="2424"/>
      <c r="J7" s="734" t="s">
        <v>972</v>
      </c>
      <c r="K7" s="2809" t="str">
        <f>CONCATENATE(Index!$E$12," ",Index!$E$14)</f>
        <v xml:space="preserve"> </v>
      </c>
      <c r="L7" s="2809"/>
      <c r="M7" s="2809"/>
      <c r="N7" s="2809"/>
      <c r="O7" s="2809"/>
      <c r="T7" s="2333"/>
    </row>
    <row r="8" spans="1:27" s="504" customFormat="1" ht="15" customHeight="1" x14ac:dyDescent="0.3">
      <c r="A8" s="502" t="str">
        <f t="shared" si="0"/>
        <v>01</v>
      </c>
      <c r="C8" s="1499" t="s">
        <v>3898</v>
      </c>
      <c r="D8" s="1499"/>
      <c r="E8" s="1499"/>
      <c r="F8" s="1500"/>
      <c r="G8" s="1501"/>
      <c r="J8" s="734" t="s">
        <v>348</v>
      </c>
      <c r="K8" s="2891">
        <f>+Index!$E$13</f>
        <v>0</v>
      </c>
      <c r="L8" s="2891"/>
      <c r="M8" s="2891"/>
      <c r="N8" s="2891"/>
      <c r="O8" s="2891"/>
      <c r="T8" s="2333"/>
    </row>
    <row r="9" spans="1:27" s="504" customFormat="1" ht="9.75" customHeight="1" thickBot="1" x14ac:dyDescent="0.35">
      <c r="A9" s="502" t="str">
        <f t="shared" si="0"/>
        <v>01</v>
      </c>
      <c r="C9" s="735"/>
      <c r="D9" s="735"/>
      <c r="E9" s="735"/>
      <c r="F9" s="735"/>
      <c r="G9" s="735"/>
      <c r="H9" s="735"/>
      <c r="I9" s="735"/>
      <c r="J9" s="735"/>
      <c r="K9" s="735"/>
      <c r="L9" s="735"/>
      <c r="M9" s="735"/>
      <c r="N9" s="735"/>
      <c r="O9" s="735"/>
      <c r="T9" s="2333"/>
    </row>
    <row r="10" spans="1:27" s="504" customFormat="1" ht="8.25" customHeight="1" thickBot="1" x14ac:dyDescent="0.35">
      <c r="A10" s="502"/>
      <c r="G10" s="1349"/>
      <c r="T10" s="2333"/>
    </row>
    <row r="11" spans="1:27" s="504" customFormat="1" ht="3" hidden="1" customHeight="1" thickBot="1" x14ac:dyDescent="0.35">
      <c r="A11" s="502" t="str">
        <f t="shared" si="0"/>
        <v>01</v>
      </c>
      <c r="G11" s="504" t="s">
        <v>1553</v>
      </c>
      <c r="I11" s="504" t="s">
        <v>321</v>
      </c>
      <c r="K11" s="504" t="s">
        <v>996</v>
      </c>
      <c r="M11" s="504" t="s">
        <v>997</v>
      </c>
      <c r="O11" s="504" t="s">
        <v>1817</v>
      </c>
      <c r="T11" s="2333"/>
    </row>
    <row r="12" spans="1:27" s="504" customFormat="1" ht="14.25" customHeight="1" thickBot="1" x14ac:dyDescent="0.35">
      <c r="A12" s="502" t="str">
        <f t="shared" si="0"/>
        <v>01</v>
      </c>
      <c r="E12" s="817" t="s">
        <v>3468</v>
      </c>
      <c r="G12" s="1438" t="s">
        <v>3467</v>
      </c>
      <c r="H12" s="1348"/>
      <c r="I12" s="512"/>
      <c r="J12" s="1348"/>
      <c r="K12" s="512"/>
      <c r="L12" s="1348"/>
      <c r="M12" s="512"/>
      <c r="N12" s="1348"/>
      <c r="O12" s="1269"/>
      <c r="P12" s="1348"/>
      <c r="T12" s="2333"/>
    </row>
    <row r="13" spans="1:27" s="504" customFormat="1" ht="8.25" customHeight="1" thickBot="1" x14ac:dyDescent="0.35">
      <c r="A13" s="502" t="str">
        <f t="shared" si="0"/>
        <v>01</v>
      </c>
      <c r="C13" s="735"/>
      <c r="D13" s="735"/>
      <c r="E13" s="735"/>
      <c r="F13" s="735"/>
      <c r="G13" s="735"/>
      <c r="H13" s="735"/>
      <c r="I13" s="735"/>
      <c r="J13" s="735"/>
      <c r="K13" s="735"/>
      <c r="L13" s="735"/>
      <c r="M13" s="735"/>
      <c r="N13" s="735"/>
      <c r="O13" s="735"/>
      <c r="T13" s="2333"/>
    </row>
    <row r="14" spans="1:27" s="504" customFormat="1" ht="9.75" customHeight="1" x14ac:dyDescent="0.3">
      <c r="A14" s="502" t="str">
        <f t="shared" si="0"/>
        <v>01</v>
      </c>
      <c r="T14" s="2333"/>
    </row>
    <row r="15" spans="1:27" s="504" customFormat="1" ht="18.75" x14ac:dyDescent="0.3">
      <c r="A15" s="502"/>
      <c r="G15" s="2306" t="s">
        <v>5037</v>
      </c>
      <c r="H15" s="2306"/>
      <c r="I15" s="2306" t="s">
        <v>5038</v>
      </c>
      <c r="J15" s="2306"/>
      <c r="K15" s="2306" t="s">
        <v>5039</v>
      </c>
      <c r="L15" s="2306"/>
      <c r="M15" s="2306" t="s">
        <v>5040</v>
      </c>
      <c r="N15" s="2306"/>
      <c r="O15" s="2306" t="s">
        <v>5041</v>
      </c>
      <c r="T15" s="2333"/>
    </row>
    <row r="16" spans="1:27" s="504" customFormat="1" ht="15" customHeight="1" x14ac:dyDescent="0.3">
      <c r="A16" s="502" t="str">
        <f t="shared" si="0"/>
        <v>01</v>
      </c>
      <c r="C16" s="506" t="s">
        <v>118</v>
      </c>
      <c r="E16" s="506"/>
      <c r="F16" s="506"/>
      <c r="G16" s="507">
        <f>YEAR(Data!A2)</f>
        <v>2022</v>
      </c>
      <c r="H16" s="506"/>
      <c r="I16" s="507">
        <f>+G16-1</f>
        <v>2021</v>
      </c>
      <c r="J16" s="506"/>
      <c r="K16" s="507">
        <f>+I16-1</f>
        <v>2020</v>
      </c>
      <c r="L16" s="506"/>
      <c r="M16" s="507">
        <f>+K16-1</f>
        <v>2019</v>
      </c>
      <c r="N16" s="506"/>
      <c r="O16" s="507">
        <f>+M16-1</f>
        <v>2018</v>
      </c>
      <c r="T16" s="2333"/>
    </row>
    <row r="17" spans="1:20" s="504" customFormat="1" ht="7.5" customHeight="1" x14ac:dyDescent="0.3">
      <c r="A17" s="502" t="str">
        <f t="shared" si="0"/>
        <v>01</v>
      </c>
      <c r="C17" s="506"/>
      <c r="E17" s="506"/>
      <c r="F17" s="506"/>
      <c r="G17" s="506"/>
      <c r="H17" s="506"/>
      <c r="I17" s="506"/>
      <c r="J17" s="506"/>
      <c r="K17" s="506"/>
      <c r="L17" s="506"/>
      <c r="M17" s="506"/>
      <c r="N17" s="506"/>
      <c r="O17" s="506"/>
      <c r="T17" s="2333"/>
    </row>
    <row r="18" spans="1:20" s="504" customFormat="1" ht="15" customHeight="1" x14ac:dyDescent="0.3">
      <c r="A18" s="502" t="str">
        <f t="shared" si="0"/>
        <v>01</v>
      </c>
      <c r="C18" s="506" t="s">
        <v>119</v>
      </c>
      <c r="E18" s="505" t="s">
        <v>228</v>
      </c>
      <c r="F18" s="508"/>
      <c r="G18" s="508"/>
      <c r="H18" s="508"/>
      <c r="I18" s="508">
        <f>SUM(E18:H18)</f>
        <v>0</v>
      </c>
      <c r="J18" s="508"/>
      <c r="K18" s="508"/>
      <c r="L18" s="508"/>
      <c r="M18" s="508"/>
      <c r="N18" s="508"/>
      <c r="O18" s="508">
        <f>SUM(K18:N18)</f>
        <v>0</v>
      </c>
      <c r="P18" s="508"/>
      <c r="T18" s="2333"/>
    </row>
    <row r="19" spans="1:20" s="504" customFormat="1" ht="15" customHeight="1" x14ac:dyDescent="0.3">
      <c r="A19" s="502" t="str">
        <f t="shared" si="0"/>
        <v>01</v>
      </c>
      <c r="B19" s="504">
        <v>100</v>
      </c>
      <c r="C19" s="506"/>
      <c r="E19" s="509" t="s">
        <v>216</v>
      </c>
      <c r="F19" s="508"/>
      <c r="G19" s="515"/>
      <c r="H19" s="508"/>
      <c r="I19" s="515"/>
      <c r="J19" s="508"/>
      <c r="K19" s="515"/>
      <c r="L19" s="508"/>
      <c r="M19" s="515"/>
      <c r="N19" s="508"/>
      <c r="O19" s="515"/>
      <c r="P19" s="508"/>
      <c r="T19" s="2333" t="s">
        <v>216</v>
      </c>
    </row>
    <row r="20" spans="1:20" s="504" customFormat="1" ht="15" customHeight="1" x14ac:dyDescent="0.3">
      <c r="A20" s="502" t="str">
        <f t="shared" si="0"/>
        <v>01</v>
      </c>
      <c r="B20" s="504">
        <v>105</v>
      </c>
      <c r="C20" s="506"/>
      <c r="E20" s="509" t="s">
        <v>833</v>
      </c>
      <c r="F20" s="508"/>
      <c r="G20" s="515"/>
      <c r="H20" s="508"/>
      <c r="I20" s="515"/>
      <c r="J20" s="508"/>
      <c r="K20" s="515"/>
      <c r="L20" s="508"/>
      <c r="M20" s="515"/>
      <c r="N20" s="508"/>
      <c r="O20" s="515"/>
      <c r="P20" s="508"/>
      <c r="T20" s="2333" t="s">
        <v>833</v>
      </c>
    </row>
    <row r="21" spans="1:20" s="504" customFormat="1" ht="15" customHeight="1" x14ac:dyDescent="0.3">
      <c r="A21" s="502" t="str">
        <f t="shared" si="0"/>
        <v>01</v>
      </c>
      <c r="B21" s="504">
        <v>110</v>
      </c>
      <c r="C21" s="506"/>
      <c r="E21" s="509" t="s">
        <v>834</v>
      </c>
      <c r="F21" s="508"/>
      <c r="G21" s="515"/>
      <c r="H21" s="508"/>
      <c r="I21" s="515"/>
      <c r="J21" s="508"/>
      <c r="K21" s="515"/>
      <c r="L21" s="508"/>
      <c r="M21" s="515"/>
      <c r="N21" s="508"/>
      <c r="O21" s="515"/>
      <c r="P21" s="508"/>
      <c r="T21" s="2333" t="s">
        <v>834</v>
      </c>
    </row>
    <row r="22" spans="1:20" s="504" customFormat="1" ht="15" customHeight="1" x14ac:dyDescent="0.3">
      <c r="A22" s="502" t="str">
        <f t="shared" si="0"/>
        <v>01</v>
      </c>
      <c r="B22" s="504">
        <v>115</v>
      </c>
      <c r="C22" s="506"/>
      <c r="E22" s="511" t="s">
        <v>835</v>
      </c>
      <c r="F22" s="508"/>
      <c r="G22" s="515"/>
      <c r="H22" s="508"/>
      <c r="I22" s="515"/>
      <c r="J22" s="508"/>
      <c r="K22" s="515"/>
      <c r="L22" s="508"/>
      <c r="M22" s="515"/>
      <c r="N22" s="508"/>
      <c r="O22" s="515"/>
      <c r="P22" s="508"/>
      <c r="T22" s="2333" t="s">
        <v>835</v>
      </c>
    </row>
    <row r="23" spans="1:20" s="504" customFormat="1" ht="15" customHeight="1" x14ac:dyDescent="0.3">
      <c r="A23" s="502" t="str">
        <f t="shared" si="0"/>
        <v>01</v>
      </c>
      <c r="B23" s="504">
        <v>120</v>
      </c>
      <c r="C23" s="506"/>
      <c r="E23" s="511" t="s">
        <v>8</v>
      </c>
      <c r="F23" s="508"/>
      <c r="G23" s="2148"/>
      <c r="H23" s="508"/>
      <c r="I23" s="2148"/>
      <c r="J23" s="508"/>
      <c r="K23" s="2148"/>
      <c r="L23" s="508"/>
      <c r="M23" s="515"/>
      <c r="N23" s="508"/>
      <c r="O23" s="515"/>
      <c r="P23" s="508"/>
      <c r="T23" s="2333" t="s">
        <v>8</v>
      </c>
    </row>
    <row r="24" spans="1:20" s="504" customFormat="1" ht="15" customHeight="1" x14ac:dyDescent="0.3">
      <c r="A24" s="502" t="str">
        <f t="shared" si="0"/>
        <v>01</v>
      </c>
      <c r="B24" s="504">
        <v>125</v>
      </c>
      <c r="C24" s="506"/>
      <c r="E24" s="1351" t="s">
        <v>3728</v>
      </c>
      <c r="F24" s="508"/>
      <c r="G24" s="515"/>
      <c r="H24" s="508"/>
      <c r="I24" s="515"/>
      <c r="J24" s="508"/>
      <c r="K24" s="515"/>
      <c r="L24" s="508"/>
      <c r="M24" s="515"/>
      <c r="N24" s="508"/>
      <c r="O24" s="515"/>
      <c r="P24" s="508"/>
      <c r="T24" s="2333" t="s">
        <v>3728</v>
      </c>
    </row>
    <row r="25" spans="1:20" s="504" customFormat="1" ht="15" customHeight="1" x14ac:dyDescent="0.3">
      <c r="A25" s="502" t="str">
        <f t="shared" si="0"/>
        <v>01</v>
      </c>
      <c r="B25" s="504">
        <v>130</v>
      </c>
      <c r="C25" s="506"/>
      <c r="E25" s="1351" t="s">
        <v>1045</v>
      </c>
      <c r="F25" s="508"/>
      <c r="G25" s="515"/>
      <c r="H25" s="508"/>
      <c r="I25" s="515"/>
      <c r="J25" s="508"/>
      <c r="K25" s="515"/>
      <c r="L25" s="508"/>
      <c r="M25" s="515"/>
      <c r="N25" s="508"/>
      <c r="O25" s="515"/>
      <c r="P25" s="508"/>
      <c r="T25" s="2333" t="s">
        <v>1045</v>
      </c>
    </row>
    <row r="26" spans="1:20" s="504" customFormat="1" ht="15" customHeight="1" x14ac:dyDescent="0.3">
      <c r="A26" s="502" t="str">
        <f t="shared" si="0"/>
        <v>01</v>
      </c>
      <c r="B26" s="504">
        <v>135</v>
      </c>
      <c r="C26" s="506"/>
      <c r="E26" s="511" t="s">
        <v>1046</v>
      </c>
      <c r="F26" s="508"/>
      <c r="G26" s="515"/>
      <c r="H26" s="508"/>
      <c r="I26" s="515"/>
      <c r="J26" s="508"/>
      <c r="K26" s="515"/>
      <c r="L26" s="508"/>
      <c r="M26" s="515"/>
      <c r="N26" s="508"/>
      <c r="O26" s="515"/>
      <c r="P26" s="508"/>
      <c r="T26" s="2333" t="s">
        <v>1046</v>
      </c>
    </row>
    <row r="27" spans="1:20" s="504" customFormat="1" ht="15" customHeight="1" x14ac:dyDescent="0.3">
      <c r="A27" s="502" t="str">
        <f t="shared" si="0"/>
        <v>01</v>
      </c>
      <c r="B27" s="504">
        <v>140</v>
      </c>
      <c r="C27" s="506"/>
      <c r="E27" s="511" t="s">
        <v>290</v>
      </c>
      <c r="F27" s="508"/>
      <c r="G27" s="515"/>
      <c r="H27" s="508"/>
      <c r="I27" s="515"/>
      <c r="J27" s="508"/>
      <c r="K27" s="515"/>
      <c r="L27" s="508"/>
      <c r="M27" s="515"/>
      <c r="N27" s="508"/>
      <c r="O27" s="515"/>
      <c r="P27" s="508"/>
      <c r="T27" s="2333" t="s">
        <v>290</v>
      </c>
    </row>
    <row r="28" spans="1:20" s="504" customFormat="1" ht="15" customHeight="1" x14ac:dyDescent="0.3">
      <c r="A28" s="502" t="str">
        <f t="shared" si="0"/>
        <v>01</v>
      </c>
      <c r="B28" s="504">
        <v>145</v>
      </c>
      <c r="C28" s="506"/>
      <c r="E28" s="1351" t="s">
        <v>3692</v>
      </c>
      <c r="F28" s="508"/>
      <c r="G28" s="515"/>
      <c r="H28" s="508"/>
      <c r="I28" s="515"/>
      <c r="J28" s="508"/>
      <c r="K28" s="515"/>
      <c r="L28" s="508"/>
      <c r="M28" s="515"/>
      <c r="N28" s="508"/>
      <c r="O28" s="515"/>
      <c r="P28" s="508"/>
      <c r="T28" s="2333" t="s">
        <v>3692</v>
      </c>
    </row>
    <row r="29" spans="1:20" s="504" customFormat="1" ht="15" customHeight="1" x14ac:dyDescent="0.3">
      <c r="A29" s="502" t="str">
        <f t="shared" si="0"/>
        <v>01</v>
      </c>
      <c r="B29" s="504">
        <v>150</v>
      </c>
      <c r="C29" s="506"/>
      <c r="E29" s="511" t="s">
        <v>1431</v>
      </c>
      <c r="F29" s="508"/>
      <c r="G29" s="515"/>
      <c r="H29" s="508"/>
      <c r="I29" s="515"/>
      <c r="J29" s="508"/>
      <c r="K29" s="515"/>
      <c r="L29" s="508"/>
      <c r="M29" s="515"/>
      <c r="N29" s="508"/>
      <c r="O29" s="515"/>
      <c r="P29" s="508"/>
      <c r="T29" s="2333" t="s">
        <v>1431</v>
      </c>
    </row>
    <row r="30" spans="1:20" s="504" customFormat="1" ht="15" customHeight="1" x14ac:dyDescent="0.3">
      <c r="A30" s="502" t="str">
        <f t="shared" si="0"/>
        <v>01</v>
      </c>
      <c r="B30" s="504">
        <v>160</v>
      </c>
      <c r="C30" s="506"/>
      <c r="E30" s="511" t="s">
        <v>1801</v>
      </c>
      <c r="F30" s="508"/>
      <c r="G30" s="515"/>
      <c r="H30" s="508"/>
      <c r="I30" s="515"/>
      <c r="J30" s="508"/>
      <c r="K30" s="515"/>
      <c r="L30" s="508"/>
      <c r="M30" s="515"/>
      <c r="N30" s="508"/>
      <c r="O30" s="515"/>
      <c r="P30" s="508"/>
      <c r="T30" s="2333" t="s">
        <v>1801</v>
      </c>
    </row>
    <row r="31" spans="1:20" s="504" customFormat="1" ht="15" customHeight="1" x14ac:dyDescent="0.3">
      <c r="A31" s="502" t="str">
        <f t="shared" si="0"/>
        <v>01</v>
      </c>
      <c r="B31" s="504">
        <v>165</v>
      </c>
      <c r="C31" s="506"/>
      <c r="E31" s="511" t="s">
        <v>391</v>
      </c>
      <c r="F31" s="508"/>
      <c r="G31" s="515"/>
      <c r="H31" s="508"/>
      <c r="I31" s="515"/>
      <c r="J31" s="508"/>
      <c r="K31" s="515"/>
      <c r="L31" s="508"/>
      <c r="M31" s="515"/>
      <c r="N31" s="508"/>
      <c r="O31" s="515"/>
      <c r="P31" s="508"/>
      <c r="T31" s="2333" t="s">
        <v>391</v>
      </c>
    </row>
    <row r="32" spans="1:20" s="504" customFormat="1" ht="15" customHeight="1" x14ac:dyDescent="0.3">
      <c r="A32" s="502" t="str">
        <f t="shared" si="0"/>
        <v>01</v>
      </c>
      <c r="B32" s="504">
        <v>170</v>
      </c>
      <c r="C32" s="506"/>
      <c r="E32" s="511" t="s">
        <v>1802</v>
      </c>
      <c r="F32" s="508"/>
      <c r="G32" s="515"/>
      <c r="H32" s="508"/>
      <c r="I32" s="515"/>
      <c r="J32" s="508"/>
      <c r="K32" s="515"/>
      <c r="L32" s="508"/>
      <c r="M32" s="515"/>
      <c r="N32" s="508"/>
      <c r="O32" s="515"/>
      <c r="P32" s="508"/>
      <c r="T32" s="2333" t="s">
        <v>1802</v>
      </c>
    </row>
    <row r="33" spans="1:20" s="504" customFormat="1" ht="15" customHeight="1" x14ac:dyDescent="0.3">
      <c r="A33" s="502" t="str">
        <f t="shared" si="0"/>
        <v>01</v>
      </c>
      <c r="B33" s="504">
        <v>171</v>
      </c>
      <c r="C33" s="506"/>
      <c r="E33" s="504" t="s">
        <v>1818</v>
      </c>
      <c r="F33" s="508"/>
      <c r="G33" s="515"/>
      <c r="H33" s="508"/>
      <c r="I33" s="515"/>
      <c r="J33" s="508"/>
      <c r="K33" s="515"/>
      <c r="L33" s="508"/>
      <c r="M33" s="515"/>
      <c r="N33" s="508"/>
      <c r="O33" s="515"/>
      <c r="P33" s="508"/>
      <c r="T33" s="2333" t="s">
        <v>1818</v>
      </c>
    </row>
    <row r="34" spans="1:20" s="504" customFormat="1" ht="15" customHeight="1" x14ac:dyDescent="0.3">
      <c r="A34" s="502" t="str">
        <f t="shared" si="0"/>
        <v>01</v>
      </c>
      <c r="B34" s="504">
        <v>172</v>
      </c>
      <c r="C34" s="506"/>
      <c r="E34" s="1351" t="s">
        <v>3712</v>
      </c>
      <c r="F34" s="508"/>
      <c r="G34" s="515"/>
      <c r="H34" s="508"/>
      <c r="I34" s="515"/>
      <c r="J34" s="508"/>
      <c r="K34" s="515"/>
      <c r="L34" s="508"/>
      <c r="M34" s="515"/>
      <c r="N34" s="508"/>
      <c r="O34" s="515"/>
      <c r="P34" s="508"/>
      <c r="T34" s="2333" t="s">
        <v>3712</v>
      </c>
    </row>
    <row r="35" spans="1:20" s="504" customFormat="1" ht="15" customHeight="1" x14ac:dyDescent="0.3">
      <c r="A35" s="502" t="str">
        <f t="shared" si="0"/>
        <v>01</v>
      </c>
      <c r="B35" s="504">
        <v>173</v>
      </c>
      <c r="C35" s="506"/>
      <c r="E35" s="516"/>
      <c r="F35" s="508"/>
      <c r="G35" s="515"/>
      <c r="H35" s="508"/>
      <c r="I35" s="515"/>
      <c r="J35" s="508"/>
      <c r="K35" s="515"/>
      <c r="L35" s="508"/>
      <c r="M35" s="515"/>
      <c r="N35" s="508"/>
      <c r="O35" s="515"/>
      <c r="P35" s="508"/>
      <c r="T35" s="2333"/>
    </row>
    <row r="36" spans="1:20" s="504" customFormat="1" ht="15" customHeight="1" x14ac:dyDescent="0.3">
      <c r="A36" s="502" t="str">
        <f t="shared" si="0"/>
        <v>01</v>
      </c>
      <c r="B36" s="504">
        <v>175</v>
      </c>
      <c r="C36" s="506" t="s">
        <v>996</v>
      </c>
      <c r="E36" s="505" t="s">
        <v>956</v>
      </c>
      <c r="F36" s="508"/>
      <c r="G36" s="515"/>
      <c r="H36" s="508"/>
      <c r="I36" s="515"/>
      <c r="J36" s="508"/>
      <c r="K36" s="515"/>
      <c r="L36" s="508"/>
      <c r="M36" s="515"/>
      <c r="N36" s="508"/>
      <c r="O36" s="515"/>
      <c r="P36" s="508"/>
      <c r="T36" s="2333" t="s">
        <v>956</v>
      </c>
    </row>
    <row r="37" spans="1:20" s="504" customFormat="1" ht="15" customHeight="1" x14ac:dyDescent="0.3">
      <c r="A37" s="502" t="str">
        <f t="shared" ref="A37:A68" si="1">_AGY325</f>
        <v>01</v>
      </c>
      <c r="B37" s="504">
        <v>180</v>
      </c>
      <c r="C37" s="506" t="s">
        <v>997</v>
      </c>
      <c r="E37" s="505" t="s">
        <v>957</v>
      </c>
      <c r="F37" s="508"/>
      <c r="G37" s="510">
        <f>SUM(G19:G36)</f>
        <v>0</v>
      </c>
      <c r="H37" s="508"/>
      <c r="I37" s="510">
        <f>SUM(I19:I36)</f>
        <v>0</v>
      </c>
      <c r="J37" s="508"/>
      <c r="K37" s="510">
        <f>SUM(K19:K36)</f>
        <v>0</v>
      </c>
      <c r="L37" s="508"/>
      <c r="M37" s="510">
        <f>SUM(M19:M36)</f>
        <v>0</v>
      </c>
      <c r="N37" s="508"/>
      <c r="O37" s="510">
        <f>SUM(O19:O36)</f>
        <v>0</v>
      </c>
      <c r="P37" s="508"/>
      <c r="T37" s="2333"/>
    </row>
    <row r="38" spans="1:20" s="504" customFormat="1" ht="15" customHeight="1" x14ac:dyDescent="0.3">
      <c r="A38" s="502" t="str">
        <f t="shared" si="1"/>
        <v>01</v>
      </c>
      <c r="B38" s="504">
        <v>185</v>
      </c>
      <c r="C38" s="506" t="s">
        <v>998</v>
      </c>
      <c r="E38" s="505" t="s">
        <v>261</v>
      </c>
      <c r="F38" s="508"/>
      <c r="G38" s="515"/>
      <c r="H38" s="508"/>
      <c r="I38" s="515"/>
      <c r="J38" s="508"/>
      <c r="K38" s="515"/>
      <c r="L38" s="508"/>
      <c r="M38" s="515"/>
      <c r="N38" s="508"/>
      <c r="O38" s="515"/>
      <c r="P38" s="508"/>
      <c r="T38" s="2333" t="s">
        <v>5064</v>
      </c>
    </row>
    <row r="39" spans="1:20" s="504" customFormat="1" ht="15" customHeight="1" x14ac:dyDescent="0.3">
      <c r="A39" s="502" t="str">
        <f t="shared" si="1"/>
        <v>01</v>
      </c>
      <c r="B39" s="504">
        <v>190</v>
      </c>
      <c r="C39" s="506" t="s">
        <v>999</v>
      </c>
      <c r="E39" s="505" t="s">
        <v>262</v>
      </c>
      <c r="F39" s="508"/>
      <c r="G39" s="515"/>
      <c r="H39" s="508"/>
      <c r="I39" s="515"/>
      <c r="J39" s="508"/>
      <c r="K39" s="515"/>
      <c r="L39" s="508"/>
      <c r="M39" s="515"/>
      <c r="N39" s="508"/>
      <c r="O39" s="515"/>
      <c r="P39" s="508"/>
      <c r="T39" s="2333" t="s">
        <v>5065</v>
      </c>
    </row>
    <row r="40" spans="1:20" s="504" customFormat="1" ht="15" customHeight="1" x14ac:dyDescent="0.3">
      <c r="A40" s="502" t="str">
        <f t="shared" si="1"/>
        <v>01</v>
      </c>
      <c r="B40" s="504">
        <v>195</v>
      </c>
      <c r="C40" s="506" t="s">
        <v>321</v>
      </c>
      <c r="E40" s="505" t="s">
        <v>659</v>
      </c>
      <c r="F40" s="508"/>
      <c r="G40" s="510">
        <f>SUM(G38:G39)</f>
        <v>0</v>
      </c>
      <c r="H40" s="508"/>
      <c r="I40" s="510">
        <f>SUM(I38:I39)</f>
        <v>0</v>
      </c>
      <c r="J40" s="508"/>
      <c r="K40" s="510">
        <f>SUM(K38:K39)</f>
        <v>0</v>
      </c>
      <c r="L40" s="508"/>
      <c r="M40" s="510">
        <f>SUM(M38:M39)</f>
        <v>0</v>
      </c>
      <c r="N40" s="508"/>
      <c r="O40" s="510">
        <f>SUM(O38:O39)</f>
        <v>0</v>
      </c>
      <c r="P40" s="508"/>
      <c r="T40" s="2333"/>
    </row>
    <row r="41" spans="1:20" s="504" customFormat="1" ht="15" customHeight="1" x14ac:dyDescent="0.3">
      <c r="A41" s="502" t="str">
        <f t="shared" si="1"/>
        <v>01</v>
      </c>
      <c r="B41" s="504">
        <v>200</v>
      </c>
      <c r="C41" s="506" t="s">
        <v>322</v>
      </c>
      <c r="E41" s="505" t="s">
        <v>263</v>
      </c>
      <c r="F41" s="508"/>
      <c r="G41" s="510">
        <f>IF(AND(G37=0,G40=0),0,+G37/G40)</f>
        <v>0</v>
      </c>
      <c r="H41" s="508"/>
      <c r="I41" s="510">
        <f>IF(AND(I37=0,I40=0),0,+I37/I40)</f>
        <v>0</v>
      </c>
      <c r="J41" s="508"/>
      <c r="K41" s="510">
        <f>IF(AND(K37=0,K40=0),0,+K37/K40)</f>
        <v>0</v>
      </c>
      <c r="L41" s="508"/>
      <c r="M41" s="510">
        <f>IF(AND(M37=0,M40=0),0,+M37/M40)</f>
        <v>0</v>
      </c>
      <c r="N41" s="508"/>
      <c r="O41" s="510">
        <f>IF(AND(O37=0,O40=0),0,+O37/O40)</f>
        <v>0</v>
      </c>
      <c r="P41" s="508"/>
      <c r="T41" s="2333" t="s">
        <v>263</v>
      </c>
    </row>
    <row r="42" spans="1:20" s="504" customFormat="1" ht="6" customHeight="1" x14ac:dyDescent="0.3">
      <c r="A42" s="502" t="str">
        <f t="shared" si="1"/>
        <v>01</v>
      </c>
      <c r="C42" s="512"/>
      <c r="E42" s="508"/>
      <c r="F42" s="508"/>
      <c r="G42" s="508"/>
      <c r="H42" s="508"/>
      <c r="I42" s="508"/>
      <c r="J42" s="508"/>
      <c r="K42" s="508"/>
      <c r="L42" s="508"/>
      <c r="M42" s="508"/>
      <c r="N42" s="508"/>
      <c r="O42" s="508">
        <f>SUM(K42:N42)</f>
        <v>0</v>
      </c>
      <c r="P42" s="508"/>
      <c r="T42" s="2333"/>
    </row>
    <row r="43" spans="1:20" s="504" customFormat="1" ht="9" customHeight="1" x14ac:dyDescent="0.3">
      <c r="A43" s="502" t="str">
        <f t="shared" si="1"/>
        <v>01</v>
      </c>
      <c r="C43" s="513"/>
      <c r="E43" s="508"/>
      <c r="F43" s="508"/>
      <c r="G43" s="508"/>
      <c r="H43" s="508"/>
      <c r="I43" s="508"/>
      <c r="J43" s="508"/>
      <c r="K43" s="508"/>
      <c r="L43" s="508"/>
      <c r="M43" s="508"/>
      <c r="N43" s="508"/>
      <c r="O43" s="508"/>
      <c r="P43" s="508"/>
      <c r="T43" s="2333"/>
    </row>
    <row r="44" spans="1:20" s="504" customFormat="1" ht="15" customHeight="1" x14ac:dyDescent="0.3">
      <c r="A44" s="502" t="str">
        <f t="shared" si="1"/>
        <v>01</v>
      </c>
      <c r="C44" s="1502" t="s">
        <v>3900</v>
      </c>
      <c r="D44" s="1498"/>
      <c r="E44" s="1503"/>
      <c r="F44" s="1503"/>
      <c r="G44" s="1503"/>
      <c r="H44" s="1503"/>
      <c r="I44" s="1503"/>
      <c r="J44" s="1503"/>
      <c r="K44" s="1503"/>
      <c r="L44" s="1503"/>
      <c r="M44" s="1503"/>
      <c r="N44" s="1503"/>
      <c r="O44" s="1503"/>
      <c r="P44" s="508"/>
      <c r="T44" s="2333"/>
    </row>
    <row r="45" spans="1:20" s="504" customFormat="1" ht="13.5" customHeight="1" x14ac:dyDescent="0.3">
      <c r="A45" s="502" t="str">
        <f t="shared" si="1"/>
        <v>01</v>
      </c>
      <c r="C45" s="1502" t="s">
        <v>839</v>
      </c>
      <c r="D45" s="1499" t="str">
        <f>CONCATENATE("If you have previously submitted this information for fiscal years ",+YEAR(Data!$A$4)," and earlier, and that")</f>
        <v>If you have previously submitted this information for fiscal years 2021 and earlier, and that</v>
      </c>
      <c r="E45" s="1499"/>
      <c r="F45" s="1499"/>
      <c r="G45" s="1499"/>
      <c r="H45" s="1499"/>
      <c r="I45" s="1499"/>
      <c r="J45" s="1499"/>
      <c r="K45" s="1499"/>
      <c r="L45" s="1499"/>
      <c r="M45" s="1499"/>
      <c r="N45" s="1499"/>
      <c r="O45" s="1499"/>
      <c r="P45" s="508"/>
      <c r="T45" s="2333"/>
    </row>
    <row r="46" spans="1:20" s="504" customFormat="1" ht="15" customHeight="1" x14ac:dyDescent="0.3">
      <c r="A46" s="502" t="str">
        <f t="shared" si="1"/>
        <v>01</v>
      </c>
      <c r="C46" s="1504"/>
      <c r="D46" s="2890" t="str">
        <f>CONCATENATE("data remains unchanged, you may complete just the ",YEAR(Data!$A$2)," line and ignore lines ",O16," - ",I16,".")</f>
        <v>data remains unchanged, you may complete just the 2022 line and ignore lines 2018 - 2021.</v>
      </c>
      <c r="E46" s="2890"/>
      <c r="F46" s="2890"/>
      <c r="G46" s="2890"/>
      <c r="H46" s="2890"/>
      <c r="I46" s="2890"/>
      <c r="J46" s="2890"/>
      <c r="K46" s="2890"/>
      <c r="L46" s="2890"/>
      <c r="M46" s="2890"/>
      <c r="N46" s="2890"/>
      <c r="O46" s="2890"/>
      <c r="T46" s="2333"/>
    </row>
    <row r="47" spans="1:20" s="504" customFormat="1" ht="15" customHeight="1" x14ac:dyDescent="0.3">
      <c r="A47" s="502" t="str">
        <f t="shared" si="1"/>
        <v>01</v>
      </c>
      <c r="C47" s="1505" t="s">
        <v>3899</v>
      </c>
      <c r="D47" s="1506"/>
      <c r="E47" s="1506"/>
      <c r="F47" s="1506"/>
      <c r="G47" s="1506"/>
      <c r="H47" s="1506"/>
      <c r="I47" s="1506"/>
      <c r="J47" s="1506"/>
      <c r="K47" s="1506"/>
      <c r="L47" s="1506"/>
      <c r="M47" s="1506"/>
      <c r="N47" s="1498"/>
      <c r="O47" s="1498"/>
      <c r="T47" s="2333"/>
    </row>
    <row r="48" spans="1:20" s="504" customFormat="1" ht="18.75" x14ac:dyDescent="0.3">
      <c r="A48" s="502" t="str">
        <f t="shared" si="1"/>
        <v>01</v>
      </c>
      <c r="C48" s="1507" t="s">
        <v>3904</v>
      </c>
      <c r="D48" s="1507"/>
      <c r="E48" s="1507"/>
      <c r="F48" s="1508"/>
      <c r="G48" s="1508"/>
      <c r="H48" s="1508"/>
      <c r="I48" s="1508"/>
      <c r="J48" s="1508"/>
      <c r="K48" s="1508"/>
      <c r="L48" s="1508"/>
      <c r="M48" s="1508"/>
      <c r="N48" s="1508"/>
      <c r="O48" s="1508"/>
      <c r="T48" s="2333"/>
    </row>
    <row r="49" spans="1:20" s="504" customFormat="1" ht="15" customHeight="1" x14ac:dyDescent="0.3">
      <c r="A49" s="502" t="str">
        <f t="shared" si="1"/>
        <v>01</v>
      </c>
      <c r="C49" s="817" t="s">
        <v>840</v>
      </c>
      <c r="D49" s="1509"/>
      <c r="E49" s="1509"/>
      <c r="F49" s="1509"/>
      <c r="T49" s="2333"/>
    </row>
    <row r="50" spans="1:20" s="504" customFormat="1" ht="15" customHeight="1" x14ac:dyDescent="0.3">
      <c r="A50" s="502" t="str">
        <f t="shared" si="1"/>
        <v>01</v>
      </c>
      <c r="C50" s="504" t="s">
        <v>720</v>
      </c>
      <c r="D50" s="512" t="s">
        <v>841</v>
      </c>
      <c r="E50" s="504" t="str">
        <f>CONCATENATE("Provide information for the fiscal years ",O16," through ",G16)</f>
        <v>Provide information for the fiscal years 2018 through 2022</v>
      </c>
      <c r="T50" s="2333"/>
    </row>
    <row r="51" spans="1:20" s="504" customFormat="1" ht="15" customHeight="1" x14ac:dyDescent="0.3">
      <c r="A51" s="502" t="str">
        <f t="shared" si="1"/>
        <v>01</v>
      </c>
      <c r="C51" s="504" t="s">
        <v>721</v>
      </c>
      <c r="D51" s="512" t="s">
        <v>841</v>
      </c>
      <c r="E51" s="504" t="s">
        <v>585</v>
      </c>
      <c r="T51" s="2333"/>
    </row>
    <row r="52" spans="1:20" s="504" customFormat="1" ht="15" customHeight="1" x14ac:dyDescent="0.3">
      <c r="A52" s="502" t="str">
        <f t="shared" si="1"/>
        <v>01</v>
      </c>
      <c r="C52" s="504" t="s">
        <v>1135</v>
      </c>
      <c r="D52" s="512" t="s">
        <v>841</v>
      </c>
      <c r="E52" s="504" t="s">
        <v>842</v>
      </c>
      <c r="T52" s="2333"/>
    </row>
    <row r="53" spans="1:20" s="504" customFormat="1" ht="15" customHeight="1" x14ac:dyDescent="0.3">
      <c r="A53" s="502" t="str">
        <f t="shared" si="1"/>
        <v>01</v>
      </c>
      <c r="D53" s="512"/>
      <c r="E53" s="504" t="s">
        <v>904</v>
      </c>
      <c r="T53" s="2333"/>
    </row>
    <row r="54" spans="1:20" s="504" customFormat="1" ht="15" customHeight="1" x14ac:dyDescent="0.3">
      <c r="A54" s="502" t="str">
        <f t="shared" si="1"/>
        <v>01</v>
      </c>
      <c r="C54" s="504" t="s">
        <v>1136</v>
      </c>
      <c r="D54" s="512" t="s">
        <v>841</v>
      </c>
      <c r="E54" s="504" t="s">
        <v>1225</v>
      </c>
      <c r="T54" s="2333"/>
    </row>
    <row r="55" spans="1:20" s="504" customFormat="1" ht="15" customHeight="1" x14ac:dyDescent="0.3">
      <c r="A55" s="502" t="str">
        <f t="shared" si="1"/>
        <v>01</v>
      </c>
      <c r="C55" s="504" t="s">
        <v>1137</v>
      </c>
      <c r="D55" s="512" t="s">
        <v>841</v>
      </c>
      <c r="E55" s="504" t="s">
        <v>647</v>
      </c>
      <c r="T55" s="2333"/>
    </row>
    <row r="56" spans="1:20" s="504" customFormat="1" ht="15" customHeight="1" x14ac:dyDescent="0.3">
      <c r="A56" s="502" t="str">
        <f t="shared" si="1"/>
        <v>01</v>
      </c>
      <c r="D56" s="512"/>
      <c r="F56" s="505" t="s">
        <v>644</v>
      </c>
      <c r="T56" s="2333"/>
    </row>
    <row r="57" spans="1:20" s="504" customFormat="1" ht="15" customHeight="1" x14ac:dyDescent="0.3">
      <c r="A57" s="502" t="str">
        <f t="shared" si="1"/>
        <v>01</v>
      </c>
      <c r="C57" s="504" t="s">
        <v>1138</v>
      </c>
      <c r="D57" s="512" t="s">
        <v>841</v>
      </c>
      <c r="E57" s="504" t="s">
        <v>651</v>
      </c>
      <c r="T57" s="2333"/>
    </row>
    <row r="58" spans="1:20" s="504" customFormat="1" ht="15" customHeight="1" x14ac:dyDescent="0.3">
      <c r="A58" s="502" t="str">
        <f t="shared" si="1"/>
        <v>01</v>
      </c>
      <c r="D58" s="512"/>
      <c r="F58" s="505" t="s">
        <v>644</v>
      </c>
      <c r="T58" s="2333"/>
    </row>
    <row r="59" spans="1:20" s="504" customFormat="1" ht="15" customHeight="1" x14ac:dyDescent="0.3">
      <c r="A59" s="502" t="str">
        <f t="shared" si="1"/>
        <v>01</v>
      </c>
      <c r="C59" s="504" t="s">
        <v>1139</v>
      </c>
      <c r="D59" s="512" t="s">
        <v>841</v>
      </c>
      <c r="E59" s="504" t="s">
        <v>716</v>
      </c>
      <c r="T59" s="2333"/>
    </row>
    <row r="60" spans="1:20" s="504" customFormat="1" ht="15" customHeight="1" x14ac:dyDescent="0.3">
      <c r="A60" s="502" t="str">
        <f t="shared" si="1"/>
        <v>01</v>
      </c>
      <c r="C60" s="504" t="s">
        <v>1140</v>
      </c>
      <c r="D60" s="512" t="s">
        <v>841</v>
      </c>
      <c r="E60" s="504" t="s">
        <v>717</v>
      </c>
      <c r="T60" s="2333"/>
    </row>
    <row r="61" spans="1:20" s="504" customFormat="1" ht="15" customHeight="1" x14ac:dyDescent="0.3">
      <c r="A61" s="502" t="str">
        <f t="shared" si="1"/>
        <v>01</v>
      </c>
      <c r="D61" s="512"/>
      <c r="T61" s="2333"/>
    </row>
    <row r="62" spans="1:20" ht="18.75" x14ac:dyDescent="0.3">
      <c r="A62" s="502" t="str">
        <f t="shared" si="1"/>
        <v>01</v>
      </c>
      <c r="C62" s="836" t="s">
        <v>4898</v>
      </c>
    </row>
    <row r="63" spans="1:20" ht="15" customHeight="1" x14ac:dyDescent="0.3">
      <c r="A63" s="502" t="str">
        <f t="shared" si="1"/>
        <v>01</v>
      </c>
      <c r="B63" s="440"/>
      <c r="C63" s="835" t="s">
        <v>1275</v>
      </c>
      <c r="D63" s="440"/>
    </row>
    <row r="64" spans="1:20" ht="15" customHeight="1" x14ac:dyDescent="0.3">
      <c r="A64" s="502" t="str">
        <f t="shared" si="1"/>
        <v>01</v>
      </c>
      <c r="B64" s="440"/>
      <c r="C64" s="505" t="s">
        <v>3901</v>
      </c>
      <c r="D64" s="504"/>
      <c r="E64" s="504"/>
      <c r="F64" s="504"/>
      <c r="G64" s="504"/>
      <c r="H64" s="504"/>
      <c r="I64" s="504"/>
      <c r="J64" s="504"/>
      <c r="K64" s="504"/>
      <c r="L64" s="504"/>
      <c r="M64" s="504"/>
    </row>
    <row r="65" spans="1:20" s="504" customFormat="1" ht="15" customHeight="1" x14ac:dyDescent="0.3">
      <c r="A65" s="502" t="str">
        <f t="shared" si="1"/>
        <v>01</v>
      </c>
      <c r="C65" s="505" t="s">
        <v>3902</v>
      </c>
      <c r="D65" s="512"/>
      <c r="E65" s="505"/>
      <c r="F65" s="505"/>
      <c r="T65" s="2333"/>
    </row>
    <row r="66" spans="1:20" ht="15" customHeight="1" x14ac:dyDescent="0.3">
      <c r="A66" s="502" t="str">
        <f t="shared" si="1"/>
        <v>01</v>
      </c>
      <c r="B66" s="440"/>
      <c r="C66" s="443" t="str">
        <f ca="1">IF(ISNA(INDEX(ErrorTable,MATCH($B$72&amp;$B66&amp;FALSE,ErrorKey,0),6)),"",INDEX(ErrorTable,MATCH($B$72&amp;$B66&amp;FALSE,ErrorKey,0),6))</f>
        <v/>
      </c>
      <c r="D66" s="440"/>
    </row>
    <row r="67" spans="1:20" ht="18.75" x14ac:dyDescent="0.3">
      <c r="A67" s="502" t="str">
        <f t="shared" si="1"/>
        <v>01</v>
      </c>
      <c r="B67" s="440"/>
      <c r="C67" s="835" t="s">
        <v>1338</v>
      </c>
      <c r="D67" s="440"/>
    </row>
    <row r="68" spans="1:20" ht="18.75" x14ac:dyDescent="0.3">
      <c r="A68" s="502" t="str">
        <f t="shared" si="1"/>
        <v>01</v>
      </c>
      <c r="B68" s="440"/>
      <c r="C68" s="505" t="s">
        <v>3903</v>
      </c>
      <c r="D68" s="512"/>
      <c r="E68" s="504"/>
      <c r="F68" s="504"/>
      <c r="G68" s="504"/>
      <c r="H68" s="504"/>
      <c r="I68" s="504"/>
      <c r="J68" s="504"/>
      <c r="K68" s="504"/>
      <c r="L68" s="504"/>
      <c r="M68" s="504"/>
    </row>
    <row r="69" spans="1:20" ht="18.75" x14ac:dyDescent="0.3">
      <c r="A69" s="502" t="str">
        <f t="shared" ref="A69:A75" si="2">_AGY325</f>
        <v>01</v>
      </c>
      <c r="B69" s="440"/>
      <c r="C69" s="2" t="s">
        <v>4248</v>
      </c>
    </row>
    <row r="70" spans="1:20" ht="18.75" x14ac:dyDescent="0.3">
      <c r="A70" s="502" t="str">
        <f t="shared" si="2"/>
        <v>01</v>
      </c>
      <c r="B70" s="440"/>
      <c r="C70" s="2" t="s">
        <v>1342</v>
      </c>
    </row>
    <row r="71" spans="1:20" ht="18.75" x14ac:dyDescent="0.3">
      <c r="A71" s="502" t="str">
        <f t="shared" si="2"/>
        <v>01</v>
      </c>
    </row>
    <row r="72" spans="1:20" ht="15" customHeight="1" x14ac:dyDescent="0.3">
      <c r="A72" s="502" t="str">
        <f t="shared" si="2"/>
        <v>01</v>
      </c>
      <c r="B72" s="440" t="str">
        <f ca="1">MID(CELL("filename",B1),FIND("]",CELL("filename",B1))+1,256)</f>
        <v>325</v>
      </c>
      <c r="C72" s="443" t="s">
        <v>449</v>
      </c>
      <c r="D72" s="440"/>
    </row>
    <row r="73" spans="1:20" ht="15" customHeight="1" x14ac:dyDescent="0.3">
      <c r="A73" s="502" t="str">
        <f t="shared" si="2"/>
        <v>01</v>
      </c>
      <c r="B73" s="440" t="s">
        <v>446</v>
      </c>
      <c r="C73" s="443" t="str">
        <f t="shared" ref="C73:C81" ca="1" si="3">IF(ISNA(INDEX(ErrorTable,MATCH($B$72&amp;$B73&amp;FALSE,ErrorKey,0),6)),"",INDEX(ErrorTable,MATCH($B$72&amp;$B73&amp;FALSE,ErrorKey,0),6))</f>
        <v>GASB number is blank.</v>
      </c>
      <c r="D73" s="440"/>
    </row>
    <row r="74" spans="1:20" ht="18.75" x14ac:dyDescent="0.3">
      <c r="A74" s="502" t="str">
        <f t="shared" si="2"/>
        <v>01</v>
      </c>
      <c r="B74" s="514" t="s">
        <v>447</v>
      </c>
      <c r="C74" s="443" t="str">
        <f t="shared" ca="1" si="3"/>
        <v/>
      </c>
    </row>
    <row r="75" spans="1:20" ht="18.75" x14ac:dyDescent="0.3">
      <c r="A75" s="502" t="str">
        <f t="shared" si="2"/>
        <v>01</v>
      </c>
      <c r="B75" s="514" t="s">
        <v>448</v>
      </c>
      <c r="C75" s="443" t="str">
        <f t="shared" ca="1" si="3"/>
        <v/>
      </c>
    </row>
    <row r="76" spans="1:20" ht="15" x14ac:dyDescent="0.2">
      <c r="B76" s="514" t="s">
        <v>450</v>
      </c>
      <c r="C76" s="443" t="str">
        <f t="shared" ca="1" si="3"/>
        <v/>
      </c>
    </row>
    <row r="77" spans="1:20" ht="15" x14ac:dyDescent="0.2">
      <c r="B77" s="514" t="s">
        <v>451</v>
      </c>
      <c r="C77" s="443" t="str">
        <f t="shared" ca="1" si="3"/>
        <v/>
      </c>
    </row>
    <row r="78" spans="1:20" ht="15" x14ac:dyDescent="0.2">
      <c r="B78" s="514" t="s">
        <v>452</v>
      </c>
      <c r="C78" s="443" t="str">
        <f t="shared" ca="1" si="3"/>
        <v/>
      </c>
    </row>
    <row r="79" spans="1:20" ht="15" x14ac:dyDescent="0.2">
      <c r="B79" s="514" t="s">
        <v>453</v>
      </c>
      <c r="C79" s="443" t="str">
        <f t="shared" ca="1" si="3"/>
        <v/>
      </c>
    </row>
    <row r="80" spans="1:20" ht="15" x14ac:dyDescent="0.2">
      <c r="B80" s="514" t="s">
        <v>454</v>
      </c>
      <c r="C80" s="443" t="str">
        <f t="shared" ca="1" si="3"/>
        <v/>
      </c>
    </row>
    <row r="81" spans="2:3" ht="15" x14ac:dyDescent="0.2">
      <c r="B81" s="514" t="s">
        <v>455</v>
      </c>
      <c r="C81" s="443" t="str">
        <f t="shared" ca="1" si="3"/>
        <v/>
      </c>
    </row>
    <row r="82" spans="2:3" ht="15" x14ac:dyDescent="0.2">
      <c r="C82" s="443"/>
    </row>
    <row r="83" spans="2:3" ht="15" x14ac:dyDescent="0.2">
      <c r="C83" s="443"/>
    </row>
    <row r="84" spans="2:3" ht="15" x14ac:dyDescent="0.2">
      <c r="C84" s="443"/>
    </row>
  </sheetData>
  <sheetProtection algorithmName="SHA-512" hashValue="OW5s/Y9KKQSQV5quaBZN4qkYu7so7PkEzkLra5dNvItoaabHALczUjo8ULoEtgjzbmn2IQxSbrgIzv56JOy2sQ==" saltValue="UFBMSjWCrXlAukDHo80R0g==" spinCount="100000" sheet="1" objects="1" scenarios="1" autoFilter="0"/>
  <autoFilter ref="G11:G12" xr:uid="{00000000-0009-0000-0000-000011000000}"/>
  <customSheetViews>
    <customSheetView guid="{B08879A4-635B-4C39-9937-AC7883D562FC}" showGridLines="0" fitToPage="1" hiddenColumns="1" topLeftCell="B25">
      <selection activeCell="B12" sqref="B12"/>
      <pageMargins left="0.75" right="0.5" top="0.5" bottom="0.5" header="0.5" footer="0.5"/>
      <printOptions horizontalCentered="1"/>
      <pageSetup scale="91" orientation="landscape" r:id="rId1"/>
      <headerFooter alignWithMargins="0">
        <oddFooter>&amp;R&amp;A</oddFooter>
      </headerFooter>
    </customSheetView>
    <customSheetView guid="{1250FD07-FF56-4A9D-AF9E-C27124A7EBE9}" showGridLines="0" fitToPage="1" showRuler="0">
      <selection sqref="A1:O1"/>
      <pageMargins left="0.75" right="0.5" top="0.5" bottom="0.5" header="0.5" footer="0.5"/>
      <printOptions horizontalCentered="1"/>
      <pageSetup scale="91" orientation="landscape" r:id="rId2"/>
      <headerFooter alignWithMargins="0">
        <oddFooter>&amp;R&amp;A</oddFooter>
      </headerFooter>
    </customSheetView>
    <customSheetView guid="{BEA4BE86-04D1-4C96-9358-7A260B9D2B2D}" showGridLines="0" fitToPage="1" showRuler="0">
      <selection sqref="A1:O1"/>
      <pageMargins left="0.75" right="0.5" top="0.5" bottom="0.5" header="0.5" footer="0.5"/>
      <printOptions horizontalCentered="1"/>
      <pageSetup scale="91" orientation="landscape" r:id="rId3"/>
      <headerFooter alignWithMargins="0">
        <oddFooter>&amp;R&amp;A</oddFooter>
      </headerFooter>
    </customSheetView>
    <customSheetView guid="{9FCFC836-1CA5-48BF-958D-24D2EA94B219}" showGridLines="0" fitToPage="1" hiddenColumns="1" topLeftCell="B25">
      <selection activeCell="B12" sqref="B12"/>
      <pageMargins left="0.75" right="0.5" top="0.5" bottom="0.5" header="0.5" footer="0.5"/>
      <printOptions horizontalCentered="1"/>
      <pageSetup scale="91" orientation="landscape" r:id="rId4"/>
      <headerFooter alignWithMargins="0">
        <oddFooter>&amp;R&amp;A</oddFooter>
      </headerFooter>
    </customSheetView>
  </customSheetViews>
  <mergeCells count="9">
    <mergeCell ref="P1:P3"/>
    <mergeCell ref="D46:O46"/>
    <mergeCell ref="C1:O1"/>
    <mergeCell ref="C2:O2"/>
    <mergeCell ref="C3:O3"/>
    <mergeCell ref="K5:O5"/>
    <mergeCell ref="K6:O6"/>
    <mergeCell ref="K7:O7"/>
    <mergeCell ref="K8:O8"/>
  </mergeCells>
  <phoneticPr fontId="15" type="noConversion"/>
  <conditionalFormatting sqref="P1:P3">
    <cfRule type="cellIs" dxfId="133" priority="1" stopIfTrue="1" operator="equal">
      <formula>"na"</formula>
    </cfRule>
  </conditionalFormatting>
  <dataValidations count="3">
    <dataValidation type="decimal" operator="lessThanOrEqual" allowBlank="1" showInputMessage="1" showErrorMessage="1" errorTitle="Invalid data!" error="Amount must be negative." sqref="O36 G36 I36 K36 M36" xr:uid="{00000000-0002-0000-1100-000000000000}">
      <formula1>0</formula1>
    </dataValidation>
    <dataValidation type="textLength" operator="equal" allowBlank="1" showInputMessage="1" showErrorMessage="1" errorTitle="Invalid data!" error="GASB number must be 4 digits." sqref="F7:G8" xr:uid="{00000000-0002-0000-1100-000001000000}">
      <formula1>4</formula1>
    </dataValidation>
    <dataValidation type="list" allowBlank="1" showInputMessage="1" showErrorMessage="1" sqref="G12" xr:uid="{00000000-0002-0000-1100-000002000000}">
      <formula1>Pledged_Revenue</formula1>
    </dataValidation>
  </dataValidations>
  <hyperlinks>
    <hyperlink ref="C1:O1" location="Index!A1" display="Index!A1" xr:uid="{00000000-0004-0000-1100-000000000000}"/>
  </hyperlinks>
  <printOptions horizontalCentered="1"/>
  <pageMargins left="0.5" right="0.5" top="0.5" bottom="0.5" header="0.5" footer="0.5"/>
  <pageSetup scale="90"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workbookViewId="0">
      <selection activeCell="R52" sqref="R52"/>
    </sheetView>
  </sheetViews>
  <sheetFormatPr defaultColWidth="9.42578125" defaultRowHeight="11.25" x14ac:dyDescent="0.2"/>
  <cols>
    <col min="1" max="1" width="9.42578125" style="40" hidden="1" customWidth="1"/>
    <col min="2" max="2" width="6.5703125" style="40" customWidth="1"/>
    <col min="3" max="3" width="8.5703125" style="40" customWidth="1"/>
    <col min="4" max="4" width="6.5703125" style="40" customWidth="1"/>
    <col min="5" max="5" width="9.5703125" style="40" customWidth="1"/>
    <col min="6" max="6" width="4.5703125" style="40" customWidth="1"/>
    <col min="7" max="8" width="1.5703125" style="40" customWidth="1"/>
    <col min="9" max="9" width="15.5703125" style="40" customWidth="1"/>
    <col min="10" max="10" width="1.5703125" style="40" customWidth="1"/>
    <col min="11" max="11" width="17.5703125" style="40" customWidth="1"/>
    <col min="12" max="12" width="1.5703125" style="40" customWidth="1"/>
    <col min="13" max="13" width="14.5703125" style="40" customWidth="1"/>
    <col min="14" max="14" width="1.5703125" style="40" customWidth="1"/>
    <col min="15" max="15" width="17.5703125" style="40" customWidth="1"/>
    <col min="16" max="16" width="1.5703125" style="40" customWidth="1"/>
    <col min="17" max="16384" width="9.42578125" style="40"/>
  </cols>
  <sheetData>
    <row r="1" spans="2:27" s="41" customFormat="1" ht="15" customHeight="1" x14ac:dyDescent="0.25">
      <c r="B1" s="2767" t="str">
        <f>+Index!$A$1</f>
        <v xml:space="preserve">                                                               Office of the State Controller                                                                </v>
      </c>
      <c r="C1" s="2767"/>
      <c r="D1" s="2767"/>
      <c r="E1" s="2767"/>
      <c r="F1" s="2767"/>
      <c r="G1" s="2767"/>
      <c r="H1" s="2767"/>
      <c r="I1" s="2767"/>
      <c r="J1" s="2767"/>
      <c r="K1" s="2767"/>
      <c r="L1" s="2767"/>
      <c r="M1" s="2767"/>
      <c r="N1" s="2829"/>
      <c r="O1" s="2829" t="str">
        <f>IF(Index!$B$38="na","NA","")</f>
        <v/>
      </c>
      <c r="AA1" s="42"/>
    </row>
    <row r="2" spans="2:27" s="41" customFormat="1" ht="15" customHeight="1" x14ac:dyDescent="0.3">
      <c r="B2" s="2897" t="str">
        <f>+Index!$A$2</f>
        <v>2022 ACFR Worksheets</v>
      </c>
      <c r="C2" s="2897"/>
      <c r="D2" s="2897"/>
      <c r="E2" s="2897"/>
      <c r="F2" s="2897"/>
      <c r="G2" s="2897"/>
      <c r="H2" s="2897"/>
      <c r="I2" s="2897"/>
      <c r="J2" s="2897"/>
      <c r="K2" s="2897"/>
      <c r="L2" s="2897"/>
      <c r="M2" s="2897"/>
      <c r="N2" s="2829"/>
      <c r="O2" s="2829"/>
    </row>
    <row r="3" spans="2:27" s="41" customFormat="1" ht="15" customHeight="1" x14ac:dyDescent="0.3">
      <c r="B3" s="2897" t="s">
        <v>3520</v>
      </c>
      <c r="C3" s="2897"/>
      <c r="D3" s="2897"/>
      <c r="E3" s="2897"/>
      <c r="F3" s="2897"/>
      <c r="G3" s="2897"/>
      <c r="H3" s="2897"/>
      <c r="I3" s="2897"/>
      <c r="J3" s="2897"/>
      <c r="K3" s="2897"/>
      <c r="L3" s="2897"/>
      <c r="M3" s="2897"/>
      <c r="N3" s="2829"/>
      <c r="O3" s="2829"/>
    </row>
    <row r="4" spans="2:27" s="132" customFormat="1" ht="13.35" customHeight="1" x14ac:dyDescent="0.2">
      <c r="I4" s="133"/>
      <c r="J4" s="133"/>
      <c r="K4" s="430"/>
    </row>
    <row r="5" spans="2:27" s="132" customFormat="1" ht="15" customHeight="1" x14ac:dyDescent="0.2">
      <c r="D5" s="2898"/>
      <c r="E5" s="2898"/>
      <c r="I5" s="134" t="s">
        <v>327</v>
      </c>
      <c r="J5" s="134"/>
      <c r="K5" s="2807" t="str">
        <f>+Index!$E$10</f>
        <v>01</v>
      </c>
      <c r="L5" s="2807"/>
      <c r="M5" s="2807"/>
    </row>
    <row r="6" spans="2:27" s="132" customFormat="1" ht="15" customHeight="1" x14ac:dyDescent="0.2">
      <c r="I6" s="134" t="s">
        <v>1154</v>
      </c>
      <c r="J6" s="134"/>
      <c r="K6" s="2831" t="str">
        <f>+Index!$E$11</f>
        <v>North Carolina General Assembly</v>
      </c>
      <c r="L6" s="2831"/>
      <c r="M6" s="2831"/>
    </row>
    <row r="7" spans="2:27" s="132" customFormat="1" ht="15" customHeight="1" x14ac:dyDescent="0.2">
      <c r="B7" s="132" t="s">
        <v>477</v>
      </c>
      <c r="D7" s="2881" t="s">
        <v>256</v>
      </c>
      <c r="E7" s="2881"/>
      <c r="I7" s="134" t="s">
        <v>972</v>
      </c>
      <c r="J7" s="134"/>
      <c r="K7" s="2832" t="str">
        <f>CONCATENATE(Index!$E$12," ",Index!$E$14)</f>
        <v xml:space="preserve"> </v>
      </c>
      <c r="L7" s="2832"/>
      <c r="M7" s="2832"/>
    </row>
    <row r="8" spans="2:27" s="132" customFormat="1" ht="15" customHeight="1" x14ac:dyDescent="0.2">
      <c r="D8" s="137"/>
      <c r="E8" s="137"/>
      <c r="I8" s="134" t="s">
        <v>348</v>
      </c>
      <c r="J8" s="134"/>
      <c r="K8" s="2832">
        <f>+Index!$E$13</f>
        <v>0</v>
      </c>
      <c r="L8" s="2832"/>
      <c r="M8" s="2832"/>
    </row>
    <row r="9" spans="2:27" s="132" customFormat="1" ht="5.25" customHeight="1" thickBot="1" x14ac:dyDescent="0.25">
      <c r="B9" s="136"/>
      <c r="C9" s="136"/>
      <c r="D9" s="136"/>
      <c r="E9" s="136"/>
      <c r="F9" s="136"/>
      <c r="G9" s="136"/>
      <c r="H9" s="136"/>
      <c r="I9" s="136"/>
      <c r="J9" s="136"/>
      <c r="K9" s="136"/>
      <c r="L9" s="136"/>
      <c r="M9" s="136"/>
    </row>
    <row r="10" spans="2:27" s="132" customFormat="1" ht="11.1" customHeight="1" x14ac:dyDescent="0.2"/>
    <row r="11" spans="2:27" s="132" customFormat="1" ht="15" customHeight="1" x14ac:dyDescent="0.2">
      <c r="B11" s="2895" t="s">
        <v>1161</v>
      </c>
      <c r="C11" s="2895"/>
      <c r="D11" s="2895"/>
      <c r="E11" s="2895"/>
      <c r="F11" s="2895"/>
      <c r="G11" s="2895"/>
      <c r="H11" s="2895"/>
      <c r="I11" s="2895"/>
      <c r="J11" s="2895"/>
      <c r="K11" s="2895"/>
      <c r="L11" s="2895"/>
      <c r="M11" s="2895"/>
    </row>
    <row r="12" spans="2:27" s="132" customFormat="1" ht="14.1" customHeight="1" x14ac:dyDescent="0.2">
      <c r="B12" s="2895"/>
      <c r="C12" s="2895"/>
      <c r="D12" s="2895"/>
      <c r="E12" s="2895"/>
      <c r="F12" s="2895"/>
      <c r="G12" s="2895"/>
      <c r="H12" s="2895"/>
      <c r="I12" s="2895"/>
      <c r="J12" s="2895"/>
      <c r="K12" s="2895"/>
      <c r="L12" s="2895"/>
      <c r="M12" s="2895"/>
    </row>
    <row r="13" spans="2:27" s="132" customFormat="1" ht="9" customHeight="1" x14ac:dyDescent="0.2">
      <c r="B13" s="740"/>
      <c r="C13" s="740"/>
      <c r="D13" s="740"/>
      <c r="E13" s="740"/>
      <c r="F13" s="740"/>
      <c r="G13" s="740"/>
      <c r="H13" s="740"/>
      <c r="I13" s="740"/>
      <c r="J13" s="740"/>
      <c r="K13" s="740"/>
      <c r="L13" s="740"/>
      <c r="M13" s="740"/>
    </row>
    <row r="14" spans="2:27" s="132" customFormat="1" ht="15" customHeight="1" x14ac:dyDescent="0.2">
      <c r="B14" s="3" t="s">
        <v>3852</v>
      </c>
      <c r="C14" s="14"/>
      <c r="D14" s="14"/>
      <c r="E14" s="14"/>
      <c r="F14" s="14"/>
      <c r="G14" s="14"/>
      <c r="H14" s="14"/>
      <c r="I14" s="14"/>
      <c r="J14" s="14"/>
      <c r="K14" s="14"/>
      <c r="L14" s="14"/>
      <c r="M14" s="14"/>
      <c r="O14" s="133" t="s">
        <v>4478</v>
      </c>
    </row>
    <row r="15" spans="2:27" s="132" customFormat="1" ht="14.1" customHeight="1" x14ac:dyDescent="0.2">
      <c r="B15" s="14" t="s">
        <v>920</v>
      </c>
      <c r="C15" s="14"/>
      <c r="D15" s="14"/>
      <c r="E15" s="14"/>
      <c r="F15" s="14"/>
      <c r="G15" s="14"/>
      <c r="H15" s="14"/>
      <c r="I15" s="14"/>
      <c r="J15" s="14"/>
      <c r="K15" s="14"/>
      <c r="L15" s="14"/>
      <c r="M15" s="14"/>
      <c r="O15" s="133" t="s">
        <v>4479</v>
      </c>
    </row>
    <row r="16" spans="2:27" s="132" customFormat="1" ht="14.1" customHeight="1" x14ac:dyDescent="0.2">
      <c r="B16" s="2" t="str">
        <f>CONCATENATE("For debt defeased, in substance, PRIOR to ",+TEXT(Data!$A$3,"mmmm d, yyyy"),":")</f>
        <v>For debt defeased, in substance, PRIOR to July 1, 2021:</v>
      </c>
      <c r="C16" s="14"/>
      <c r="D16" s="14"/>
      <c r="E16" s="14"/>
      <c r="F16" s="14"/>
      <c r="G16" s="14"/>
      <c r="H16" s="14"/>
      <c r="I16" s="14"/>
      <c r="J16" s="14"/>
      <c r="K16" s="14"/>
      <c r="L16" s="14"/>
      <c r="M16" s="14"/>
      <c r="O16" s="1098" t="s">
        <v>4480</v>
      </c>
    </row>
    <row r="17" spans="2:15" s="132" customFormat="1" ht="14.1" customHeight="1" x14ac:dyDescent="0.2">
      <c r="B17" s="2"/>
      <c r="C17" s="14"/>
      <c r="D17" s="14"/>
      <c r="E17" s="14"/>
      <c r="F17" s="14"/>
      <c r="G17" s="14"/>
      <c r="H17" s="14"/>
      <c r="I17" s="14"/>
      <c r="J17" s="14"/>
      <c r="K17" s="14"/>
      <c r="L17" s="14"/>
      <c r="M17" s="14"/>
      <c r="O17" s="1098" t="s">
        <v>4481</v>
      </c>
    </row>
    <row r="18" spans="2:15" s="132" customFormat="1" ht="12.75" customHeight="1" x14ac:dyDescent="0.2">
      <c r="B18" s="14"/>
      <c r="C18" s="14"/>
      <c r="D18" s="14"/>
      <c r="E18" s="14"/>
      <c r="F18" s="14"/>
      <c r="G18" s="14"/>
      <c r="H18" s="14"/>
      <c r="I18" s="14"/>
      <c r="J18" s="14"/>
      <c r="K18" s="4" t="s">
        <v>1160</v>
      </c>
      <c r="M18" s="1098" t="s">
        <v>3591</v>
      </c>
      <c r="O18" s="4" t="s">
        <v>4472</v>
      </c>
    </row>
    <row r="19" spans="2:15" s="132" customFormat="1" ht="12.75" customHeight="1" x14ac:dyDescent="0.2">
      <c r="B19" s="2896" t="s">
        <v>4702</v>
      </c>
      <c r="C19" s="2896"/>
      <c r="D19" s="2896"/>
      <c r="E19" s="2896"/>
      <c r="F19" s="2896"/>
      <c r="G19" s="2896"/>
      <c r="H19" s="2896"/>
      <c r="I19" s="2896"/>
      <c r="J19" s="14"/>
      <c r="K19" s="4" t="s">
        <v>206</v>
      </c>
      <c r="M19" s="4" t="s">
        <v>3592</v>
      </c>
      <c r="O19" s="133" t="s">
        <v>4473</v>
      </c>
    </row>
    <row r="20" spans="2:15" s="132" customFormat="1" ht="12.75" customHeight="1" x14ac:dyDescent="0.2">
      <c r="B20" s="2894" t="s">
        <v>4607</v>
      </c>
      <c r="C20" s="2894"/>
      <c r="D20" s="2894"/>
      <c r="E20" s="2894"/>
      <c r="F20" s="2894"/>
      <c r="G20" s="2894"/>
      <c r="H20" s="2894"/>
      <c r="I20" s="2894"/>
      <c r="J20" s="4"/>
      <c r="K20" s="104">
        <f>+Data!$A$2</f>
        <v>44742</v>
      </c>
      <c r="M20" s="104" t="s">
        <v>4703</v>
      </c>
      <c r="O20" s="104" t="s">
        <v>4704</v>
      </c>
    </row>
    <row r="21" spans="2:15" s="132" customFormat="1" ht="14.1" customHeight="1" x14ac:dyDescent="0.2">
      <c r="B21" s="2869"/>
      <c r="C21" s="2817"/>
      <c r="D21" s="2817"/>
      <c r="E21" s="2817"/>
      <c r="F21" s="2817"/>
      <c r="G21" s="2817"/>
      <c r="H21" s="2817"/>
      <c r="I21" s="2817"/>
      <c r="J21" s="898"/>
      <c r="K21" s="1986"/>
      <c r="M21" s="1688"/>
      <c r="O21" s="1986"/>
    </row>
    <row r="22" spans="2:15" s="132" customFormat="1" ht="14.1" customHeight="1" x14ac:dyDescent="0.2">
      <c r="B22" s="2869"/>
      <c r="C22" s="2817"/>
      <c r="D22" s="2817"/>
      <c r="E22" s="2817"/>
      <c r="F22" s="2817"/>
      <c r="G22" s="2817"/>
      <c r="H22" s="2817"/>
      <c r="I22" s="2817"/>
      <c r="J22" s="898"/>
      <c r="K22" s="1986"/>
      <c r="M22" s="899"/>
      <c r="O22" s="1986"/>
    </row>
    <row r="23" spans="2:15" s="132" customFormat="1" ht="14.1" customHeight="1" x14ac:dyDescent="0.2">
      <c r="B23" s="2869"/>
      <c r="C23" s="2817"/>
      <c r="D23" s="2817"/>
      <c r="E23" s="2817"/>
      <c r="F23" s="2817"/>
      <c r="G23" s="2817"/>
      <c r="H23" s="2817"/>
      <c r="I23" s="2817"/>
      <c r="J23" s="898"/>
      <c r="K23" s="1986"/>
      <c r="M23" s="899"/>
      <c r="O23" s="1986"/>
    </row>
    <row r="24" spans="2:15" s="132" customFormat="1" ht="14.1" customHeight="1" x14ac:dyDescent="0.2">
      <c r="B24" s="2869"/>
      <c r="C24" s="2817"/>
      <c r="D24" s="2817"/>
      <c r="E24" s="2817"/>
      <c r="F24" s="2817"/>
      <c r="G24" s="2817"/>
      <c r="H24" s="2817"/>
      <c r="I24" s="2817"/>
      <c r="J24" s="898"/>
      <c r="K24" s="1986"/>
      <c r="M24" s="1688"/>
      <c r="O24" s="1986"/>
    </row>
    <row r="25" spans="2:15" s="132" customFormat="1" ht="14.1" customHeight="1" x14ac:dyDescent="0.2">
      <c r="B25" s="2869"/>
      <c r="C25" s="2817"/>
      <c r="D25" s="2817"/>
      <c r="E25" s="2817"/>
      <c r="F25" s="2817"/>
      <c r="G25" s="2817"/>
      <c r="H25" s="2817"/>
      <c r="I25" s="2817"/>
      <c r="J25" s="898"/>
      <c r="K25" s="1986"/>
      <c r="M25" s="899"/>
      <c r="O25" s="1986"/>
    </row>
    <row r="26" spans="2:15" s="132" customFormat="1" ht="14.1" customHeight="1" x14ac:dyDescent="0.2">
      <c r="B26" s="2869"/>
      <c r="C26" s="2817"/>
      <c r="D26" s="2817"/>
      <c r="E26" s="2817"/>
      <c r="F26" s="2817"/>
      <c r="G26" s="2817"/>
      <c r="H26" s="2817"/>
      <c r="I26" s="2817"/>
      <c r="J26" s="898"/>
      <c r="K26" s="1986"/>
      <c r="M26" s="899"/>
      <c r="O26" s="1986"/>
    </row>
    <row r="27" spans="2:15" s="132" customFormat="1" ht="14.1" customHeight="1" x14ac:dyDescent="0.2">
      <c r="B27" s="2869"/>
      <c r="C27" s="2817"/>
      <c r="D27" s="2817"/>
      <c r="E27" s="2817"/>
      <c r="F27" s="2817"/>
      <c r="G27" s="2817"/>
      <c r="H27" s="2817"/>
      <c r="I27" s="2817"/>
      <c r="J27" s="898"/>
      <c r="K27" s="1986"/>
      <c r="M27" s="899"/>
      <c r="O27" s="1986"/>
    </row>
    <row r="28" spans="2:15" s="132" customFormat="1" ht="14.1" customHeight="1" x14ac:dyDescent="0.2">
      <c r="B28" s="2869"/>
      <c r="C28" s="2817"/>
      <c r="D28" s="2817"/>
      <c r="E28" s="2817"/>
      <c r="F28" s="2817"/>
      <c r="G28" s="2817"/>
      <c r="H28" s="2817"/>
      <c r="I28" s="2817"/>
      <c r="J28" s="898"/>
      <c r="K28" s="1986"/>
      <c r="M28" s="899"/>
      <c r="O28" s="1986"/>
    </row>
    <row r="29" spans="2:15" s="132" customFormat="1" ht="14.1" customHeight="1" x14ac:dyDescent="0.2">
      <c r="B29" s="2869"/>
      <c r="C29" s="2817"/>
      <c r="D29" s="2817"/>
      <c r="E29" s="2817"/>
      <c r="F29" s="2817"/>
      <c r="G29" s="2817"/>
      <c r="H29" s="2817"/>
      <c r="I29" s="2817"/>
      <c r="J29" s="898"/>
      <c r="K29" s="1986"/>
      <c r="M29" s="899"/>
      <c r="O29" s="1986"/>
    </row>
    <row r="30" spans="2:15" s="132" customFormat="1" ht="4.3499999999999996" customHeight="1" x14ac:dyDescent="0.2">
      <c r="B30" s="14"/>
      <c r="C30" s="14"/>
      <c r="D30" s="14"/>
      <c r="E30" s="14"/>
      <c r="F30" s="14"/>
      <c r="G30" s="14"/>
      <c r="H30" s="14"/>
      <c r="I30" s="14"/>
      <c r="J30" s="14"/>
      <c r="K30" s="14"/>
      <c r="L30" s="14"/>
      <c r="M30" s="14"/>
    </row>
    <row r="31" spans="2:15" s="2085" customFormat="1" ht="16.5" x14ac:dyDescent="0.2">
      <c r="B31" s="1099" t="s">
        <v>4707</v>
      </c>
      <c r="C31" s="14"/>
      <c r="D31" s="14"/>
      <c r="E31" s="14"/>
      <c r="F31" s="14"/>
      <c r="G31" s="14"/>
      <c r="H31" s="14"/>
      <c r="I31" s="14"/>
      <c r="J31" s="14"/>
      <c r="K31" s="14"/>
      <c r="L31" s="14"/>
      <c r="M31" s="14"/>
    </row>
    <row r="32" spans="2:15" s="2085" customFormat="1" ht="12.75" x14ac:dyDescent="0.2">
      <c r="B32" s="1863" t="s">
        <v>4708</v>
      </c>
      <c r="C32" s="14"/>
      <c r="D32" s="14"/>
      <c r="E32" s="14"/>
      <c r="F32" s="14"/>
      <c r="G32" s="14"/>
      <c r="H32" s="14"/>
      <c r="I32" s="14"/>
      <c r="J32" s="14"/>
      <c r="K32" s="14"/>
      <c r="L32" s="14"/>
      <c r="M32" s="14"/>
    </row>
    <row r="33" spans="2:13" s="132" customFormat="1" ht="15" customHeight="1" x14ac:dyDescent="0.2">
      <c r="B33" s="1099" t="s">
        <v>4705</v>
      </c>
      <c r="C33" s="14"/>
      <c r="D33" s="14"/>
      <c r="E33" s="14"/>
      <c r="F33" s="14"/>
      <c r="G33" s="14"/>
      <c r="H33" s="14"/>
      <c r="I33" s="14"/>
      <c r="J33" s="14"/>
      <c r="K33" s="14"/>
      <c r="L33" s="14"/>
      <c r="M33" s="14"/>
    </row>
    <row r="34" spans="2:13" s="132" customFormat="1" ht="15" customHeight="1" x14ac:dyDescent="0.2">
      <c r="B34" s="1099" t="s">
        <v>4706</v>
      </c>
      <c r="C34" s="14"/>
      <c r="D34" s="14"/>
      <c r="E34" s="14"/>
      <c r="F34" s="14"/>
      <c r="G34" s="14"/>
      <c r="H34" s="14"/>
      <c r="I34" s="14"/>
      <c r="J34" s="14"/>
      <c r="K34" s="14"/>
      <c r="L34" s="14"/>
      <c r="M34" s="14"/>
    </row>
    <row r="35" spans="2:13" s="132" customFormat="1" ht="15" customHeight="1" x14ac:dyDescent="0.2">
      <c r="B35" s="1863" t="s">
        <v>4477</v>
      </c>
      <c r="C35" s="14"/>
      <c r="D35" s="14"/>
      <c r="E35" s="14"/>
      <c r="F35" s="14"/>
      <c r="G35" s="14"/>
      <c r="H35" s="14"/>
      <c r="I35" s="14"/>
      <c r="J35" s="14"/>
      <c r="K35" s="14"/>
      <c r="L35" s="14"/>
      <c r="M35" s="14"/>
    </row>
    <row r="36" spans="2:13" s="132" customFormat="1" ht="7.35" customHeight="1" x14ac:dyDescent="0.2">
      <c r="B36" s="14"/>
      <c r="C36" s="14"/>
      <c r="D36" s="14"/>
      <c r="E36" s="14"/>
      <c r="F36" s="14"/>
      <c r="G36" s="14"/>
      <c r="H36" s="14"/>
      <c r="I36" s="14"/>
      <c r="J36" s="14"/>
      <c r="K36" s="14"/>
      <c r="L36" s="14"/>
      <c r="M36" s="14"/>
    </row>
    <row r="37" spans="2:13" s="132" customFormat="1" ht="15" customHeight="1" x14ac:dyDescent="0.2">
      <c r="B37" s="3" t="s">
        <v>3853</v>
      </c>
      <c r="C37" s="14"/>
      <c r="D37" s="14"/>
      <c r="E37" s="14"/>
      <c r="F37" s="14"/>
      <c r="G37" s="14"/>
      <c r="H37" s="14"/>
      <c r="I37" s="14"/>
      <c r="J37" s="14"/>
      <c r="K37" s="14"/>
      <c r="L37" s="14"/>
      <c r="M37" s="14"/>
    </row>
    <row r="38" spans="2:13" s="132" customFormat="1" ht="15" customHeight="1" x14ac:dyDescent="0.2">
      <c r="B38" s="14" t="s">
        <v>1209</v>
      </c>
      <c r="C38" s="14"/>
      <c r="D38" s="14"/>
      <c r="E38" s="14"/>
      <c r="F38" s="14"/>
      <c r="G38" s="14"/>
      <c r="H38" s="14"/>
      <c r="I38" s="14"/>
      <c r="J38" s="14"/>
      <c r="K38" s="14"/>
      <c r="L38" s="14"/>
      <c r="M38" s="14"/>
    </row>
    <row r="39" spans="2:13" s="132" customFormat="1" ht="15" customHeight="1" x14ac:dyDescent="0.2">
      <c r="B39" s="2" t="str">
        <f>CONCATENATE("For debt defeased in the CURRENT fiscal year ",+YEAR(Data!$A$3),"-",+YEAR(Data!$A$2),":")</f>
        <v>For debt defeased in the CURRENT fiscal year 2021-2022:</v>
      </c>
      <c r="C39" s="14"/>
      <c r="D39" s="14"/>
      <c r="E39" s="14"/>
      <c r="F39" s="14"/>
      <c r="G39" s="14"/>
      <c r="H39" s="14"/>
      <c r="I39" s="14"/>
      <c r="J39" s="14"/>
      <c r="K39" s="14"/>
      <c r="L39" s="14"/>
      <c r="M39" s="14"/>
    </row>
    <row r="40" spans="2:13" s="132" customFormat="1" ht="14.1" customHeight="1" x14ac:dyDescent="0.2">
      <c r="B40" s="2892" t="s">
        <v>5538</v>
      </c>
      <c r="C40" s="2893"/>
      <c r="D40" s="2893"/>
      <c r="E40" s="2893"/>
      <c r="F40" s="2893"/>
      <c r="G40" s="2893"/>
      <c r="H40" s="2893"/>
      <c r="I40" s="2893"/>
      <c r="J40" s="2893"/>
      <c r="K40" s="2893"/>
      <c r="L40" s="2893"/>
      <c r="M40" s="2893"/>
    </row>
    <row r="41" spans="2:13" s="132" customFormat="1" ht="14.1" customHeight="1" x14ac:dyDescent="0.2">
      <c r="B41" s="2893"/>
      <c r="C41" s="2893"/>
      <c r="D41" s="2893"/>
      <c r="E41" s="2893"/>
      <c r="F41" s="2893"/>
      <c r="G41" s="2893"/>
      <c r="H41" s="2893"/>
      <c r="I41" s="2893"/>
      <c r="J41" s="2893"/>
      <c r="K41" s="2893"/>
      <c r="L41" s="2893"/>
      <c r="M41" s="2893"/>
    </row>
    <row r="42" spans="2:13" s="132" customFormat="1" ht="14.1" customHeight="1" x14ac:dyDescent="0.2">
      <c r="B42" s="741" t="s">
        <v>3837</v>
      </c>
      <c r="C42" s="381"/>
      <c r="D42" s="381"/>
      <c r="E42" s="381"/>
      <c r="F42" s="381"/>
      <c r="G42" s="381"/>
      <c r="H42" s="381"/>
      <c r="I42" s="381"/>
      <c r="J42" s="381"/>
      <c r="K42" s="381"/>
      <c r="L42" s="381"/>
      <c r="M42" s="381"/>
    </row>
    <row r="43" spans="2:13" s="132" customFormat="1" ht="8.1" customHeight="1" thickBot="1" x14ac:dyDescent="0.25">
      <c r="B43" s="382"/>
      <c r="C43" s="382"/>
      <c r="D43" s="382"/>
      <c r="E43" s="382"/>
      <c r="F43" s="382"/>
      <c r="G43" s="382"/>
      <c r="H43" s="382"/>
      <c r="I43" s="382"/>
      <c r="J43" s="382"/>
      <c r="K43" s="382"/>
      <c r="L43" s="382"/>
      <c r="M43" s="382"/>
    </row>
    <row r="44" spans="2:13" s="132" customFormat="1" ht="6" customHeight="1" x14ac:dyDescent="0.2">
      <c r="B44" s="113"/>
      <c r="C44" s="113"/>
      <c r="D44" s="113"/>
      <c r="E44" s="113"/>
      <c r="F44" s="113"/>
      <c r="G44" s="113"/>
      <c r="H44" s="113"/>
      <c r="I44" s="113"/>
      <c r="J44" s="113"/>
      <c r="K44" s="113"/>
      <c r="L44" s="113"/>
      <c r="M44" s="113"/>
    </row>
    <row r="45" spans="2:13" s="132" customFormat="1" ht="15" customHeight="1" x14ac:dyDescent="0.2">
      <c r="B45" s="268" t="s">
        <v>4723</v>
      </c>
      <c r="C45" s="267"/>
      <c r="D45" s="267"/>
      <c r="E45" s="267"/>
      <c r="F45" s="267"/>
      <c r="G45" s="267"/>
      <c r="H45" s="267"/>
      <c r="I45" s="267"/>
      <c r="J45" s="267"/>
      <c r="K45" s="267"/>
      <c r="L45" s="267"/>
      <c r="M45" s="267"/>
    </row>
    <row r="46" spans="2:13" s="132" customFormat="1" ht="14.1" customHeight="1" x14ac:dyDescent="0.2">
      <c r="B46" s="270" t="s">
        <v>807</v>
      </c>
      <c r="C46" s="269"/>
      <c r="D46" s="269"/>
      <c r="E46" s="269"/>
      <c r="F46" s="269"/>
      <c r="G46" s="269"/>
      <c r="H46" s="269"/>
      <c r="I46" s="269"/>
      <c r="J46" s="269"/>
      <c r="K46" s="267"/>
      <c r="L46" s="267"/>
      <c r="M46" s="267"/>
    </row>
    <row r="47" spans="2:13" s="273" customFormat="1" ht="14.1" customHeight="1" x14ac:dyDescent="0.2">
      <c r="B47" s="271" t="s">
        <v>204</v>
      </c>
      <c r="C47" s="272"/>
      <c r="D47" s="272"/>
      <c r="E47" s="272"/>
      <c r="F47" s="272"/>
      <c r="G47" s="272"/>
      <c r="H47" s="272"/>
      <c r="I47" s="272"/>
      <c r="J47" s="272"/>
      <c r="K47" s="272"/>
      <c r="L47" s="272"/>
      <c r="M47" s="517"/>
    </row>
    <row r="48" spans="2:13" s="273" customFormat="1" ht="14.1" customHeight="1" x14ac:dyDescent="0.2">
      <c r="B48" s="271" t="s">
        <v>205</v>
      </c>
      <c r="C48" s="272"/>
      <c r="D48" s="272"/>
      <c r="E48" s="272"/>
      <c r="F48" s="272"/>
      <c r="G48" s="272"/>
      <c r="H48" s="272"/>
      <c r="I48" s="272"/>
      <c r="J48" s="272"/>
      <c r="K48" s="272"/>
      <c r="L48" s="272"/>
      <c r="M48" s="518"/>
    </row>
    <row r="49" spans="2:13" s="273" customFormat="1" ht="14.1" customHeight="1" x14ac:dyDescent="0.2">
      <c r="B49" s="273" t="s">
        <v>958</v>
      </c>
      <c r="M49" s="386"/>
    </row>
    <row r="50" spans="2:13" s="273" customFormat="1" ht="14.1" customHeight="1" x14ac:dyDescent="0.2">
      <c r="B50" s="271" t="s">
        <v>959</v>
      </c>
      <c r="C50" s="271"/>
      <c r="K50" s="517"/>
      <c r="M50" s="387"/>
    </row>
    <row r="51" spans="2:13" s="273" customFormat="1" ht="14.1" customHeight="1" x14ac:dyDescent="0.2">
      <c r="B51" s="271" t="s">
        <v>4474</v>
      </c>
      <c r="C51" s="271"/>
      <c r="K51" s="517"/>
      <c r="M51" s="387"/>
    </row>
    <row r="52" spans="2:13" s="273" customFormat="1" ht="14.1" customHeight="1" x14ac:dyDescent="0.2">
      <c r="B52" s="271" t="s">
        <v>1561</v>
      </c>
      <c r="C52" s="271"/>
      <c r="K52" s="517"/>
      <c r="M52" s="387">
        <v>0</v>
      </c>
    </row>
    <row r="53" spans="2:13" s="273" customFormat="1" ht="14.1" customHeight="1" x14ac:dyDescent="0.2">
      <c r="B53" s="271" t="s">
        <v>1562</v>
      </c>
      <c r="C53" s="271"/>
      <c r="K53" s="518"/>
      <c r="M53" s="387"/>
    </row>
    <row r="54" spans="2:13" s="273" customFormat="1" ht="14.1" customHeight="1" x14ac:dyDescent="0.2">
      <c r="B54" s="271" t="s">
        <v>1563</v>
      </c>
      <c r="C54" s="271"/>
      <c r="K54" s="517"/>
      <c r="M54" s="387"/>
    </row>
    <row r="55" spans="2:13" s="273" customFormat="1" ht="14.1" customHeight="1" x14ac:dyDescent="0.2">
      <c r="B55" s="271" t="s">
        <v>1564</v>
      </c>
      <c r="K55" s="518"/>
      <c r="M55" s="387"/>
    </row>
    <row r="56" spans="2:13" s="273" customFormat="1" ht="14.1" customHeight="1" thickBot="1" x14ac:dyDescent="0.25">
      <c r="B56" s="274" t="s">
        <v>958</v>
      </c>
      <c r="M56" s="1097">
        <f>-SUM(K50:K55)</f>
        <v>0</v>
      </c>
    </row>
    <row r="57" spans="2:13" s="273" customFormat="1" ht="14.1" customHeight="1" x14ac:dyDescent="0.2">
      <c r="B57" s="273" t="s">
        <v>3831</v>
      </c>
      <c r="M57" s="1560"/>
    </row>
    <row r="58" spans="2:13" s="275" customFormat="1" ht="14.1" customHeight="1" thickBot="1" x14ac:dyDescent="0.25">
      <c r="B58" s="534" t="s">
        <v>3854</v>
      </c>
      <c r="M58" s="1480">
        <f>M47+M48+M56+M57</f>
        <v>0</v>
      </c>
    </row>
    <row r="59" spans="2:13" ht="14.1" customHeight="1" thickTop="1" x14ac:dyDescent="0.2">
      <c r="B59" s="273" t="s">
        <v>3838</v>
      </c>
    </row>
    <row r="60" spans="2:13" ht="4.3499999999999996" customHeight="1" x14ac:dyDescent="0.2"/>
    <row r="61" spans="2:13" ht="15" customHeight="1" x14ac:dyDescent="0.2">
      <c r="B61" s="534" t="s">
        <v>3832</v>
      </c>
      <c r="C61" s="273"/>
    </row>
    <row r="62" spans="2:13" ht="15" customHeight="1" x14ac:dyDescent="0.2">
      <c r="B62" s="271" t="s">
        <v>3833</v>
      </c>
      <c r="C62" s="273"/>
      <c r="M62" s="1448"/>
    </row>
    <row r="63" spans="2:13" s="132" customFormat="1" ht="15" customHeight="1" x14ac:dyDescent="0.2">
      <c r="B63" s="271" t="s">
        <v>3834</v>
      </c>
      <c r="C63" s="272"/>
      <c r="D63" s="272"/>
      <c r="E63" s="272"/>
      <c r="F63" s="272"/>
      <c r="G63" s="272"/>
      <c r="H63" s="272"/>
      <c r="I63" s="272"/>
      <c r="J63" s="272"/>
      <c r="K63" s="273"/>
      <c r="L63" s="272"/>
      <c r="M63" s="1477"/>
    </row>
    <row r="64" spans="2:13" s="132" customFormat="1" ht="15" customHeight="1" x14ac:dyDescent="0.2">
      <c r="B64" s="271" t="s">
        <v>3835</v>
      </c>
      <c r="C64" s="272"/>
      <c r="D64" s="272"/>
      <c r="E64" s="272"/>
      <c r="F64" s="272"/>
      <c r="G64" s="272"/>
      <c r="H64" s="272"/>
      <c r="I64" s="272"/>
      <c r="J64" s="272"/>
      <c r="K64" s="273"/>
      <c r="L64" s="272"/>
      <c r="M64" s="1477"/>
    </row>
    <row r="65" spans="2:13" ht="15" customHeight="1" thickBot="1" x14ac:dyDescent="0.25">
      <c r="B65" s="271" t="s">
        <v>3836</v>
      </c>
      <c r="C65" s="273"/>
      <c r="M65" s="1480">
        <f>M62+M63+M64</f>
        <v>0</v>
      </c>
    </row>
    <row r="66" spans="2:13" ht="15" customHeight="1" thickTop="1" x14ac:dyDescent="0.2"/>
    <row r="67" spans="2:13" ht="15" customHeight="1" x14ac:dyDescent="0.2"/>
    <row r="68" spans="2:13" ht="15" customHeight="1" x14ac:dyDescent="0.2"/>
    <row r="69" spans="2:13" ht="15" customHeight="1" x14ac:dyDescent="0.2"/>
    <row r="70" spans="2:13" ht="15" customHeight="1" x14ac:dyDescent="0.2"/>
    <row r="71" spans="2:13" ht="15" customHeight="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6P4cBRNqGse4hbhN11joJTxzryKnld+PLn8XAE1+QnX3GxzjpXBbuVbjl89fYJLGSJ61xpNHe9P1u3zSMLu7mg==" saltValue="FVXasemZL4K6mmScTSo5/A==" spinCount="100000" sheet="1" objects="1" scenarios="1" autoFilter="0"/>
  <customSheetViews>
    <customSheetView guid="{B08879A4-635B-4C39-9937-AC7883D562FC}" showGridLines="0" fitToPage="1" hiddenColumns="1" topLeftCell="B1">
      <selection activeCell="C35" sqref="C35"/>
      <pageMargins left="0.7" right="0.5" top="0.5" bottom="0.5" header="0.5" footer="0.3"/>
      <printOptions horizontalCentered="1"/>
      <pageSetup scale="97" orientation="portrait" horizontalDpi="1200" verticalDpi="1200" r:id="rId1"/>
      <headerFooter alignWithMargins="0">
        <oddFooter>&amp;R&amp;A</oddFooter>
      </headerFooter>
    </customSheetView>
    <customSheetView guid="{1250FD07-FF56-4A9D-AF9E-C27124A7EBE9}" showGridLines="0" fitToPage="1" showRuler="0">
      <selection activeCell="C7" sqref="C7:D7"/>
      <pageMargins left="0.7" right="0.5" top="0.5" bottom="0.5" header="0.5" footer="0.3"/>
      <printOptions horizontalCentered="1"/>
      <pageSetup orientation="portrait" horizontalDpi="4294967292" verticalDpi="4294967292" r:id="rId2"/>
      <headerFooter alignWithMargins="0">
        <oddFooter>&amp;R&amp;A</oddFooter>
      </headerFooter>
    </customSheetView>
    <customSheetView guid="{BEA4BE86-04D1-4C96-9358-7A260B9D2B2D}" showGridLines="0" fitToPage="1" showRuler="0">
      <selection activeCell="C7" sqref="C7:D7"/>
      <pageMargins left="0.7" right="0.5" top="0.5" bottom="0.5" header="0.5" footer="0.3"/>
      <printOptions horizontalCentered="1"/>
      <pageSetup orientation="portrait" horizontalDpi="4294967292" verticalDpi="4294967292" r:id="rId3"/>
      <headerFooter alignWithMargins="0">
        <oddFooter>&amp;R&amp;A</oddFooter>
      </headerFooter>
    </customSheetView>
    <customSheetView guid="{9FCFC836-1CA5-48BF-958D-24D2EA94B219}" showGridLines="0" fitToPage="1" hiddenColumns="1" topLeftCell="B1">
      <selection activeCell="C35" sqref="C35"/>
      <pageMargins left="0.7" right="0.5" top="0.5" bottom="0.5" header="0.5" footer="0.3"/>
      <printOptions horizontalCentered="1"/>
      <pageSetup scale="97" orientation="portrait" horizontalDpi="1200" verticalDpi="1200" r:id="rId4"/>
      <headerFooter alignWithMargins="0">
        <oddFooter>&amp;R&amp;A</oddFooter>
      </headerFooter>
    </customSheetView>
  </customSheetViews>
  <mergeCells count="24">
    <mergeCell ref="B19:I19"/>
    <mergeCell ref="O1:O3"/>
    <mergeCell ref="B1:M1"/>
    <mergeCell ref="B2:M2"/>
    <mergeCell ref="N1:N3"/>
    <mergeCell ref="D5:E5"/>
    <mergeCell ref="K5:M5"/>
    <mergeCell ref="B3:M3"/>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s>
  <phoneticPr fontId="15" type="noConversion"/>
  <conditionalFormatting sqref="N1:N3">
    <cfRule type="cellIs" dxfId="132" priority="2" stopIfTrue="1" operator="equal">
      <formula>"na"</formula>
    </cfRule>
  </conditionalFormatting>
  <conditionalFormatting sqref="O1:O3">
    <cfRule type="cellIs" dxfId="131" priority="1" stopIfTrue="1" operator="equal">
      <formula>"na"</formula>
    </cfRule>
  </conditionalFormatting>
  <dataValidations count="3">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s>
  <hyperlinks>
    <hyperlink ref="B1:M1" location="Index!A1" display="Index!A1" xr:uid="{00000000-0004-0000-1200-000000000000}"/>
  </hyperlinks>
  <printOptions horizontalCentered="1"/>
  <pageMargins left="0.7" right="0.5" top="0.5" bottom="0.5" header="0.5" footer="0.3"/>
  <pageSetup scale="84" orientation="portrait" horizontalDpi="1200" verticalDpi="1200" r:id="rId5"/>
  <headerFooter alignWithMargins="0">
    <oddFooter>&amp;R&amp;A</oddFooter>
  </headerFooter>
  <ignoredErrors>
    <ignoredError sqref="K7:K8"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J36"/>
  <sheetViews>
    <sheetView showGridLines="0" zoomScale="118" zoomScaleNormal="118" workbookViewId="0">
      <selection activeCell="A25" sqref="A25:D25"/>
    </sheetView>
  </sheetViews>
  <sheetFormatPr defaultColWidth="9.42578125" defaultRowHeight="12.75" x14ac:dyDescent="0.2"/>
  <cols>
    <col min="7" max="7" width="13.42578125" customWidth="1"/>
    <col min="10" max="10" width="4.5703125" customWidth="1"/>
  </cols>
  <sheetData>
    <row r="1" spans="1:10" ht="15.75" x14ac:dyDescent="0.25">
      <c r="A1" s="2697" t="str">
        <f>+Index!$A$1</f>
        <v xml:space="preserve">                                                               Office of the State Controller                                                                </v>
      </c>
      <c r="B1" s="2697"/>
      <c r="C1" s="2697"/>
      <c r="D1" s="2697"/>
      <c r="E1" s="2697"/>
      <c r="F1" s="2697"/>
      <c r="G1" s="2697"/>
      <c r="H1" s="2697"/>
      <c r="I1" s="2697"/>
      <c r="J1" s="2829" t="str">
        <f>IF(Index!$B$40="na","NA","")</f>
        <v/>
      </c>
    </row>
    <row r="2" spans="1:10" ht="15.75" x14ac:dyDescent="0.25">
      <c r="A2" s="2753" t="str">
        <f>+Index!$A$2</f>
        <v>2022 ACFR Worksheets</v>
      </c>
      <c r="B2" s="2753"/>
      <c r="C2" s="2753"/>
      <c r="D2" s="2753"/>
      <c r="E2" s="2753"/>
      <c r="F2" s="2753"/>
      <c r="G2" s="2753"/>
      <c r="H2" s="2753"/>
      <c r="I2" s="2753"/>
      <c r="J2" s="2829"/>
    </row>
    <row r="3" spans="1:10" ht="15.75" x14ac:dyDescent="0.25">
      <c r="A3" s="2754" t="s">
        <v>3628</v>
      </c>
      <c r="B3" s="2754"/>
      <c r="C3" s="2754"/>
      <c r="D3" s="2754"/>
      <c r="E3" s="2754"/>
      <c r="F3" s="2754"/>
      <c r="G3" s="2754"/>
      <c r="H3" s="2754"/>
      <c r="I3" s="2754"/>
      <c r="J3" s="2829"/>
    </row>
    <row r="4" spans="1:10" x14ac:dyDescent="0.2">
      <c r="A4" s="454"/>
      <c r="B4" s="454"/>
      <c r="C4" s="454"/>
      <c r="D4" s="454"/>
      <c r="E4" s="61"/>
      <c r="F4" s="454"/>
      <c r="G4" s="454"/>
      <c r="H4" s="454"/>
      <c r="I4" s="447"/>
    </row>
    <row r="5" spans="1:10" x14ac:dyDescent="0.2">
      <c r="A5" s="1425" t="s">
        <v>4242</v>
      </c>
      <c r="B5" s="1345"/>
      <c r="C5" s="1345"/>
      <c r="D5" s="1345"/>
      <c r="E5" s="1345"/>
      <c r="F5" s="1345"/>
      <c r="G5" s="1345"/>
      <c r="H5" s="1345"/>
      <c r="I5" s="447"/>
    </row>
    <row r="6" spans="1:10" x14ac:dyDescent="0.2">
      <c r="A6" s="1088" t="s">
        <v>4476</v>
      </c>
      <c r="B6" s="1345"/>
      <c r="C6" s="1345"/>
      <c r="D6" s="1345"/>
      <c r="E6" s="1345"/>
      <c r="F6" s="1345"/>
      <c r="G6" s="1345"/>
      <c r="H6" s="1345"/>
      <c r="I6" s="447"/>
    </row>
    <row r="7" spans="1:10" x14ac:dyDescent="0.2">
      <c r="A7" s="1088" t="s">
        <v>4241</v>
      </c>
      <c r="B7" s="1345"/>
      <c r="C7" s="1345"/>
      <c r="D7" s="1345"/>
      <c r="E7" s="1345"/>
      <c r="F7" s="1345"/>
      <c r="G7" s="1345"/>
      <c r="H7" s="1345"/>
      <c r="I7" s="447"/>
    </row>
    <row r="8" spans="1:10" x14ac:dyDescent="0.2">
      <c r="A8" s="1088"/>
      <c r="B8" s="1345"/>
      <c r="C8" s="1345"/>
      <c r="D8" s="1345"/>
      <c r="E8" s="1345"/>
      <c r="F8" s="1345"/>
      <c r="G8" s="1345"/>
      <c r="H8" s="1345"/>
      <c r="I8" s="447"/>
    </row>
    <row r="9" spans="1:10" x14ac:dyDescent="0.2">
      <c r="A9" s="61"/>
      <c r="B9" s="1089"/>
      <c r="C9" s="1089"/>
      <c r="D9" s="451"/>
      <c r="E9" s="1345"/>
      <c r="F9" s="1335" t="s">
        <v>327</v>
      </c>
      <c r="G9" s="1336" t="str">
        <f>+Index!$E$10</f>
        <v>01</v>
      </c>
      <c r="H9" s="1337"/>
      <c r="I9" s="1337"/>
      <c r="J9" s="272"/>
    </row>
    <row r="10" spans="1:10" x14ac:dyDescent="0.2">
      <c r="A10" s="1089"/>
      <c r="B10" s="1089"/>
      <c r="C10" s="1089"/>
      <c r="D10" s="1089"/>
      <c r="E10" s="1333"/>
      <c r="F10" s="1335" t="s">
        <v>1154</v>
      </c>
      <c r="G10" s="1338" t="str">
        <f>AgyName</f>
        <v>North Carolina General Assembly</v>
      </c>
      <c r="H10" s="1339"/>
      <c r="I10" s="1339"/>
    </row>
    <row r="11" spans="1:10" x14ac:dyDescent="0.2">
      <c r="A11" s="2900" t="s">
        <v>3447</v>
      </c>
      <c r="B11" s="2900"/>
      <c r="C11" s="1334" t="s">
        <v>805</v>
      </c>
      <c r="E11" s="454"/>
      <c r="F11" s="1335" t="s">
        <v>972</v>
      </c>
      <c r="G11" s="1340" t="str">
        <f>CONCATENATE(Index!$E$12," ",Index!$E$14)</f>
        <v xml:space="preserve"> </v>
      </c>
      <c r="H11" s="1370"/>
      <c r="I11" s="1370"/>
    </row>
    <row r="12" spans="1:10" x14ac:dyDescent="0.2">
      <c r="A12" s="1333"/>
      <c r="B12" s="1333"/>
      <c r="C12" s="1345"/>
      <c r="D12" s="454"/>
      <c r="E12" s="454"/>
      <c r="F12" s="1335" t="s">
        <v>348</v>
      </c>
      <c r="G12" s="1340">
        <f>+Index!$E$13</f>
        <v>0</v>
      </c>
      <c r="H12" s="1370"/>
      <c r="I12" s="1370"/>
    </row>
    <row r="13" spans="1:10" ht="13.5" thickBot="1" x14ac:dyDescent="0.25">
      <c r="A13" s="1346"/>
      <c r="B13" s="1346"/>
      <c r="C13" s="1346"/>
      <c r="D13" s="1346"/>
      <c r="E13" s="1346"/>
      <c r="F13" s="1346"/>
      <c r="G13" s="1346"/>
      <c r="H13" s="1346"/>
      <c r="I13" s="1346"/>
    </row>
    <row r="14" spans="1:10" ht="15" x14ac:dyDescent="0.25">
      <c r="A14" s="1341"/>
      <c r="B14" s="1341"/>
      <c r="C14" s="1341"/>
      <c r="D14" s="1341"/>
      <c r="E14" s="1341"/>
      <c r="F14" s="1341"/>
      <c r="G14" s="1341"/>
      <c r="H14" s="1341"/>
      <c r="I14" s="1341"/>
    </row>
    <row r="15" spans="1:10" x14ac:dyDescent="0.2">
      <c r="A15" s="1204" t="s">
        <v>3614</v>
      </c>
      <c r="B15" s="1204"/>
      <c r="C15" s="1204"/>
      <c r="D15" s="1204"/>
      <c r="E15" s="1204"/>
      <c r="F15" s="1204"/>
      <c r="G15" s="1204"/>
      <c r="H15" s="1204"/>
      <c r="I15" s="1204"/>
    </row>
    <row r="16" spans="1:10" x14ac:dyDescent="0.2">
      <c r="A16" s="1204" t="s">
        <v>3615</v>
      </c>
      <c r="B16" s="1204"/>
      <c r="C16" s="1204"/>
      <c r="D16" s="1204"/>
      <c r="E16" s="1204"/>
      <c r="F16" s="1204"/>
      <c r="G16" s="1204"/>
      <c r="H16" s="1204"/>
      <c r="I16" s="1204"/>
    </row>
    <row r="17" spans="1:9" x14ac:dyDescent="0.2">
      <c r="A17" s="1204"/>
      <c r="B17" s="1204"/>
      <c r="C17" s="1204"/>
      <c r="D17" s="1204"/>
      <c r="E17" s="1204"/>
      <c r="F17" s="1204"/>
      <c r="G17" s="1204"/>
      <c r="H17" s="1204"/>
      <c r="I17" s="1204"/>
    </row>
    <row r="18" spans="1:9" x14ac:dyDescent="0.2">
      <c r="A18" s="1204" t="s">
        <v>3616</v>
      </c>
      <c r="B18" s="1088"/>
      <c r="C18" s="1089"/>
      <c r="D18" s="1089"/>
      <c r="E18" s="1089"/>
      <c r="F18" s="1089"/>
      <c r="G18" s="1089"/>
      <c r="H18" s="1089"/>
      <c r="I18" s="1089"/>
    </row>
    <row r="19" spans="1:9" x14ac:dyDescent="0.2">
      <c r="A19" s="1204" t="s">
        <v>3617</v>
      </c>
      <c r="B19" s="1088"/>
      <c r="C19" s="1089"/>
      <c r="D19" s="1089"/>
      <c r="E19" s="1089"/>
      <c r="F19" s="1089"/>
      <c r="G19" s="1089"/>
      <c r="H19" s="1089"/>
      <c r="I19" s="1089"/>
    </row>
    <row r="20" spans="1:9" x14ac:dyDescent="0.2">
      <c r="A20" s="1204" t="s">
        <v>3618</v>
      </c>
      <c r="B20" s="1088"/>
      <c r="C20" s="1089"/>
      <c r="D20" s="1089"/>
      <c r="E20" s="1089"/>
      <c r="F20" s="1089"/>
      <c r="G20" s="1089"/>
      <c r="H20" s="1089"/>
      <c r="I20" s="1089"/>
    </row>
    <row r="21" spans="1:9" x14ac:dyDescent="0.2">
      <c r="A21" s="1089" t="s">
        <v>3619</v>
      </c>
      <c r="B21" s="1204"/>
      <c r="C21" s="1204"/>
      <c r="D21" s="272"/>
      <c r="E21" s="272"/>
      <c r="F21" s="272"/>
      <c r="G21" s="272"/>
      <c r="H21" s="272"/>
      <c r="I21" s="272"/>
    </row>
    <row r="22" spans="1:9" x14ac:dyDescent="0.2">
      <c r="A22" s="1089" t="s">
        <v>3620</v>
      </c>
      <c r="B22" s="1204"/>
      <c r="C22" s="1204"/>
      <c r="D22" s="272"/>
      <c r="E22" s="272"/>
      <c r="F22" s="272"/>
      <c r="G22" s="272"/>
      <c r="H22" s="272"/>
      <c r="I22" s="272"/>
    </row>
    <row r="23" spans="1:9" x14ac:dyDescent="0.2">
      <c r="A23" s="1089"/>
      <c r="B23" s="1204"/>
      <c r="C23" s="1204"/>
      <c r="D23" s="272"/>
      <c r="E23" s="272"/>
      <c r="F23" s="272"/>
      <c r="G23" s="272"/>
      <c r="H23" s="272"/>
      <c r="I23" s="272"/>
    </row>
    <row r="24" spans="1:9" x14ac:dyDescent="0.2">
      <c r="A24" s="1204" t="s">
        <v>3621</v>
      </c>
      <c r="B24" s="1089"/>
      <c r="C24" s="1204"/>
      <c r="D24" s="272"/>
      <c r="E24" s="272"/>
      <c r="F24" s="272"/>
      <c r="G24" s="272"/>
      <c r="H24" s="272"/>
      <c r="I24" s="272"/>
    </row>
    <row r="25" spans="1:9" x14ac:dyDescent="0.2">
      <c r="A25" s="2899" t="s">
        <v>3622</v>
      </c>
      <c r="B25" s="2899"/>
      <c r="C25" s="2899"/>
      <c r="D25" s="2899"/>
      <c r="E25" s="272"/>
      <c r="F25" s="272"/>
      <c r="G25" s="272"/>
      <c r="H25" s="272"/>
      <c r="I25" s="272"/>
    </row>
    <row r="26" spans="1:9" x14ac:dyDescent="0.2">
      <c r="A26" s="1204"/>
      <c r="B26" s="1089"/>
      <c r="C26" s="1204"/>
      <c r="D26" s="272"/>
      <c r="E26" s="272"/>
      <c r="F26" s="272"/>
      <c r="G26" s="272"/>
      <c r="H26" s="272"/>
      <c r="I26" s="272"/>
    </row>
    <row r="27" spans="1:9" x14ac:dyDescent="0.2">
      <c r="A27" s="1204" t="s">
        <v>3623</v>
      </c>
      <c r="B27" s="1088"/>
      <c r="C27" s="1089"/>
      <c r="D27" s="1089"/>
      <c r="E27" s="1089"/>
      <c r="F27" s="1089"/>
      <c r="G27" s="1089"/>
      <c r="H27" s="1089"/>
      <c r="I27" s="1089"/>
    </row>
    <row r="28" spans="1:9" x14ac:dyDescent="0.2">
      <c r="A28" s="1088"/>
      <c r="B28" s="1088"/>
      <c r="C28" s="1090" t="s">
        <v>969</v>
      </c>
      <c r="D28" s="1369"/>
      <c r="E28" s="1089"/>
      <c r="F28" s="1089"/>
      <c r="G28" s="1089"/>
      <c r="H28" s="1089"/>
      <c r="I28" s="1089"/>
    </row>
    <row r="29" spans="1:9" x14ac:dyDescent="0.2">
      <c r="A29" s="1088"/>
      <c r="B29" s="1088"/>
      <c r="C29" s="1090" t="s">
        <v>970</v>
      </c>
      <c r="D29" s="1369"/>
      <c r="E29" s="1089"/>
      <c r="F29" s="1089"/>
      <c r="G29" s="1089"/>
      <c r="H29" s="1089"/>
      <c r="I29" s="1089"/>
    </row>
    <row r="30" spans="1:9" x14ac:dyDescent="0.2">
      <c r="A30" s="1088"/>
      <c r="B30" s="1088"/>
      <c r="C30" s="1089"/>
      <c r="D30" s="1089"/>
      <c r="E30" s="1089"/>
      <c r="F30" s="1089"/>
      <c r="G30" s="1089"/>
      <c r="H30" s="1089"/>
      <c r="I30" s="1089"/>
    </row>
    <row r="31" spans="1:9" ht="15.75" x14ac:dyDescent="0.25">
      <c r="A31" s="1089"/>
      <c r="B31" s="1088"/>
      <c r="C31" s="63"/>
      <c r="D31" s="63"/>
      <c r="E31" s="1089"/>
      <c r="F31" s="1089"/>
      <c r="G31" s="1089"/>
      <c r="H31" s="1089"/>
      <c r="I31" s="1089"/>
    </row>
    <row r="32" spans="1:9" ht="15.75" x14ac:dyDescent="0.25">
      <c r="A32" s="1344" t="s">
        <v>1955</v>
      </c>
      <c r="B32" s="1088"/>
      <c r="C32" s="63"/>
      <c r="D32" s="63"/>
      <c r="E32" s="1089"/>
      <c r="F32" s="1089"/>
      <c r="G32" s="1089"/>
      <c r="H32" s="1089"/>
      <c r="I32" s="1089"/>
    </row>
    <row r="33" spans="1:9" x14ac:dyDescent="0.2">
      <c r="A33" s="1204" t="s">
        <v>3624</v>
      </c>
      <c r="B33" s="1088"/>
      <c r="C33" s="1089"/>
      <c r="D33" s="1089"/>
      <c r="E33" s="1089"/>
      <c r="F33" s="1089"/>
      <c r="G33" s="1089"/>
      <c r="H33" s="1089"/>
      <c r="I33" s="1089"/>
    </row>
    <row r="34" spans="1:9" x14ac:dyDescent="0.2">
      <c r="A34" s="1204" t="s">
        <v>5539</v>
      </c>
      <c r="B34" s="1089"/>
      <c r="C34" s="1089"/>
      <c r="D34" s="1089"/>
      <c r="E34" s="1089"/>
      <c r="F34" s="1089"/>
      <c r="G34" s="1089"/>
      <c r="H34" s="1089"/>
      <c r="I34" s="1089"/>
    </row>
    <row r="35" spans="1:9" x14ac:dyDescent="0.2">
      <c r="A35" s="1088"/>
      <c r="B35" s="1088"/>
      <c r="C35" s="1089"/>
      <c r="D35" s="1089"/>
      <c r="E35" s="1089"/>
      <c r="F35" s="1089"/>
      <c r="G35" s="1089"/>
      <c r="H35" s="1089"/>
      <c r="I35" s="1089"/>
    </row>
    <row r="36" spans="1:9" x14ac:dyDescent="0.2">
      <c r="A36" s="61"/>
      <c r="B36" s="273"/>
      <c r="C36" s="273"/>
      <c r="D36" s="273"/>
      <c r="E36" s="273"/>
      <c r="F36" s="273"/>
      <c r="G36" s="273"/>
      <c r="H36" s="273"/>
      <c r="I36" s="1089"/>
    </row>
  </sheetData>
  <sheetProtection algorithmName="SHA-512" hashValue="0T1rBE7owaP/tg54eyA+KIdIgKHPCo55vhQ4twXeZ6fFPQief9dtUA+sZaXSRGckW+HzifcauNJvO02zE2ee2g==" saltValue="Pevc+DxgkPmA41RwVfMqSQ==" spinCount="100000" sheet="1" objects="1" scenarios="1" autoFilter="0"/>
  <mergeCells count="6">
    <mergeCell ref="J1:J3"/>
    <mergeCell ref="A25:D25"/>
    <mergeCell ref="A1:I1"/>
    <mergeCell ref="A2:I2"/>
    <mergeCell ref="A3:I3"/>
    <mergeCell ref="A11:B11"/>
  </mergeCells>
  <conditionalFormatting sqref="J1:J3">
    <cfRule type="cellIs" dxfId="130" priority="1" stopIfTrue="1" operator="equal">
      <formula>"na"</formula>
    </cfRule>
  </conditionalFormatting>
  <hyperlinks>
    <hyperlink ref="A25" r:id="rId1" xr:uid="{00000000-0004-0000-1300-000000000000}"/>
    <hyperlink ref="A1:I1" location="Index!A1" display="Index!A1" xr:uid="{00000000-0004-0000-1300-000001000000}"/>
    <hyperlink ref="A25:D25" r:id="rId2" display="Financial Reporting Update GASB 70" xr:uid="{470EFE45-D35C-48CF-97C2-6FDD911AB4CC}"/>
  </hyperlinks>
  <pageMargins left="0.7" right="0.7" top="0.75" bottom="0.75" header="0.3" footer="0.3"/>
  <pageSetup scale="97" orientation="portrait" r:id="rId3"/>
  <headerFooter>
    <oddFooter>&amp;R338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AE44"/>
  <sheetViews>
    <sheetView showGridLines="0" zoomScaleNormal="100" workbookViewId="0">
      <selection activeCell="G34" sqref="G34:G39"/>
    </sheetView>
  </sheetViews>
  <sheetFormatPr defaultColWidth="9.42578125" defaultRowHeight="11.25" x14ac:dyDescent="0.2"/>
  <cols>
    <col min="1" max="1" width="1.5703125" style="40" customWidth="1"/>
    <col min="2" max="2" width="5" style="40" bestFit="1" customWidth="1"/>
    <col min="3" max="3" width="9.5703125" style="40" customWidth="1"/>
    <col min="4" max="4" width="1.5703125" style="40" customWidth="1"/>
    <col min="5" max="5" width="14.5703125" style="40" customWidth="1"/>
    <col min="6" max="6" width="1.42578125" style="40" customWidth="1"/>
    <col min="7" max="7" width="14.5703125" style="40" customWidth="1"/>
    <col min="8" max="8" width="1.42578125" style="40" customWidth="1"/>
    <col min="9" max="9" width="14" style="40" customWidth="1"/>
    <col min="10" max="10" width="1.42578125" style="40" customWidth="1"/>
    <col min="11" max="11" width="14.5703125" style="40" customWidth="1"/>
    <col min="12" max="12" width="1.42578125" style="40" customWidth="1"/>
    <col min="13" max="13" width="8.42578125" style="40" customWidth="1"/>
    <col min="14" max="14" width="1.42578125" style="40" customWidth="1"/>
    <col min="15" max="15" width="8.42578125" style="40" customWidth="1"/>
    <col min="16" max="16" width="1.42578125" style="40" customWidth="1"/>
    <col min="17" max="17" width="32.28515625" style="40" customWidth="1"/>
    <col min="18" max="18" width="11.5703125" style="40" customWidth="1"/>
    <col min="19" max="19" width="24.42578125" style="2338" bestFit="1" customWidth="1"/>
    <col min="20" max="20" width="1.5703125" style="40" customWidth="1"/>
    <col min="21" max="21" width="8.5703125" style="40" customWidth="1"/>
    <col min="22" max="16384" width="9.42578125" style="40"/>
  </cols>
  <sheetData>
    <row r="1" spans="1:31"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829" t="str">
        <f>IF(Index!$B$41="na","NA","")</f>
        <v/>
      </c>
      <c r="S1" s="2335"/>
      <c r="V1" s="2341" t="s">
        <v>5068</v>
      </c>
      <c r="AE1" s="42"/>
    </row>
    <row r="2" spans="1:31" s="41" customFormat="1" ht="15" customHeight="1" x14ac:dyDescent="0.25">
      <c r="A2" s="2808" t="str">
        <f>+Index!$A$2</f>
        <v>2022 ACFR Worksheets</v>
      </c>
      <c r="B2" s="2808"/>
      <c r="C2" s="2808"/>
      <c r="D2" s="2808"/>
      <c r="E2" s="2808"/>
      <c r="F2" s="2808"/>
      <c r="G2" s="2808"/>
      <c r="H2" s="2808"/>
      <c r="I2" s="2808"/>
      <c r="J2" s="2808"/>
      <c r="K2" s="2808"/>
      <c r="L2" s="2808"/>
      <c r="M2" s="2808"/>
      <c r="N2" s="2808"/>
      <c r="O2" s="2808"/>
      <c r="P2" s="2808"/>
      <c r="Q2" s="2808"/>
      <c r="R2" s="2829"/>
      <c r="S2" s="2335"/>
    </row>
    <row r="3" spans="1:31" s="41" customFormat="1" ht="15" customHeight="1" x14ac:dyDescent="0.25">
      <c r="A3" s="2808" t="s">
        <v>3708</v>
      </c>
      <c r="B3" s="2808"/>
      <c r="C3" s="2808"/>
      <c r="D3" s="2808"/>
      <c r="E3" s="2808"/>
      <c r="F3" s="2808"/>
      <c r="G3" s="2808"/>
      <c r="H3" s="2808"/>
      <c r="I3" s="2808"/>
      <c r="J3" s="2808"/>
      <c r="K3" s="2808"/>
      <c r="L3" s="2808"/>
      <c r="M3" s="2808"/>
      <c r="N3" s="2808"/>
      <c r="O3" s="2808"/>
      <c r="P3" s="2808"/>
      <c r="Q3" s="2808"/>
      <c r="R3" s="2829"/>
      <c r="S3" s="2335"/>
    </row>
    <row r="4" spans="1:31" s="132" customFormat="1" ht="13.35" customHeight="1" x14ac:dyDescent="0.2">
      <c r="H4" s="137"/>
      <c r="S4" s="2336"/>
    </row>
    <row r="5" spans="1:31" s="132" customFormat="1" ht="15" customHeight="1" x14ac:dyDescent="0.2">
      <c r="D5" s="137"/>
      <c r="J5" s="950"/>
      <c r="K5" s="134" t="s">
        <v>327</v>
      </c>
      <c r="L5" s="2910" t="str">
        <f>Index!E10</f>
        <v>01</v>
      </c>
      <c r="M5" s="2867"/>
      <c r="N5" s="2867"/>
      <c r="O5" s="2867"/>
      <c r="P5" s="2867"/>
      <c r="Q5" s="2867"/>
      <c r="R5" s="890"/>
      <c r="S5" s="2336"/>
    </row>
    <row r="6" spans="1:31" s="132" customFormat="1" ht="15" customHeight="1" x14ac:dyDescent="0.2">
      <c r="J6" s="950"/>
      <c r="K6" s="134" t="s">
        <v>1154</v>
      </c>
      <c r="L6" s="2910" t="str">
        <f>Index!E11</f>
        <v>North Carolina General Assembly</v>
      </c>
      <c r="M6" s="2867"/>
      <c r="N6" s="2867"/>
      <c r="O6" s="2867"/>
      <c r="P6" s="2867"/>
      <c r="Q6" s="2867"/>
      <c r="R6" s="890"/>
      <c r="S6" s="2336"/>
    </row>
    <row r="7" spans="1:31" s="132" customFormat="1" ht="15" customHeight="1" x14ac:dyDescent="0.2">
      <c r="A7" s="132" t="s">
        <v>477</v>
      </c>
      <c r="D7" s="2881" t="s">
        <v>805</v>
      </c>
      <c r="E7" s="2882"/>
      <c r="J7" s="951"/>
      <c r="K7" s="134" t="s">
        <v>972</v>
      </c>
      <c r="L7" s="2911" t="str">
        <f>CONCATENATE(Index!$E$12, " ", Index!$E$14)</f>
        <v xml:space="preserve"> </v>
      </c>
      <c r="M7" s="2912"/>
      <c r="N7" s="2912"/>
      <c r="O7" s="2912"/>
      <c r="P7" s="2912"/>
      <c r="Q7" s="2912"/>
      <c r="R7" s="891"/>
      <c r="S7" s="2336"/>
    </row>
    <row r="8" spans="1:31" s="132" customFormat="1" ht="15" customHeight="1" x14ac:dyDescent="0.2">
      <c r="D8" s="137"/>
      <c r="J8" s="952"/>
      <c r="K8" s="134" t="s">
        <v>348</v>
      </c>
      <c r="L8" s="2913">
        <f>Index!E13</f>
        <v>0</v>
      </c>
      <c r="M8" s="2912"/>
      <c r="N8" s="2912"/>
      <c r="O8" s="2912"/>
      <c r="P8" s="2912"/>
      <c r="Q8" s="2912"/>
      <c r="R8" s="892"/>
      <c r="S8" s="2336"/>
    </row>
    <row r="9" spans="1:31" s="132" customFormat="1" ht="6" customHeight="1" thickBot="1" x14ac:dyDescent="0.25">
      <c r="A9" s="136"/>
      <c r="B9" s="136"/>
      <c r="C9" s="136"/>
      <c r="D9" s="136"/>
      <c r="E9" s="136"/>
      <c r="F9" s="136"/>
      <c r="G9" s="136"/>
      <c r="H9" s="136"/>
      <c r="I9" s="136"/>
      <c r="J9" s="136"/>
      <c r="K9" s="136"/>
      <c r="L9" s="136"/>
      <c r="M9" s="136"/>
      <c r="N9" s="136"/>
      <c r="O9" s="136"/>
      <c r="P9" s="136"/>
      <c r="Q9" s="136"/>
      <c r="S9" s="2336"/>
    </row>
    <row r="10" spans="1:31" s="132" customFormat="1" ht="12.75" x14ac:dyDescent="0.2">
      <c r="A10" s="834"/>
      <c r="B10"/>
      <c r="C10"/>
      <c r="D10"/>
      <c r="E10"/>
      <c r="F10"/>
      <c r="G10" s="2306" t="s">
        <v>5066</v>
      </c>
      <c r="H10" s="2306"/>
      <c r="I10" s="2306" t="s">
        <v>985</v>
      </c>
      <c r="J10" s="2306"/>
      <c r="K10" s="2306" t="s">
        <v>5067</v>
      </c>
      <c r="L10"/>
      <c r="M10"/>
      <c r="N10"/>
      <c r="O10"/>
      <c r="P10"/>
      <c r="Q10"/>
      <c r="S10" s="2336"/>
    </row>
    <row r="11" spans="1:31" s="132" customFormat="1" ht="14.1" customHeight="1" x14ac:dyDescent="0.2">
      <c r="A11" s="1547" t="s">
        <v>1394</v>
      </c>
      <c r="G11" s="137" t="s">
        <v>985</v>
      </c>
      <c r="H11" s="137"/>
      <c r="I11" s="137" t="s">
        <v>985</v>
      </c>
      <c r="J11" s="137"/>
      <c r="K11" s="137" t="s">
        <v>1354</v>
      </c>
      <c r="M11" s="2916" t="s">
        <v>1717</v>
      </c>
      <c r="N11" s="2916"/>
      <c r="S11" s="2336"/>
    </row>
    <row r="12" spans="1:31" s="132" customFormat="1" ht="14.1" customHeight="1" x14ac:dyDescent="0.2">
      <c r="A12" s="2914" t="s">
        <v>3504</v>
      </c>
      <c r="B12" s="2915"/>
      <c r="C12" s="2915"/>
      <c r="D12" s="2915"/>
      <c r="E12" s="2915"/>
      <c r="G12" s="135" t="s">
        <v>1355</v>
      </c>
      <c r="H12" s="137"/>
      <c r="I12" s="953">
        <f>+Data!$A$2</f>
        <v>44742</v>
      </c>
      <c r="J12" s="137"/>
      <c r="K12" s="135" t="s">
        <v>1156</v>
      </c>
      <c r="M12" s="2917" t="s">
        <v>3503</v>
      </c>
      <c r="N12" s="2917"/>
      <c r="S12" s="2337"/>
      <c r="T12" s="137"/>
      <c r="U12" s="137"/>
      <c r="W12" s="2898"/>
      <c r="X12" s="2898"/>
      <c r="Y12" s="2898"/>
      <c r="Z12" s="137"/>
      <c r="AA12" s="137"/>
      <c r="AB12" s="137"/>
      <c r="AC12" s="137"/>
      <c r="AD12" s="137"/>
      <c r="AE12" s="137"/>
    </row>
    <row r="13" spans="1:31" s="132" customFormat="1" ht="15" customHeight="1" x14ac:dyDescent="0.2">
      <c r="A13" s="2901" t="s">
        <v>1356</v>
      </c>
      <c r="B13" s="2901"/>
      <c r="C13" s="2901"/>
      <c r="D13" s="2901"/>
      <c r="E13" s="2901"/>
      <c r="G13" s="276"/>
      <c r="I13" s="276"/>
      <c r="K13" s="276"/>
      <c r="M13" s="2908"/>
      <c r="N13" s="2908"/>
      <c r="O13" s="1193" t="s">
        <v>350</v>
      </c>
      <c r="P13" s="829" t="s">
        <v>1719</v>
      </c>
      <c r="S13" s="2336" t="s">
        <v>1356</v>
      </c>
    </row>
    <row r="14" spans="1:31" s="132" customFormat="1" ht="13.5" customHeight="1" x14ac:dyDescent="0.2">
      <c r="A14" s="2901" t="s">
        <v>1405</v>
      </c>
      <c r="B14" s="2901"/>
      <c r="C14" s="2901"/>
      <c r="D14" s="2901"/>
      <c r="E14" s="2901"/>
      <c r="G14" s="276"/>
      <c r="I14" s="276"/>
      <c r="K14" s="276"/>
      <c r="M14" s="2908"/>
      <c r="N14" s="2909"/>
      <c r="P14" s="829" t="s">
        <v>1720</v>
      </c>
      <c r="S14" s="2336" t="s">
        <v>1405</v>
      </c>
    </row>
    <row r="15" spans="1:31" s="132" customFormat="1" ht="13.5" customHeight="1" x14ac:dyDescent="0.2">
      <c r="A15" s="2901" t="s">
        <v>1406</v>
      </c>
      <c r="B15" s="2901"/>
      <c r="C15" s="2901"/>
      <c r="D15" s="2901"/>
      <c r="E15" s="2901"/>
      <c r="G15" s="276"/>
      <c r="I15" s="276"/>
      <c r="K15" s="276"/>
      <c r="M15" s="2908"/>
      <c r="N15" s="2909"/>
      <c r="P15" s="829" t="s">
        <v>4760</v>
      </c>
      <c r="S15" s="2336" t="s">
        <v>1406</v>
      </c>
      <c r="T15" s="2340"/>
      <c r="U15" s="2340"/>
      <c r="V15" s="2340"/>
      <c r="W15" s="2340"/>
    </row>
    <row r="16" spans="1:31" s="132" customFormat="1" ht="13.5" customHeight="1" x14ac:dyDescent="0.2">
      <c r="A16" s="2901" t="s">
        <v>3443</v>
      </c>
      <c r="B16" s="2901"/>
      <c r="C16" s="2901"/>
      <c r="D16" s="2901"/>
      <c r="E16" s="2901"/>
      <c r="G16" s="276"/>
      <c r="I16" s="276"/>
      <c r="K16" s="276"/>
      <c r="M16" s="2908"/>
      <c r="N16" s="2908"/>
      <c r="P16" s="829" t="s">
        <v>4759</v>
      </c>
      <c r="S16" s="2336" t="s">
        <v>3443</v>
      </c>
    </row>
    <row r="17" spans="1:21" s="132" customFormat="1" ht="13.5" customHeight="1" x14ac:dyDescent="0.2">
      <c r="A17" s="2811" t="s">
        <v>1718</v>
      </c>
      <c r="B17" s="2696"/>
      <c r="C17" s="2696"/>
      <c r="D17" s="2696"/>
      <c r="E17" s="2696"/>
      <c r="G17" s="276"/>
      <c r="I17" s="276"/>
      <c r="K17" s="276"/>
      <c r="M17" s="2908"/>
      <c r="N17" s="2909"/>
      <c r="P17" s="829" t="s">
        <v>4765</v>
      </c>
      <c r="S17" s="2336" t="s">
        <v>1718</v>
      </c>
    </row>
    <row r="18" spans="1:21" s="132" customFormat="1" ht="14.1" customHeight="1" x14ac:dyDescent="0.2">
      <c r="A18" s="2906" t="s">
        <v>4113</v>
      </c>
      <c r="B18" s="2907"/>
      <c r="C18" s="2907"/>
      <c r="D18" s="2907"/>
      <c r="E18" s="2907"/>
      <c r="G18" s="276"/>
      <c r="I18" s="276"/>
      <c r="K18" s="276"/>
      <c r="M18" s="2908"/>
      <c r="N18" s="2909"/>
      <c r="S18" s="2336" t="s">
        <v>4113</v>
      </c>
    </row>
    <row r="19" spans="1:21" s="132" customFormat="1" ht="14.1" customHeight="1" x14ac:dyDescent="0.2">
      <c r="A19" s="2906" t="s">
        <v>4293</v>
      </c>
      <c r="B19" s="2907"/>
      <c r="C19" s="2907"/>
      <c r="D19" s="2907"/>
      <c r="E19" s="2907"/>
      <c r="G19" s="276"/>
      <c r="I19" s="276"/>
      <c r="K19" s="276"/>
      <c r="M19" s="2908"/>
      <c r="N19" s="2908"/>
      <c r="S19" s="2336" t="s">
        <v>4293</v>
      </c>
    </row>
    <row r="20" spans="1:21" s="132" customFormat="1" ht="14.1" customHeight="1" x14ac:dyDescent="0.2">
      <c r="A20" s="2905" t="s">
        <v>635</v>
      </c>
      <c r="B20" s="2696"/>
      <c r="C20" s="2902"/>
      <c r="D20" s="2902"/>
      <c r="E20" s="2902"/>
      <c r="G20" s="276"/>
      <c r="I20" s="276"/>
      <c r="K20" s="276"/>
      <c r="M20" s="2908"/>
      <c r="N20" s="2909"/>
      <c r="S20" s="2306"/>
    </row>
    <row r="21" spans="1:21" s="132" customFormat="1" ht="14.1" customHeight="1" x14ac:dyDescent="0.2">
      <c r="A21" s="2905" t="s">
        <v>635</v>
      </c>
      <c r="B21" s="2696"/>
      <c r="C21" s="2903"/>
      <c r="D21" s="2904"/>
      <c r="E21" s="2904"/>
      <c r="G21" s="277"/>
      <c r="I21" s="277"/>
      <c r="K21" s="277"/>
      <c r="M21" s="2908"/>
      <c r="N21" s="2909"/>
      <c r="S21" s="2306"/>
    </row>
    <row r="22" spans="1:21" s="132" customFormat="1" ht="8.1" customHeight="1" x14ac:dyDescent="0.2">
      <c r="A22" s="825"/>
      <c r="S22" s="2336"/>
    </row>
    <row r="23" spans="1:21" s="132" customFormat="1" ht="14.1" customHeight="1" x14ac:dyDescent="0.2">
      <c r="A23" s="957" t="s">
        <v>1357</v>
      </c>
      <c r="G23" s="137" t="s">
        <v>985</v>
      </c>
      <c r="H23" s="137"/>
      <c r="I23" s="137" t="s">
        <v>985</v>
      </c>
      <c r="J23" s="137"/>
      <c r="K23" s="137" t="s">
        <v>1354</v>
      </c>
      <c r="L23" s="137"/>
      <c r="M23" s="137" t="s">
        <v>1358</v>
      </c>
      <c r="N23" s="137"/>
      <c r="O23" s="137" t="s">
        <v>1359</v>
      </c>
      <c r="P23" s="137"/>
      <c r="Q23" s="137" t="s">
        <v>1360</v>
      </c>
      <c r="R23" s="137"/>
      <c r="S23" s="2898"/>
      <c r="T23" s="2898"/>
      <c r="U23" s="2898"/>
    </row>
    <row r="24" spans="1:21" s="132" customFormat="1" ht="14.1" customHeight="1" x14ac:dyDescent="0.2">
      <c r="A24" s="2881" t="s">
        <v>598</v>
      </c>
      <c r="B24" s="2881"/>
      <c r="C24" s="2881"/>
      <c r="D24" s="2881"/>
      <c r="E24" s="2881"/>
      <c r="G24" s="135" t="s">
        <v>1355</v>
      </c>
      <c r="H24" s="137"/>
      <c r="I24" s="953">
        <f>+Data!$A$2</f>
        <v>44742</v>
      </c>
      <c r="J24" s="137"/>
      <c r="K24" s="135" t="s">
        <v>1156</v>
      </c>
      <c r="L24" s="137"/>
      <c r="M24" s="135" t="s">
        <v>1307</v>
      </c>
      <c r="N24" s="137"/>
      <c r="O24" s="135" t="s">
        <v>1307</v>
      </c>
      <c r="P24" s="137"/>
      <c r="Q24" s="137" t="s">
        <v>1361</v>
      </c>
      <c r="R24" s="137"/>
      <c r="S24" s="2337"/>
      <c r="T24" s="137"/>
      <c r="U24" s="137"/>
    </row>
    <row r="25" spans="1:21" s="132" customFormat="1" ht="15" customHeight="1" x14ac:dyDescent="0.2">
      <c r="A25" s="2906" t="s">
        <v>1362</v>
      </c>
      <c r="B25" s="2906"/>
      <c r="C25" s="2906"/>
      <c r="D25" s="2906"/>
      <c r="E25" s="2906"/>
      <c r="G25" s="276"/>
      <c r="I25" s="276"/>
      <c r="K25" s="276"/>
      <c r="M25" s="974"/>
      <c r="O25" s="975"/>
      <c r="Q25" s="959"/>
      <c r="R25" s="954" t="s">
        <v>1363</v>
      </c>
      <c r="S25" s="2336" t="s">
        <v>4112</v>
      </c>
    </row>
    <row r="26" spans="1:21" s="132" customFormat="1" ht="14.1" customHeight="1" x14ac:dyDescent="0.2">
      <c r="A26" s="2906" t="s">
        <v>1362</v>
      </c>
      <c r="B26" s="2906"/>
      <c r="C26" s="2906"/>
      <c r="D26" s="2906"/>
      <c r="E26" s="2906"/>
      <c r="G26" s="276"/>
      <c r="I26" s="276"/>
      <c r="K26" s="276"/>
      <c r="M26" s="975"/>
      <c r="O26" s="975"/>
      <c r="Q26" s="960"/>
      <c r="R26" s="954" t="s">
        <v>1364</v>
      </c>
      <c r="S26" s="2336" t="s">
        <v>4112</v>
      </c>
    </row>
    <row r="27" spans="1:21" s="132" customFormat="1" ht="14.1" customHeight="1" x14ac:dyDescent="0.2">
      <c r="A27" s="2906" t="s">
        <v>1362</v>
      </c>
      <c r="B27" s="2906"/>
      <c r="C27" s="2906"/>
      <c r="D27" s="2906"/>
      <c r="E27" s="2906"/>
      <c r="G27" s="276"/>
      <c r="I27" s="276"/>
      <c r="K27" s="276"/>
      <c r="M27" s="975"/>
      <c r="O27" s="975"/>
      <c r="Q27" s="960"/>
      <c r="R27" s="954" t="s">
        <v>1365</v>
      </c>
      <c r="S27" s="2336" t="s">
        <v>4112</v>
      </c>
    </row>
    <row r="28" spans="1:21" s="132" customFormat="1" ht="14.1" customHeight="1" x14ac:dyDescent="0.2">
      <c r="A28" s="2906" t="s">
        <v>1362</v>
      </c>
      <c r="B28" s="2906"/>
      <c r="C28" s="2906"/>
      <c r="D28" s="2906"/>
      <c r="E28" s="2906"/>
      <c r="G28" s="276"/>
      <c r="I28" s="276"/>
      <c r="K28" s="276"/>
      <c r="M28" s="975"/>
      <c r="O28" s="975"/>
      <c r="Q28" s="960"/>
      <c r="R28" s="954" t="s">
        <v>1366</v>
      </c>
      <c r="S28" s="2336" t="s">
        <v>4112</v>
      </c>
    </row>
    <row r="29" spans="1:21" s="132" customFormat="1" ht="14.1" customHeight="1" x14ac:dyDescent="0.2">
      <c r="A29" s="2906" t="s">
        <v>1362</v>
      </c>
      <c r="B29" s="2906"/>
      <c r="C29" s="2906"/>
      <c r="D29" s="2906"/>
      <c r="E29" s="2906"/>
      <c r="G29" s="276"/>
      <c r="I29" s="276"/>
      <c r="K29" s="276"/>
      <c r="M29" s="975"/>
      <c r="O29" s="975"/>
      <c r="Q29" s="960"/>
      <c r="R29" s="954" t="s">
        <v>1367</v>
      </c>
      <c r="S29" s="2336" t="s">
        <v>4112</v>
      </c>
    </row>
    <row r="30" spans="1:21" s="132" customFormat="1" ht="14.1" customHeight="1" thickBot="1" x14ac:dyDescent="0.25">
      <c r="A30" s="1722" t="s">
        <v>635</v>
      </c>
      <c r="B30" s="273"/>
      <c r="C30" s="2920"/>
      <c r="D30" s="2920"/>
      <c r="E30" s="2920"/>
      <c r="G30" s="276"/>
      <c r="I30" s="752"/>
      <c r="K30" s="276"/>
      <c r="M30" s="975"/>
      <c r="O30" s="975"/>
      <c r="Q30" s="960"/>
      <c r="R30" s="954" t="s">
        <v>1368</v>
      </c>
      <c r="S30" s="2336" t="s">
        <v>4112</v>
      </c>
    </row>
    <row r="31" spans="1:21" s="132" customFormat="1" ht="14.1" customHeight="1" thickBot="1" x14ac:dyDescent="0.25">
      <c r="A31" s="1722"/>
      <c r="B31" s="273" t="s">
        <v>84</v>
      </c>
      <c r="C31" s="273"/>
      <c r="D31" s="1618"/>
      <c r="E31" s="1618"/>
      <c r="G31" s="489"/>
      <c r="I31" s="1621">
        <f>SUM(I25:I30)</f>
        <v>0</v>
      </c>
      <c r="K31" s="749"/>
      <c r="M31" s="1619"/>
      <c r="O31" s="1619"/>
      <c r="Q31" s="1620"/>
      <c r="R31" s="954"/>
      <c r="S31" s="2336"/>
    </row>
    <row r="32" spans="1:21" s="132" customFormat="1" ht="8.1" customHeight="1" thickTop="1" x14ac:dyDescent="0.2">
      <c r="A32" s="822"/>
      <c r="S32" s="2336"/>
    </row>
    <row r="33" spans="1:21" ht="12.75" x14ac:dyDescent="0.2">
      <c r="A33" s="957" t="s">
        <v>1369</v>
      </c>
      <c r="B33" s="973"/>
      <c r="C33" s="973"/>
      <c r="D33" s="973"/>
      <c r="E33" s="973"/>
      <c r="F33"/>
      <c r="G33" s="94" t="s">
        <v>1370</v>
      </c>
      <c r="H33"/>
      <c r="I33" s="94"/>
      <c r="J33"/>
      <c r="K33"/>
      <c r="L33"/>
      <c r="M33"/>
      <c r="N33"/>
      <c r="O33"/>
      <c r="P33"/>
      <c r="Q33"/>
    </row>
    <row r="34" spans="1:21" ht="12.75" x14ac:dyDescent="0.2">
      <c r="A34" s="2914" t="s">
        <v>1371</v>
      </c>
      <c r="B34" s="2914"/>
      <c r="C34" s="2914"/>
      <c r="D34" s="2914"/>
      <c r="E34" s="2914"/>
      <c r="F34"/>
      <c r="G34" s="1147" t="s">
        <v>1739</v>
      </c>
      <c r="H34"/>
      <c r="I34" s="94"/>
      <c r="J34"/>
      <c r="K34"/>
      <c r="L34"/>
      <c r="M34"/>
      <c r="N34"/>
      <c r="O34"/>
      <c r="P34"/>
      <c r="Q34"/>
    </row>
    <row r="35" spans="1:21" ht="15" customHeight="1" x14ac:dyDescent="0.2">
      <c r="A35" s="822" t="s">
        <v>1372</v>
      </c>
      <c r="B35" s="826"/>
      <c r="D35" s="822"/>
      <c r="F35" s="822"/>
      <c r="G35" s="961"/>
      <c r="H35" s="822"/>
      <c r="I35" s="956"/>
      <c r="J35" s="822"/>
      <c r="K35" s="822"/>
      <c r="L35" s="132"/>
      <c r="M35" s="132"/>
      <c r="N35" s="132"/>
      <c r="O35" s="132"/>
      <c r="P35" s="132"/>
      <c r="Q35" s="132"/>
    </row>
    <row r="36" spans="1:21" ht="13.35" customHeight="1" x14ac:dyDescent="0.2">
      <c r="A36" s="957" t="s">
        <v>1373</v>
      </c>
      <c r="D36" s="825"/>
      <c r="F36" s="822"/>
      <c r="G36" s="826"/>
      <c r="H36" s="822"/>
      <c r="I36" s="822"/>
      <c r="J36" s="822"/>
      <c r="K36" s="822"/>
      <c r="L36" s="132"/>
      <c r="M36" s="132"/>
      <c r="N36" s="132"/>
      <c r="O36" s="132"/>
      <c r="P36" s="132"/>
      <c r="Q36" s="132"/>
    </row>
    <row r="37" spans="1:21" ht="12.6" customHeight="1" x14ac:dyDescent="0.2">
      <c r="A37" s="827" t="s">
        <v>1374</v>
      </c>
      <c r="B37" s="826"/>
      <c r="C37" s="958"/>
      <c r="D37" s="822"/>
      <c r="F37" s="822"/>
      <c r="G37" s="961"/>
      <c r="H37" s="822"/>
      <c r="I37" s="956"/>
      <c r="J37" s="822"/>
      <c r="K37" s="822"/>
      <c r="L37" s="132"/>
      <c r="M37" s="132"/>
      <c r="N37" s="132"/>
      <c r="O37" s="132"/>
      <c r="P37" s="132"/>
      <c r="Q37" s="132"/>
    </row>
    <row r="38" spans="1:21" ht="12.6" customHeight="1" x14ac:dyDescent="0.2">
      <c r="A38" s="827" t="s">
        <v>1375</v>
      </c>
      <c r="B38" s="826"/>
      <c r="C38" s="958"/>
      <c r="D38" s="825"/>
      <c r="F38" s="822"/>
      <c r="G38" s="962"/>
      <c r="H38" s="822"/>
      <c r="I38" s="956"/>
      <c r="J38" s="822"/>
      <c r="K38" s="822"/>
      <c r="L38" s="132"/>
      <c r="M38" s="132"/>
      <c r="N38" s="132"/>
      <c r="O38" s="132"/>
      <c r="P38" s="132"/>
      <c r="Q38" s="132"/>
    </row>
    <row r="39" spans="1:21" ht="12.6" customHeight="1" x14ac:dyDescent="0.2">
      <c r="A39" s="827" t="s">
        <v>1376</v>
      </c>
      <c r="B39" s="825"/>
      <c r="D39" s="822"/>
      <c r="F39" s="822"/>
      <c r="G39" s="962"/>
      <c r="H39" s="822"/>
      <c r="I39" s="956"/>
      <c r="J39" s="822"/>
      <c r="K39" s="822"/>
      <c r="L39" s="132"/>
      <c r="M39" s="132"/>
      <c r="N39" s="132"/>
      <c r="O39" s="132"/>
      <c r="P39" s="132"/>
      <c r="Q39" s="132"/>
    </row>
    <row r="40" spans="1:21" ht="12" customHeight="1" x14ac:dyDescent="0.2">
      <c r="A40" s="132"/>
      <c r="B40" s="132"/>
      <c r="C40" s="132"/>
      <c r="D40" s="132"/>
      <c r="E40" s="132"/>
      <c r="F40" s="132"/>
      <c r="G40" s="132"/>
      <c r="H40" s="132"/>
      <c r="I40" s="132"/>
      <c r="J40" s="132"/>
      <c r="K40" s="132"/>
      <c r="L40" s="132"/>
      <c r="M40" s="132"/>
      <c r="N40" s="132"/>
      <c r="O40" s="132"/>
      <c r="P40" s="132"/>
      <c r="Q40" s="132"/>
    </row>
    <row r="41" spans="1:21" ht="11.85" customHeight="1" x14ac:dyDescent="0.2">
      <c r="A41" s="2918" t="s">
        <v>5400</v>
      </c>
      <c r="B41" s="2696"/>
      <c r="C41" s="2696"/>
      <c r="D41" s="2696"/>
      <c r="E41" s="2696"/>
      <c r="F41" s="2696"/>
      <c r="G41" s="2696"/>
      <c r="H41" s="2696"/>
      <c r="I41" s="2696"/>
      <c r="J41" s="2696"/>
      <c r="K41" s="2696"/>
      <c r="L41" s="2696"/>
      <c r="M41" s="2696"/>
      <c r="N41" s="2696"/>
      <c r="O41" s="2696"/>
      <c r="P41" s="2696"/>
      <c r="Q41" s="2696"/>
      <c r="R41" s="2696"/>
      <c r="S41" s="2339"/>
      <c r="T41" s="971"/>
      <c r="U41" s="971"/>
    </row>
    <row r="42" spans="1:21" ht="11.85" customHeight="1" x14ac:dyDescent="0.2">
      <c r="A42" s="2918" t="s">
        <v>4088</v>
      </c>
      <c r="B42" s="2696"/>
      <c r="C42" s="2696"/>
      <c r="D42" s="2696"/>
      <c r="E42" s="2696"/>
      <c r="F42" s="2696"/>
      <c r="G42" s="2696"/>
      <c r="H42" s="2696"/>
      <c r="I42" s="2696"/>
      <c r="J42" s="2696"/>
      <c r="K42" s="2696"/>
      <c r="L42" s="2696"/>
      <c r="M42" s="2696"/>
      <c r="N42" s="2696"/>
      <c r="O42" s="2696"/>
      <c r="P42" s="2696"/>
      <c r="Q42" s="2696"/>
      <c r="R42" s="2696"/>
      <c r="S42" s="2339"/>
      <c r="T42" s="971"/>
      <c r="U42" s="971"/>
    </row>
    <row r="43" spans="1:21" ht="11.85" customHeight="1" x14ac:dyDescent="0.2">
      <c r="A43" s="2919" t="s">
        <v>4161</v>
      </c>
      <c r="B43" s="2766"/>
      <c r="C43" s="2766"/>
      <c r="D43" s="2766"/>
      <c r="E43" s="2766"/>
      <c r="F43" s="2766"/>
      <c r="G43" s="2766"/>
      <c r="H43" s="2766"/>
      <c r="I43" s="2766"/>
      <c r="J43" s="2766"/>
      <c r="K43" s="2766"/>
      <c r="L43" s="2766"/>
      <c r="M43" s="2766"/>
      <c r="N43" s="2766"/>
      <c r="O43" s="2766"/>
      <c r="P43" s="2766"/>
      <c r="Q43" s="2766"/>
      <c r="R43" s="2766"/>
      <c r="S43" s="2339"/>
      <c r="T43" s="971"/>
      <c r="U43" s="971"/>
    </row>
    <row r="44" spans="1:21" ht="2.1" customHeight="1" x14ac:dyDescent="0.2"/>
  </sheetData>
  <sheetProtection algorithmName="SHA-512" hashValue="NPE/aWAaSt+792YFDbUlrH+XmJrUtEGLAgbokr3pLXNfZS6UCzd4KzTjz7XkssPycXV58xokXQZP/xdSEiSq2Q==" saltValue="UQkaUVrUdSduSkwugaGxyw==" spinCount="100000" sheet="1" objects="1" scenarios="1" autoFilter="0"/>
  <customSheetViews>
    <customSheetView guid="{B08879A4-635B-4C39-9937-AC7883D562FC}" showGridLines="0">
      <selection activeCell="L5" sqref="L5:Q5"/>
      <pageMargins left="0.5" right="0.5" top="0.5" bottom="0.4" header="0.5" footer="0.25"/>
      <pageSetup orientation="landscape" r:id="rId1"/>
      <headerFooter alignWithMargins="0">
        <oddFooter>&amp;R&amp;A</oddFooter>
      </headerFooter>
    </customSheetView>
    <customSheetView guid="{9FCFC836-1CA5-48BF-958D-24D2EA94B219}" showGridLines="0">
      <selection activeCell="L5" sqref="L5:Q5"/>
      <pageMargins left="0.5" right="0.5" top="0.5" bottom="0.4" header="0.5" footer="0.25"/>
      <pageSetup orientation="landscape" r:id="rId2"/>
      <headerFooter alignWithMargins="0">
        <oddFooter>&amp;R&amp;A</oddFooter>
      </headerFooter>
    </customSheetView>
  </customSheetViews>
  <mergeCells count="45">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 ref="A24:E24"/>
    <mergeCell ref="W12:Y12"/>
    <mergeCell ref="M11:N11"/>
    <mergeCell ref="M12:N12"/>
    <mergeCell ref="M13:N13"/>
    <mergeCell ref="M14:N14"/>
    <mergeCell ref="L6:Q6"/>
    <mergeCell ref="D7:E7"/>
    <mergeCell ref="L7:Q7"/>
    <mergeCell ref="L8:Q8"/>
    <mergeCell ref="A13:E13"/>
    <mergeCell ref="A12:E12"/>
    <mergeCell ref="A1:Q1"/>
    <mergeCell ref="R1:R3"/>
    <mergeCell ref="A2:Q2"/>
    <mergeCell ref="A3:Q3"/>
    <mergeCell ref="L5:Q5"/>
    <mergeCell ref="S23:U23"/>
    <mergeCell ref="A14:E14"/>
    <mergeCell ref="A15:E15"/>
    <mergeCell ref="C20:E20"/>
    <mergeCell ref="C21:E21"/>
    <mergeCell ref="A21:B21"/>
    <mergeCell ref="A19:E19"/>
    <mergeCell ref="M15:N15"/>
    <mergeCell ref="M16:N16"/>
    <mergeCell ref="A16:E16"/>
    <mergeCell ref="A18:E18"/>
    <mergeCell ref="M17:N17"/>
    <mergeCell ref="M19:N19"/>
  </mergeCells>
  <conditionalFormatting sqref="R1:R3">
    <cfRule type="cellIs" dxfId="129" priority="1" stopIfTrue="1" operator="equal">
      <formula>"na"</formula>
    </cfRule>
  </conditionalFormatting>
  <hyperlinks>
    <hyperlink ref="A1:Q1" location="Index!A1" display="Index!A1" xr:uid="{00000000-0004-0000-1400-000000000000}"/>
  </hyperlinks>
  <pageMargins left="0.5" right="0.5" top="0.5" bottom="0.4" header="0.5" footer="0.25"/>
  <pageSetup scale="89" orientation="landscape" r:id="rId3"/>
  <headerFooter alignWithMargins="0">
    <oddFooter>&amp;R&amp;A</oddFooter>
  </headerFooter>
  <ignoredErrors>
    <ignoredError sqref="O13" numberStoredAsText="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A1:AE41"/>
  <sheetViews>
    <sheetView showGridLines="0" zoomScaleNormal="100" workbookViewId="0">
      <selection activeCell="A29" sqref="A29:R29"/>
    </sheetView>
  </sheetViews>
  <sheetFormatPr defaultColWidth="9.42578125" defaultRowHeight="11.25" x14ac:dyDescent="0.2"/>
  <cols>
    <col min="1" max="1" width="3" style="40" customWidth="1"/>
    <col min="2" max="2" width="2.5703125" style="40" customWidth="1"/>
    <col min="3" max="3" width="9.42578125" style="40" customWidth="1"/>
    <col min="4" max="4" width="1.5703125" style="40" customWidth="1"/>
    <col min="5" max="5" width="13.42578125" style="40" customWidth="1"/>
    <col min="6" max="6" width="1.42578125" style="40" customWidth="1"/>
    <col min="7" max="7" width="24" style="40" customWidth="1"/>
    <col min="8" max="8" width="1.42578125" style="40" customWidth="1"/>
    <col min="9" max="9" width="14.5703125" style="40" customWidth="1"/>
    <col min="10" max="10" width="1.42578125" style="40" customWidth="1"/>
    <col min="11" max="11" width="16.5703125" style="40" customWidth="1"/>
    <col min="12" max="12" width="1.42578125" style="40" customWidth="1"/>
    <col min="13" max="13" width="14.5703125" style="40" customWidth="1"/>
    <col min="14" max="14" width="1.42578125" style="40" customWidth="1"/>
    <col min="15" max="15" width="9.5703125" style="40" customWidth="1"/>
    <col min="16" max="16" width="1.42578125" style="40" customWidth="1"/>
    <col min="17" max="17" width="9.5703125" style="40" customWidth="1"/>
    <col min="18" max="18" width="4.5703125" style="40" customWidth="1"/>
    <col min="19" max="19" width="8.5703125" style="40" customWidth="1"/>
    <col min="20" max="20" width="1.5703125" style="40" customWidth="1"/>
    <col min="21" max="21" width="8.5703125" style="40" customWidth="1"/>
    <col min="22" max="16384" width="9.42578125" style="40"/>
  </cols>
  <sheetData>
    <row r="1" spans="1:31"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829" t="str">
        <f>IF(Index!$B$42="na","NA","")</f>
        <v/>
      </c>
      <c r="AE1" s="42"/>
    </row>
    <row r="2" spans="1:31" s="41" customFormat="1" ht="15" customHeight="1" x14ac:dyDescent="0.25">
      <c r="A2" s="2808" t="str">
        <f>+Index!$A$2</f>
        <v>2022 ACFR Worksheets</v>
      </c>
      <c r="B2" s="2808"/>
      <c r="C2" s="2808"/>
      <c r="D2" s="2808"/>
      <c r="E2" s="2808"/>
      <c r="F2" s="2808"/>
      <c r="G2" s="2808"/>
      <c r="H2" s="2808"/>
      <c r="I2" s="2808"/>
      <c r="J2" s="2808"/>
      <c r="K2" s="2808"/>
      <c r="L2" s="2808"/>
      <c r="M2" s="2808"/>
      <c r="N2" s="2808"/>
      <c r="O2" s="2808"/>
      <c r="P2" s="2808"/>
      <c r="Q2" s="2808"/>
      <c r="R2" s="2829"/>
    </row>
    <row r="3" spans="1:31" s="41" customFormat="1" ht="15" customHeight="1" x14ac:dyDescent="0.25">
      <c r="A3" s="2808" t="s">
        <v>3709</v>
      </c>
      <c r="B3" s="2808"/>
      <c r="C3" s="2808"/>
      <c r="D3" s="2808"/>
      <c r="E3" s="2808"/>
      <c r="F3" s="2808"/>
      <c r="G3" s="2808"/>
      <c r="H3" s="2808"/>
      <c r="I3" s="2808"/>
      <c r="J3" s="2808"/>
      <c r="K3" s="2808"/>
      <c r="L3" s="2808"/>
      <c r="M3" s="2808"/>
      <c r="N3" s="2808"/>
      <c r="O3" s="2808"/>
      <c r="P3" s="2808"/>
      <c r="Q3" s="2808"/>
      <c r="R3" s="2829"/>
    </row>
    <row r="4" spans="1:31" s="132" customFormat="1" ht="15" customHeight="1" x14ac:dyDescent="0.2">
      <c r="H4" s="137"/>
    </row>
    <row r="5" spans="1:31" s="132" customFormat="1" ht="15" customHeight="1" x14ac:dyDescent="0.2">
      <c r="D5" s="137"/>
      <c r="J5" s="950"/>
      <c r="K5" s="134" t="s">
        <v>327</v>
      </c>
      <c r="L5" s="2910" t="str">
        <f>Index!E10</f>
        <v>01</v>
      </c>
      <c r="M5" s="2867"/>
      <c r="N5" s="2867"/>
      <c r="O5" s="2867"/>
      <c r="P5" s="2867"/>
      <c r="Q5" s="2867"/>
      <c r="R5" s="890"/>
    </row>
    <row r="6" spans="1:31" s="132" customFormat="1" ht="15" customHeight="1" x14ac:dyDescent="0.2">
      <c r="J6" s="950"/>
      <c r="K6" s="134" t="s">
        <v>1154</v>
      </c>
      <c r="L6" s="2910" t="str">
        <f>Index!E11</f>
        <v>North Carolina General Assembly</v>
      </c>
      <c r="M6" s="2867"/>
      <c r="N6" s="2867"/>
      <c r="O6" s="2867"/>
      <c r="P6" s="2867"/>
      <c r="Q6" s="2867"/>
      <c r="R6" s="890"/>
    </row>
    <row r="7" spans="1:31" s="132" customFormat="1" ht="15" customHeight="1" x14ac:dyDescent="0.2">
      <c r="A7" s="132" t="s">
        <v>477</v>
      </c>
      <c r="D7" s="2881" t="s">
        <v>805</v>
      </c>
      <c r="E7" s="2882"/>
      <c r="J7" s="951"/>
      <c r="K7" s="134" t="s">
        <v>972</v>
      </c>
      <c r="L7" s="2911" t="str">
        <f>CONCATENATE(Index!$E$12, " ", Index!$E$14)</f>
        <v xml:space="preserve"> </v>
      </c>
      <c r="M7" s="2912"/>
      <c r="N7" s="2912"/>
      <c r="O7" s="2912"/>
      <c r="P7" s="2912"/>
      <c r="Q7" s="2912"/>
      <c r="R7" s="891"/>
    </row>
    <row r="8" spans="1:31" s="132" customFormat="1" ht="15" customHeight="1" x14ac:dyDescent="0.2">
      <c r="D8" s="137"/>
      <c r="J8" s="952"/>
      <c r="K8" s="134" t="s">
        <v>348</v>
      </c>
      <c r="L8" s="2913">
        <f>Index!E13</f>
        <v>0</v>
      </c>
      <c r="M8" s="2912"/>
      <c r="N8" s="2912"/>
      <c r="O8" s="2912"/>
      <c r="P8" s="2912"/>
      <c r="Q8" s="2912"/>
      <c r="R8" s="892"/>
    </row>
    <row r="9" spans="1:31" s="132" customFormat="1" ht="6" customHeight="1" thickBot="1" x14ac:dyDescent="0.25">
      <c r="A9" s="136"/>
      <c r="B9" s="136"/>
      <c r="C9" s="136"/>
      <c r="D9" s="136"/>
      <c r="E9" s="136"/>
      <c r="F9" s="136"/>
      <c r="G9" s="136"/>
      <c r="H9" s="136"/>
      <c r="I9" s="136"/>
      <c r="J9" s="136"/>
      <c r="K9" s="136"/>
      <c r="L9" s="136"/>
      <c r="M9" s="136"/>
      <c r="N9" s="136"/>
      <c r="O9" s="136"/>
      <c r="P9" s="136"/>
      <c r="Q9" s="136"/>
    </row>
    <row r="10" spans="1:31" s="132" customFormat="1" ht="12" customHeight="1" x14ac:dyDescent="0.2">
      <c r="A10" s="834"/>
      <c r="B10"/>
      <c r="C10"/>
      <c r="D10"/>
      <c r="E10"/>
      <c r="F10"/>
      <c r="G10"/>
      <c r="H10"/>
      <c r="I10"/>
      <c r="J10"/>
      <c r="K10"/>
      <c r="L10"/>
      <c r="M10"/>
      <c r="N10"/>
      <c r="O10"/>
      <c r="P10"/>
      <c r="Q10"/>
    </row>
    <row r="11" spans="1:31" s="132" customFormat="1" ht="14.1" customHeight="1" x14ac:dyDescent="0.2">
      <c r="A11" s="2926"/>
      <c r="B11" s="2926"/>
      <c r="C11" s="2926"/>
      <c r="D11" s="2926"/>
      <c r="E11" s="2926"/>
      <c r="O11" s="2898" t="s">
        <v>1206</v>
      </c>
      <c r="P11" s="2898"/>
      <c r="Q11" s="2898"/>
      <c r="S11" s="137"/>
      <c r="T11" s="137"/>
      <c r="U11" s="137"/>
    </row>
    <row r="12" spans="1:31" s="132" customFormat="1" ht="14.1" customHeight="1" x14ac:dyDescent="0.2">
      <c r="A12" s="2926"/>
      <c r="B12" s="2926"/>
      <c r="C12" s="2926"/>
      <c r="D12" s="2926"/>
      <c r="E12" s="2926"/>
      <c r="G12" s="137" t="s">
        <v>1377</v>
      </c>
      <c r="H12" s="137"/>
      <c r="I12" s="137" t="s">
        <v>1378</v>
      </c>
      <c r="J12" s="137"/>
      <c r="K12" s="137" t="s">
        <v>1206</v>
      </c>
      <c r="L12" s="137"/>
      <c r="M12" s="137" t="s">
        <v>1379</v>
      </c>
      <c r="N12" s="137"/>
      <c r="O12" s="2881" t="s">
        <v>1380</v>
      </c>
      <c r="P12" s="2881"/>
      <c r="Q12" s="2881"/>
      <c r="R12" s="137"/>
      <c r="S12" s="2898"/>
      <c r="T12" s="2898"/>
      <c r="U12" s="2898"/>
    </row>
    <row r="13" spans="1:31" s="132" customFormat="1" ht="14.1" customHeight="1" x14ac:dyDescent="0.2">
      <c r="A13" s="2924" t="s">
        <v>1357</v>
      </c>
      <c r="B13" s="2924"/>
      <c r="C13" s="2924"/>
      <c r="D13" s="2924"/>
      <c r="E13" s="2924"/>
      <c r="G13" s="135" t="s">
        <v>1381</v>
      </c>
      <c r="H13" s="137"/>
      <c r="I13" s="953" t="s">
        <v>1382</v>
      </c>
      <c r="J13" s="137"/>
      <c r="K13" s="135" t="s">
        <v>1097</v>
      </c>
      <c r="L13" s="137"/>
      <c r="M13" s="135" t="s">
        <v>1383</v>
      </c>
      <c r="N13" s="137"/>
      <c r="O13" s="135" t="s">
        <v>1384</v>
      </c>
      <c r="P13" s="137"/>
      <c r="Q13" s="135" t="s">
        <v>264</v>
      </c>
      <c r="R13" s="137"/>
      <c r="S13" s="137"/>
      <c r="T13" s="137"/>
      <c r="U13" s="137"/>
    </row>
    <row r="14" spans="1:31" s="132" customFormat="1" ht="16.350000000000001" customHeight="1" x14ac:dyDescent="0.25">
      <c r="A14" s="2925" t="s">
        <v>1362</v>
      </c>
      <c r="B14" s="2925"/>
      <c r="C14" s="2925"/>
      <c r="D14" s="2925"/>
      <c r="E14" s="2925"/>
      <c r="G14" s="963"/>
      <c r="I14" s="276">
        <v>0</v>
      </c>
      <c r="K14" s="963"/>
      <c r="M14" s="276"/>
      <c r="O14" s="977"/>
      <c r="Q14" s="959"/>
      <c r="R14" s="954"/>
    </row>
    <row r="15" spans="1:31" s="132" customFormat="1" ht="14.85" customHeight="1" x14ac:dyDescent="0.25">
      <c r="A15" s="2925" t="s">
        <v>1362</v>
      </c>
      <c r="B15" s="2925"/>
      <c r="C15" s="2925"/>
      <c r="D15" s="2925"/>
      <c r="E15" s="2925"/>
      <c r="G15" s="963"/>
      <c r="I15" s="276">
        <v>0</v>
      </c>
      <c r="K15" s="963"/>
      <c r="M15" s="276">
        <v>0</v>
      </c>
      <c r="O15" s="977"/>
      <c r="Q15" s="960"/>
      <c r="R15" s="954"/>
    </row>
    <row r="16" spans="1:31" s="132" customFormat="1" ht="14.85" customHeight="1" x14ac:dyDescent="0.25">
      <c r="A16" s="2925" t="s">
        <v>1362</v>
      </c>
      <c r="B16" s="2925"/>
      <c r="C16" s="2925"/>
      <c r="D16" s="2925"/>
      <c r="E16" s="2925"/>
      <c r="G16" s="963"/>
      <c r="I16" s="276">
        <v>0</v>
      </c>
      <c r="K16" s="963"/>
      <c r="M16" s="276">
        <v>0</v>
      </c>
      <c r="O16" s="977"/>
      <c r="Q16" s="960"/>
      <c r="R16" s="954"/>
    </row>
    <row r="17" spans="1:21" s="132" customFormat="1" ht="14.85" customHeight="1" x14ac:dyDescent="0.25">
      <c r="A17" s="2925" t="s">
        <v>1362</v>
      </c>
      <c r="B17" s="2925"/>
      <c r="C17" s="2925"/>
      <c r="D17" s="2925"/>
      <c r="E17" s="2925"/>
      <c r="G17" s="963"/>
      <c r="I17" s="276">
        <v>0</v>
      </c>
      <c r="K17" s="963"/>
      <c r="M17" s="276"/>
      <c r="O17" s="977"/>
      <c r="Q17" s="960"/>
      <c r="R17" s="954"/>
    </row>
    <row r="18" spans="1:21" s="132" customFormat="1" ht="14.85" customHeight="1" x14ac:dyDescent="0.25">
      <c r="A18" s="2925" t="s">
        <v>1362</v>
      </c>
      <c r="B18" s="2925"/>
      <c r="C18" s="2925"/>
      <c r="D18" s="2925"/>
      <c r="E18" s="2925"/>
      <c r="G18" s="963"/>
      <c r="I18" s="276">
        <v>0</v>
      </c>
      <c r="K18" s="963"/>
      <c r="M18" s="276"/>
      <c r="O18" s="977"/>
      <c r="Q18" s="960"/>
      <c r="R18" s="954"/>
    </row>
    <row r="19" spans="1:21" s="132" customFormat="1" ht="14.85" customHeight="1" x14ac:dyDescent="0.25">
      <c r="A19" s="955" t="s">
        <v>635</v>
      </c>
      <c r="C19" s="2902"/>
      <c r="D19" s="2902"/>
      <c r="E19" s="2902"/>
      <c r="G19" s="963"/>
      <c r="I19" s="276">
        <v>0</v>
      </c>
      <c r="K19" s="963"/>
      <c r="M19" s="276"/>
      <c r="O19" s="977"/>
      <c r="Q19" s="960"/>
      <c r="R19" s="954"/>
    </row>
    <row r="20" spans="1:21" s="132" customFormat="1" ht="14.85" customHeight="1" x14ac:dyDescent="0.25">
      <c r="A20" s="955" t="s">
        <v>635</v>
      </c>
      <c r="C20" s="2903"/>
      <c r="D20" s="2903"/>
      <c r="E20" s="2903"/>
      <c r="G20" s="963"/>
      <c r="I20" s="276">
        <v>0</v>
      </c>
      <c r="K20" s="964"/>
      <c r="M20" s="276"/>
      <c r="O20" s="977"/>
      <c r="Q20" s="960"/>
      <c r="R20" s="954"/>
    </row>
    <row r="21" spans="1:21" s="132" customFormat="1" ht="4.3499999999999996" customHeight="1" x14ac:dyDescent="0.25">
      <c r="A21" s="955"/>
      <c r="C21" s="965"/>
      <c r="D21" s="965"/>
      <c r="E21" s="965"/>
      <c r="G21" s="966"/>
      <c r="I21" s="749"/>
      <c r="K21" s="967"/>
      <c r="M21" s="749"/>
      <c r="O21" s="968"/>
      <c r="Q21" s="969"/>
      <c r="R21" s="954"/>
    </row>
    <row r="22" spans="1:21" s="132" customFormat="1" ht="14.85" customHeight="1" x14ac:dyDescent="0.25">
      <c r="A22" s="2810" t="s">
        <v>1385</v>
      </c>
      <c r="B22" s="2696"/>
      <c r="C22" s="2696"/>
      <c r="D22" s="2696"/>
      <c r="E22" s="2696"/>
      <c r="F22" s="2696"/>
      <c r="G22" s="2696"/>
      <c r="I22" s="970">
        <f>-SUM(M14:M20)</f>
        <v>0</v>
      </c>
      <c r="K22" s="967"/>
      <c r="M22" s="749"/>
      <c r="O22" s="968"/>
      <c r="Q22" s="969"/>
      <c r="R22" s="954"/>
    </row>
    <row r="23" spans="1:21" ht="14.85" customHeight="1" x14ac:dyDescent="0.25">
      <c r="A23" s="2810" t="s">
        <v>1386</v>
      </c>
      <c r="B23" s="2696"/>
      <c r="C23" s="2696"/>
      <c r="D23" s="2696"/>
      <c r="E23" s="2696"/>
      <c r="F23" s="2696"/>
      <c r="G23" s="2696"/>
      <c r="H23" s="132"/>
      <c r="I23" s="729"/>
      <c r="J23" s="132"/>
      <c r="K23" s="978"/>
      <c r="L23" s="132"/>
      <c r="M23" s="132"/>
      <c r="N23" s="132"/>
      <c r="O23" s="132"/>
      <c r="P23" s="132"/>
      <c r="Q23" s="132"/>
    </row>
    <row r="24" spans="1:21" ht="14.85" customHeight="1" x14ac:dyDescent="0.25">
      <c r="A24" s="2810" t="s">
        <v>1386</v>
      </c>
      <c r="B24" s="2696"/>
      <c r="C24" s="2696"/>
      <c r="D24" s="2696"/>
      <c r="E24" s="2696"/>
      <c r="F24" s="2696"/>
      <c r="G24" s="2696"/>
      <c r="H24" s="132"/>
      <c r="I24" s="729"/>
      <c r="J24" s="132"/>
      <c r="K24" s="979"/>
      <c r="L24" s="132"/>
      <c r="M24" s="132"/>
      <c r="N24" s="132"/>
      <c r="O24" s="132"/>
      <c r="P24" s="132"/>
      <c r="Q24" s="132"/>
    </row>
    <row r="25" spans="1:21" ht="14.85" customHeight="1" x14ac:dyDescent="0.25">
      <c r="A25" s="2810" t="s">
        <v>1386</v>
      </c>
      <c r="B25" s="2696"/>
      <c r="C25" s="2696"/>
      <c r="D25" s="2696"/>
      <c r="E25" s="2696"/>
      <c r="F25" s="2696"/>
      <c r="G25" s="2696"/>
      <c r="H25" s="132"/>
      <c r="I25" s="729"/>
      <c r="J25" s="132"/>
      <c r="K25" s="979"/>
      <c r="L25" s="132"/>
      <c r="M25" s="132"/>
      <c r="N25" s="132"/>
      <c r="O25" s="132"/>
      <c r="P25" s="132"/>
      <c r="Q25" s="132"/>
    </row>
    <row r="26" spans="1:21" ht="14.85" customHeight="1" x14ac:dyDescent="0.25">
      <c r="A26" s="2810" t="s">
        <v>1386</v>
      </c>
      <c r="B26" s="2696"/>
      <c r="C26" s="2696"/>
      <c r="D26" s="2696"/>
      <c r="E26" s="2696"/>
      <c r="F26" s="2696"/>
      <c r="G26" s="2696"/>
      <c r="H26" s="132"/>
      <c r="I26" s="729"/>
      <c r="J26" s="132"/>
      <c r="K26" s="979"/>
      <c r="L26" s="132"/>
      <c r="M26" s="132"/>
      <c r="N26" s="132"/>
      <c r="O26" s="132"/>
      <c r="P26" s="132"/>
      <c r="Q26" s="132"/>
    </row>
    <row r="27" spans="1:21" ht="15" customHeight="1" thickBot="1" x14ac:dyDescent="0.25">
      <c r="A27" s="2921" t="s">
        <v>1387</v>
      </c>
      <c r="B27" s="2921"/>
      <c r="C27" s="2921"/>
      <c r="D27" s="2921"/>
      <c r="E27" s="2921"/>
      <c r="F27" s="2922"/>
      <c r="G27" s="2922"/>
      <c r="I27" s="673">
        <f>SUM(I14:I26)</f>
        <v>0</v>
      </c>
    </row>
    <row r="28" spans="1:21" ht="12" customHeight="1" thickTop="1" x14ac:dyDescent="0.2"/>
    <row r="29" spans="1:21" ht="12.75" x14ac:dyDescent="0.2">
      <c r="A29" s="2918" t="s">
        <v>5401</v>
      </c>
      <c r="B29" s="2696"/>
      <c r="C29" s="2696"/>
      <c r="D29" s="2696"/>
      <c r="E29" s="2696"/>
      <c r="F29" s="2696"/>
      <c r="G29" s="2696"/>
      <c r="H29" s="2696"/>
      <c r="I29" s="2696"/>
      <c r="J29" s="2696"/>
      <c r="K29" s="2696"/>
      <c r="L29" s="2696"/>
      <c r="M29" s="2696"/>
      <c r="N29" s="2696"/>
      <c r="O29" s="2696"/>
      <c r="P29" s="2696"/>
      <c r="Q29" s="2696"/>
      <c r="R29" s="2696"/>
      <c r="S29" s="971"/>
      <c r="T29" s="971"/>
      <c r="U29" s="971"/>
    </row>
    <row r="30" spans="1:21" ht="12.75" x14ac:dyDescent="0.2">
      <c r="A30" s="2923" t="s">
        <v>1567</v>
      </c>
      <c r="B30" s="2696"/>
      <c r="C30" s="2696"/>
      <c r="D30" s="2696"/>
      <c r="E30" s="2696"/>
      <c r="F30" s="2696"/>
      <c r="G30" s="2696"/>
      <c r="H30" s="2696"/>
      <c r="I30" s="2696"/>
      <c r="J30" s="2696"/>
      <c r="K30" s="2696"/>
      <c r="L30" s="2696"/>
      <c r="M30" s="2696"/>
      <c r="N30" s="2696"/>
      <c r="O30" s="2696"/>
      <c r="P30" s="2696"/>
      <c r="Q30" s="2696"/>
      <c r="R30" s="2696"/>
      <c r="S30" s="971"/>
      <c r="T30" s="971"/>
      <c r="U30" s="971"/>
    </row>
    <row r="31" spans="1:21" ht="12.75" x14ac:dyDescent="0.2">
      <c r="A31" s="2918" t="s">
        <v>4681</v>
      </c>
      <c r="B31" s="2696"/>
      <c r="C31" s="2696"/>
      <c r="D31" s="2696"/>
      <c r="E31" s="2696"/>
      <c r="F31" s="2696"/>
      <c r="G31" s="2696"/>
      <c r="H31" s="2696"/>
      <c r="I31" s="2696"/>
      <c r="J31" s="2696"/>
      <c r="K31" s="2696"/>
      <c r="L31" s="2696"/>
      <c r="M31" s="2696"/>
      <c r="N31" s="2696"/>
      <c r="O31" s="2696"/>
      <c r="P31" s="2696"/>
      <c r="Q31" s="2696"/>
      <c r="R31" s="2696"/>
      <c r="S31" s="971"/>
      <c r="T31" s="971"/>
      <c r="U31" s="971"/>
    </row>
    <row r="32" spans="1:21" ht="10.35" customHeight="1" x14ac:dyDescent="0.2">
      <c r="A32" s="971"/>
      <c r="B32" s="971"/>
      <c r="C32" s="971"/>
      <c r="D32" s="971"/>
      <c r="E32" s="971"/>
      <c r="F32" s="971"/>
      <c r="G32" s="971"/>
      <c r="H32" s="971"/>
      <c r="I32" s="971"/>
      <c r="J32" s="971"/>
      <c r="K32" s="971"/>
      <c r="L32" s="971"/>
      <c r="M32" s="971"/>
      <c r="N32" s="971"/>
      <c r="O32" s="971"/>
      <c r="P32" s="971"/>
      <c r="Q32" s="971"/>
      <c r="R32" s="971"/>
      <c r="S32" s="971"/>
      <c r="T32" s="971"/>
      <c r="U32" s="971"/>
    </row>
    <row r="33" spans="1:17" ht="14.1" customHeight="1" x14ac:dyDescent="0.2"/>
    <row r="34" spans="1:17" ht="12.6" customHeight="1" x14ac:dyDescent="0.2">
      <c r="A34" s="972" t="s">
        <v>350</v>
      </c>
      <c r="B34" s="829" t="s">
        <v>4761</v>
      </c>
      <c r="C34" s="831"/>
      <c r="D34" s="831"/>
      <c r="E34" s="831"/>
      <c r="F34" s="831"/>
      <c r="G34" s="831"/>
      <c r="H34" s="831"/>
      <c r="I34" s="831"/>
      <c r="J34" s="831"/>
      <c r="K34" s="831"/>
      <c r="L34" s="831"/>
      <c r="M34" s="831"/>
      <c r="N34" s="831"/>
      <c r="O34" s="831"/>
      <c r="P34" s="831"/>
      <c r="Q34" s="831"/>
    </row>
    <row r="35" spans="1:17" ht="12.6" customHeight="1" x14ac:dyDescent="0.2">
      <c r="A35" s="972"/>
      <c r="B35" s="829" t="s">
        <v>4682</v>
      </c>
      <c r="C35" s="831"/>
      <c r="D35" s="831"/>
      <c r="E35" s="831"/>
      <c r="F35" s="831"/>
      <c r="G35" s="831"/>
      <c r="H35" s="831"/>
      <c r="I35" s="831"/>
      <c r="J35" s="831"/>
      <c r="K35" s="831"/>
      <c r="L35" s="831"/>
      <c r="M35" s="831"/>
      <c r="N35" s="831"/>
      <c r="O35" s="831"/>
      <c r="P35" s="831"/>
      <c r="Q35" s="831"/>
    </row>
    <row r="36" spans="1:17" ht="6" customHeight="1" x14ac:dyDescent="0.2">
      <c r="A36" s="831"/>
      <c r="B36" s="831"/>
      <c r="C36" s="831"/>
      <c r="D36" s="831"/>
      <c r="E36" s="831"/>
      <c r="F36" s="831"/>
      <c r="G36" s="831"/>
      <c r="H36" s="831"/>
      <c r="I36" s="831"/>
      <c r="J36" s="831"/>
      <c r="K36" s="831"/>
      <c r="L36" s="831"/>
      <c r="M36" s="831"/>
      <c r="N36" s="831"/>
      <c r="O36" s="831"/>
      <c r="P36" s="831"/>
      <c r="Q36" s="831"/>
    </row>
    <row r="37" spans="1:17" ht="12.6" customHeight="1" x14ac:dyDescent="0.2">
      <c r="A37" s="972" t="s">
        <v>1388</v>
      </c>
      <c r="B37" s="829" t="s">
        <v>1389</v>
      </c>
      <c r="C37" s="831"/>
      <c r="D37" s="831"/>
      <c r="E37" s="831"/>
      <c r="F37" s="831"/>
      <c r="G37" s="831"/>
      <c r="H37" s="831"/>
      <c r="I37" s="831"/>
      <c r="J37" s="831"/>
      <c r="K37" s="831"/>
      <c r="L37" s="831"/>
      <c r="M37" s="831"/>
      <c r="N37" s="831"/>
      <c r="O37" s="831"/>
      <c r="P37" s="831"/>
      <c r="Q37" s="831"/>
    </row>
    <row r="38" spans="1:17" ht="12.6" customHeight="1" x14ac:dyDescent="0.2">
      <c r="A38" s="831"/>
      <c r="B38" s="829" t="s">
        <v>4762</v>
      </c>
      <c r="C38" s="831"/>
      <c r="D38" s="831"/>
      <c r="E38" s="831"/>
      <c r="F38" s="831"/>
      <c r="G38" s="831"/>
      <c r="H38" s="831"/>
      <c r="I38" s="831"/>
      <c r="J38" s="831"/>
      <c r="K38" s="831"/>
      <c r="L38" s="831"/>
      <c r="M38" s="831"/>
      <c r="N38" s="831"/>
      <c r="O38" s="831"/>
      <c r="P38" s="831"/>
      <c r="Q38" s="831"/>
    </row>
    <row r="39" spans="1:17" ht="12.6" customHeight="1" x14ac:dyDescent="0.2">
      <c r="A39" s="831"/>
      <c r="B39" s="829" t="s">
        <v>1391</v>
      </c>
      <c r="C39" s="831"/>
      <c r="D39" s="831"/>
      <c r="E39" s="831"/>
      <c r="F39" s="831"/>
      <c r="G39" s="831"/>
      <c r="H39" s="831"/>
      <c r="I39" s="831"/>
      <c r="J39" s="831"/>
      <c r="K39" s="831"/>
      <c r="L39" s="831"/>
      <c r="M39" s="831"/>
      <c r="N39" s="831"/>
      <c r="O39" s="831"/>
      <c r="P39" s="831"/>
      <c r="Q39" s="831"/>
    </row>
    <row r="40" spans="1:17" ht="6" customHeight="1" x14ac:dyDescent="0.2">
      <c r="A40" s="831"/>
      <c r="B40" s="831"/>
      <c r="C40" s="831"/>
      <c r="D40" s="831"/>
      <c r="E40" s="831"/>
      <c r="F40" s="831"/>
      <c r="G40" s="831"/>
      <c r="H40" s="831"/>
      <c r="I40" s="831"/>
      <c r="J40" s="831"/>
      <c r="K40" s="831"/>
      <c r="L40" s="831"/>
      <c r="M40" s="831"/>
      <c r="N40" s="831"/>
      <c r="O40" s="831"/>
      <c r="P40" s="831"/>
      <c r="Q40" s="831"/>
    </row>
    <row r="41" spans="1:17" ht="12.6" customHeight="1" x14ac:dyDescent="0.2">
      <c r="A41" s="972" t="s">
        <v>1392</v>
      </c>
      <c r="B41" s="829" t="s">
        <v>1393</v>
      </c>
      <c r="C41" s="831"/>
      <c r="D41" s="831"/>
      <c r="E41" s="831"/>
      <c r="F41" s="831"/>
      <c r="G41" s="831"/>
      <c r="H41" s="831"/>
      <c r="I41" s="831"/>
      <c r="J41" s="831"/>
      <c r="K41" s="831"/>
      <c r="L41" s="831"/>
      <c r="M41" s="831"/>
      <c r="N41" s="831"/>
      <c r="O41" s="831"/>
      <c r="P41" s="831"/>
      <c r="Q41" s="831"/>
    </row>
  </sheetData>
  <sheetProtection algorithmName="SHA-512" hashValue="fF75oHL/SsrRTe4j7KZGWiVhfUK1N5URUKxXZHfhw9xFuU/bF5mEsu9gik64q4wUKG+MnZZCbzT7BYXY2x5WnQ==" saltValue="CI/GzJcIKk6Y6Flmw9aCHA==" spinCount="100000" sheet="1" objects="1" scenarios="1" autoFilter="0"/>
  <customSheetViews>
    <customSheetView guid="{B08879A4-635B-4C39-9937-AC7883D562FC}" showGridLines="0" fitToPage="1">
      <selection activeCell="D38" sqref="D38"/>
      <pageMargins left="0.45" right="0.4" top="0.5" bottom="0.5" header="0.5" footer="0.25"/>
      <pageSetup orientation="landscape" r:id="rId1"/>
      <headerFooter alignWithMargins="0">
        <oddFooter>&amp;R&amp;A</oddFooter>
      </headerFooter>
    </customSheetView>
    <customSheetView guid="{9FCFC836-1CA5-48BF-958D-24D2EA94B219}" showGridLines="0" fitToPage="1">
      <selection activeCell="D38" sqref="D38"/>
      <pageMargins left="0.45" right="0.4" top="0.5" bottom="0.5" header="0.5" footer="0.25"/>
      <pageSetup orientation="landscape" r:id="rId2"/>
      <headerFooter alignWithMargins="0">
        <oddFooter>&amp;R&amp;A</oddFooter>
      </headerFooter>
    </customSheetView>
  </customSheetViews>
  <mergeCells count="31">
    <mergeCell ref="L6:Q6"/>
    <mergeCell ref="A1:Q1"/>
    <mergeCell ref="R1:R3"/>
    <mergeCell ref="A2:Q2"/>
    <mergeCell ref="A3:Q3"/>
    <mergeCell ref="L5:Q5"/>
    <mergeCell ref="A18:E18"/>
    <mergeCell ref="C19:E19"/>
    <mergeCell ref="C20:E20"/>
    <mergeCell ref="D7:E7"/>
    <mergeCell ref="L7:Q7"/>
    <mergeCell ref="L8:Q8"/>
    <mergeCell ref="A11:E11"/>
    <mergeCell ref="O11:Q11"/>
    <mergeCell ref="A12:E12"/>
    <mergeCell ref="O12:Q12"/>
    <mergeCell ref="A17:E17"/>
    <mergeCell ref="S12:U12"/>
    <mergeCell ref="A13:E13"/>
    <mergeCell ref="A14:E14"/>
    <mergeCell ref="A15:E15"/>
    <mergeCell ref="A16:E16"/>
    <mergeCell ref="A31:R31"/>
    <mergeCell ref="A22:G22"/>
    <mergeCell ref="A23:G23"/>
    <mergeCell ref="A24:G24"/>
    <mergeCell ref="A25:G25"/>
    <mergeCell ref="A26:G26"/>
    <mergeCell ref="A27:G27"/>
    <mergeCell ref="A29:R29"/>
    <mergeCell ref="A30:R30"/>
  </mergeCells>
  <conditionalFormatting sqref="R1:R3">
    <cfRule type="cellIs" dxfId="128"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45" right="0.4" top="0.5" bottom="0.5" header="0.5" footer="0.25"/>
  <pageSetup orientation="landscape" r:id="rId3"/>
  <headerFooter alignWithMargins="0">
    <oddFooter>&amp;R&amp;A</oddFooter>
  </headerFooter>
  <ignoredErrors>
    <ignoredError sqref="A34 A37 A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fitToPage="1"/>
  </sheetPr>
  <dimension ref="A1:AE40"/>
  <sheetViews>
    <sheetView showGridLines="0" zoomScaleNormal="100" workbookViewId="0">
      <selection activeCell="A29" sqref="A29:Q29"/>
    </sheetView>
  </sheetViews>
  <sheetFormatPr defaultColWidth="9.42578125" defaultRowHeight="11.25" x14ac:dyDescent="0.2"/>
  <cols>
    <col min="1" max="1" width="3" style="40" customWidth="1"/>
    <col min="2" max="2" width="2.5703125" style="40" customWidth="1"/>
    <col min="3" max="3" width="9.42578125" style="40" customWidth="1"/>
    <col min="4" max="4" width="1.5703125" style="40" customWidth="1"/>
    <col min="5" max="5" width="13.42578125" style="40" customWidth="1"/>
    <col min="6" max="6" width="1.42578125" style="40" customWidth="1"/>
    <col min="7" max="7" width="24" style="40" customWidth="1"/>
    <col min="8" max="8" width="1.42578125" style="40" customWidth="1"/>
    <col min="9" max="9" width="14.5703125" style="40" customWidth="1"/>
    <col min="10" max="10" width="1.42578125" style="40" customWidth="1"/>
    <col min="11" max="11" width="16.5703125" style="40" customWidth="1"/>
    <col min="12" max="12" width="1.42578125" style="40" customWidth="1"/>
    <col min="13" max="13" width="14.5703125" style="40" customWidth="1"/>
    <col min="14" max="14" width="1.42578125" style="40" customWidth="1"/>
    <col min="15" max="15" width="9.5703125" style="40" customWidth="1"/>
    <col min="16" max="16" width="1.42578125" style="40" customWidth="1"/>
    <col min="17" max="17" width="9.5703125" style="40" customWidth="1"/>
    <col min="18" max="18" width="4.5703125" style="40" customWidth="1"/>
    <col min="19" max="19" width="8.5703125" style="40" customWidth="1"/>
    <col min="20" max="20" width="1.5703125" style="40" customWidth="1"/>
    <col min="21" max="21" width="8.5703125" style="40" customWidth="1"/>
    <col min="22" max="16384" width="9.42578125" style="40"/>
  </cols>
  <sheetData>
    <row r="1" spans="1:31"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829" t="str">
        <f>IF(Index!$B$43="na","NA","")</f>
        <v/>
      </c>
      <c r="AE1" s="42"/>
    </row>
    <row r="2" spans="1:31" s="41" customFormat="1" ht="15" customHeight="1" x14ac:dyDescent="0.25">
      <c r="A2" s="2808" t="str">
        <f>+Index!$A$2</f>
        <v>2022 ACFR Worksheets</v>
      </c>
      <c r="B2" s="2808"/>
      <c r="C2" s="2808"/>
      <c r="D2" s="2808"/>
      <c r="E2" s="2808"/>
      <c r="F2" s="2808"/>
      <c r="G2" s="2808"/>
      <c r="H2" s="2808"/>
      <c r="I2" s="2808"/>
      <c r="J2" s="2808"/>
      <c r="K2" s="2808"/>
      <c r="L2" s="2808"/>
      <c r="M2" s="2808"/>
      <c r="N2" s="2808"/>
      <c r="O2" s="2808"/>
      <c r="P2" s="2808"/>
      <c r="Q2" s="2808"/>
      <c r="R2" s="2829"/>
    </row>
    <row r="3" spans="1:31" s="41" customFormat="1" ht="15" customHeight="1" x14ac:dyDescent="0.25">
      <c r="A3" s="2808" t="s">
        <v>3710</v>
      </c>
      <c r="B3" s="2808"/>
      <c r="C3" s="2808"/>
      <c r="D3" s="2808"/>
      <c r="E3" s="2808"/>
      <c r="F3" s="2808"/>
      <c r="G3" s="2808"/>
      <c r="H3" s="2808"/>
      <c r="I3" s="2808"/>
      <c r="J3" s="2808"/>
      <c r="K3" s="2808"/>
      <c r="L3" s="2808"/>
      <c r="M3" s="2808"/>
      <c r="N3" s="2808"/>
      <c r="O3" s="2808"/>
      <c r="P3" s="2808"/>
      <c r="Q3" s="2808"/>
      <c r="R3" s="2829"/>
    </row>
    <row r="4" spans="1:31" s="132" customFormat="1" ht="15" customHeight="1" x14ac:dyDescent="0.2">
      <c r="H4" s="137"/>
    </row>
    <row r="5" spans="1:31" s="132" customFormat="1" ht="15" customHeight="1" x14ac:dyDescent="0.2">
      <c r="D5" s="137"/>
      <c r="J5" s="950"/>
      <c r="K5" s="134" t="s">
        <v>327</v>
      </c>
      <c r="L5" s="2910" t="str">
        <f>Index!E10</f>
        <v>01</v>
      </c>
      <c r="M5" s="2867"/>
      <c r="N5" s="2867"/>
      <c r="O5" s="2867"/>
      <c r="P5" s="2867"/>
      <c r="Q5" s="2867"/>
      <c r="R5" s="890"/>
    </row>
    <row r="6" spans="1:31" s="132" customFormat="1" ht="15" customHeight="1" x14ac:dyDescent="0.2">
      <c r="J6" s="950"/>
      <c r="K6" s="134" t="s">
        <v>1154</v>
      </c>
      <c r="L6" s="2910" t="str">
        <f>Index!E11</f>
        <v>North Carolina General Assembly</v>
      </c>
      <c r="M6" s="2867"/>
      <c r="N6" s="2867"/>
      <c r="O6" s="2867"/>
      <c r="P6" s="2867"/>
      <c r="Q6" s="2867"/>
      <c r="R6" s="890"/>
    </row>
    <row r="7" spans="1:31" s="132" customFormat="1" ht="15" customHeight="1" x14ac:dyDescent="0.2">
      <c r="A7" s="132" t="s">
        <v>477</v>
      </c>
      <c r="D7" s="2881" t="s">
        <v>805</v>
      </c>
      <c r="E7" s="2882"/>
      <c r="J7" s="951"/>
      <c r="K7" s="134" t="s">
        <v>972</v>
      </c>
      <c r="L7" s="2911" t="str">
        <f>CONCATENATE(Index!$E$12, " ", Index!$E$14)</f>
        <v xml:space="preserve"> </v>
      </c>
      <c r="M7" s="2912"/>
      <c r="N7" s="2912"/>
      <c r="O7" s="2912"/>
      <c r="P7" s="2912"/>
      <c r="Q7" s="2912"/>
      <c r="R7" s="891"/>
    </row>
    <row r="8" spans="1:31" s="132" customFormat="1" ht="15" customHeight="1" x14ac:dyDescent="0.2">
      <c r="D8" s="137"/>
      <c r="J8" s="952"/>
      <c r="K8" s="134" t="s">
        <v>348</v>
      </c>
      <c r="L8" s="2913">
        <f>Index!E13</f>
        <v>0</v>
      </c>
      <c r="M8" s="2912"/>
      <c r="N8" s="2912"/>
      <c r="O8" s="2912"/>
      <c r="P8" s="2912"/>
      <c r="Q8" s="2912"/>
      <c r="R8" s="892"/>
    </row>
    <row r="9" spans="1:31" s="132" customFormat="1" ht="6" customHeight="1" thickBot="1" x14ac:dyDescent="0.25">
      <c r="A9" s="136"/>
      <c r="B9" s="136"/>
      <c r="C9" s="136"/>
      <c r="D9" s="136"/>
      <c r="E9" s="136"/>
      <c r="F9" s="136"/>
      <c r="G9" s="136"/>
      <c r="H9" s="136"/>
      <c r="I9" s="136"/>
      <c r="J9" s="136"/>
      <c r="K9" s="136"/>
      <c r="L9" s="136"/>
      <c r="M9" s="136"/>
      <c r="N9" s="136"/>
      <c r="O9" s="136"/>
      <c r="P9" s="136"/>
      <c r="Q9" s="136"/>
    </row>
    <row r="10" spans="1:31" s="132" customFormat="1" ht="12" customHeight="1" x14ac:dyDescent="0.2">
      <c r="A10" s="834"/>
      <c r="B10"/>
      <c r="C10"/>
      <c r="D10"/>
      <c r="E10"/>
      <c r="F10"/>
      <c r="G10"/>
      <c r="H10"/>
      <c r="I10"/>
      <c r="J10"/>
      <c r="K10"/>
      <c r="L10"/>
      <c r="M10"/>
      <c r="N10"/>
      <c r="O10"/>
      <c r="P10"/>
      <c r="Q10"/>
    </row>
    <row r="11" spans="1:31" s="132" customFormat="1" ht="14.1" customHeight="1" x14ac:dyDescent="0.2">
      <c r="A11" s="2926"/>
      <c r="B11" s="2926"/>
      <c r="C11" s="2926"/>
      <c r="D11" s="2926"/>
      <c r="E11" s="2926"/>
      <c r="O11" s="2898" t="s">
        <v>1206</v>
      </c>
      <c r="P11" s="2898"/>
      <c r="Q11" s="2898"/>
      <c r="S11" s="137"/>
      <c r="T11" s="137"/>
      <c r="U11" s="137"/>
    </row>
    <row r="12" spans="1:31" s="132" customFormat="1" ht="14.1" customHeight="1" x14ac:dyDescent="0.2">
      <c r="A12" s="2926"/>
      <c r="B12" s="2926"/>
      <c r="C12" s="2926"/>
      <c r="D12" s="2926"/>
      <c r="E12" s="2926"/>
      <c r="G12" s="137" t="s">
        <v>1377</v>
      </c>
      <c r="H12" s="137"/>
      <c r="I12" s="137" t="s">
        <v>1378</v>
      </c>
      <c r="J12" s="137"/>
      <c r="K12" s="137" t="s">
        <v>1206</v>
      </c>
      <c r="L12" s="137"/>
      <c r="M12" s="137" t="s">
        <v>1379</v>
      </c>
      <c r="N12" s="137"/>
      <c r="O12" s="2881" t="s">
        <v>1380</v>
      </c>
      <c r="P12" s="2881"/>
      <c r="Q12" s="2881"/>
      <c r="R12" s="137"/>
      <c r="S12" s="2898"/>
      <c r="T12" s="2898"/>
      <c r="U12" s="2898"/>
    </row>
    <row r="13" spans="1:31" s="132" customFormat="1" ht="14.1" customHeight="1" x14ac:dyDescent="0.2">
      <c r="A13" s="2924" t="s">
        <v>1394</v>
      </c>
      <c r="B13" s="2924"/>
      <c r="C13" s="2924"/>
      <c r="D13" s="2924"/>
      <c r="E13" s="2924"/>
      <c r="G13" s="135" t="s">
        <v>1381</v>
      </c>
      <c r="H13" s="137"/>
      <c r="I13" s="953" t="s">
        <v>1382</v>
      </c>
      <c r="J13" s="137"/>
      <c r="K13" s="135" t="s">
        <v>1097</v>
      </c>
      <c r="L13" s="137"/>
      <c r="M13" s="135" t="s">
        <v>1383</v>
      </c>
      <c r="N13" s="137"/>
      <c r="O13" s="135" t="s">
        <v>1384</v>
      </c>
      <c r="P13" s="137"/>
      <c r="Q13" s="135" t="s">
        <v>264</v>
      </c>
      <c r="R13" s="137"/>
      <c r="S13" s="137"/>
      <c r="T13" s="137"/>
      <c r="U13" s="137"/>
    </row>
    <row r="14" spans="1:31" s="132" customFormat="1" ht="16.350000000000001" customHeight="1" x14ac:dyDescent="0.25">
      <c r="A14" s="2927" t="s">
        <v>1397</v>
      </c>
      <c r="B14" s="2927"/>
      <c r="C14" s="2927"/>
      <c r="D14" s="2927"/>
      <c r="E14" s="2927"/>
      <c r="G14" s="963"/>
      <c r="I14" s="276"/>
      <c r="K14" s="963"/>
      <c r="M14" s="276"/>
      <c r="O14" s="977"/>
      <c r="Q14" s="959"/>
      <c r="R14" s="954"/>
    </row>
    <row r="15" spans="1:31" s="132" customFormat="1" ht="14.85" customHeight="1" x14ac:dyDescent="0.25">
      <c r="A15" s="2927" t="s">
        <v>1397</v>
      </c>
      <c r="B15" s="2927"/>
      <c r="C15" s="2927"/>
      <c r="D15" s="2927"/>
      <c r="E15" s="2927"/>
      <c r="G15" s="963"/>
      <c r="I15" s="276"/>
      <c r="K15" s="963"/>
      <c r="M15" s="276">
        <v>0</v>
      </c>
      <c r="O15" s="977"/>
      <c r="Q15" s="960"/>
      <c r="R15" s="954"/>
    </row>
    <row r="16" spans="1:31" s="132" customFormat="1" ht="14.85" customHeight="1" x14ac:dyDescent="0.25">
      <c r="A16" s="2927" t="s">
        <v>1397</v>
      </c>
      <c r="B16" s="2927"/>
      <c r="C16" s="2927"/>
      <c r="D16" s="2927"/>
      <c r="E16" s="2927"/>
      <c r="G16" s="963"/>
      <c r="I16" s="276"/>
      <c r="K16" s="963"/>
      <c r="M16" s="276">
        <v>0</v>
      </c>
      <c r="O16" s="977"/>
      <c r="Q16" s="960"/>
      <c r="R16" s="954"/>
    </row>
    <row r="17" spans="1:21" s="132" customFormat="1" ht="14.85" customHeight="1" x14ac:dyDescent="0.25">
      <c r="A17" s="2927" t="s">
        <v>1397</v>
      </c>
      <c r="B17" s="2927"/>
      <c r="C17" s="2927"/>
      <c r="D17" s="2927"/>
      <c r="E17" s="2927"/>
      <c r="G17" s="963"/>
      <c r="I17" s="276"/>
      <c r="K17" s="963"/>
      <c r="M17" s="276"/>
      <c r="O17" s="977"/>
      <c r="Q17" s="960"/>
      <c r="R17" s="954"/>
    </row>
    <row r="18" spans="1:21" s="132" customFormat="1" ht="14.85" customHeight="1" x14ac:dyDescent="0.25">
      <c r="A18" s="2927" t="s">
        <v>1397</v>
      </c>
      <c r="B18" s="2927"/>
      <c r="C18" s="2927"/>
      <c r="D18" s="2927"/>
      <c r="E18" s="2927"/>
      <c r="G18" s="963"/>
      <c r="I18" s="276"/>
      <c r="K18" s="963"/>
      <c r="M18" s="276"/>
      <c r="O18" s="977"/>
      <c r="Q18" s="960"/>
      <c r="R18" s="954"/>
    </row>
    <row r="19" spans="1:21" s="132" customFormat="1" ht="14.85" customHeight="1" x14ac:dyDescent="0.25">
      <c r="A19" s="980" t="s">
        <v>635</v>
      </c>
      <c r="B19" s="981"/>
      <c r="C19" s="2903"/>
      <c r="D19" s="2903"/>
      <c r="E19" s="2903"/>
      <c r="G19" s="963"/>
      <c r="I19" s="276"/>
      <c r="K19" s="963"/>
      <c r="M19" s="276"/>
      <c r="O19" s="977"/>
      <c r="Q19" s="960"/>
      <c r="R19" s="954"/>
    </row>
    <row r="20" spans="1:21" s="132" customFormat="1" ht="14.85" customHeight="1" x14ac:dyDescent="0.25">
      <c r="A20" s="980" t="s">
        <v>635</v>
      </c>
      <c r="B20" s="981"/>
      <c r="C20" s="2903"/>
      <c r="D20" s="2903"/>
      <c r="E20" s="2903"/>
      <c r="G20" s="963"/>
      <c r="I20" s="276"/>
      <c r="K20" s="964"/>
      <c r="M20" s="276"/>
      <c r="O20" s="977"/>
      <c r="Q20" s="960"/>
      <c r="R20" s="954"/>
    </row>
    <row r="21" spans="1:21" s="132" customFormat="1" ht="4.3499999999999996" customHeight="1" x14ac:dyDescent="0.25">
      <c r="A21" s="955"/>
      <c r="C21" s="965"/>
      <c r="D21" s="965"/>
      <c r="E21" s="965"/>
      <c r="G21" s="966"/>
      <c r="I21" s="749"/>
      <c r="K21" s="967"/>
      <c r="M21" s="749"/>
      <c r="O21" s="968"/>
      <c r="Q21" s="969"/>
      <c r="R21" s="954"/>
    </row>
    <row r="22" spans="1:21" s="132" customFormat="1" ht="14.85" customHeight="1" x14ac:dyDescent="0.25">
      <c r="A22" s="2810" t="s">
        <v>1385</v>
      </c>
      <c r="B22" s="2696"/>
      <c r="C22" s="2696"/>
      <c r="D22" s="2696"/>
      <c r="E22" s="2696"/>
      <c r="F22" s="2696"/>
      <c r="G22" s="2696"/>
      <c r="I22" s="970">
        <f>-SUM(M14:M20)</f>
        <v>0</v>
      </c>
      <c r="K22" s="967"/>
      <c r="M22" s="749"/>
      <c r="O22" s="968"/>
      <c r="Q22" s="969"/>
      <c r="R22" s="954"/>
    </row>
    <row r="23" spans="1:21" ht="14.85" customHeight="1" x14ac:dyDescent="0.25">
      <c r="A23" s="2810" t="s">
        <v>1386</v>
      </c>
      <c r="B23" s="2696"/>
      <c r="C23" s="2696"/>
      <c r="D23" s="2696"/>
      <c r="E23" s="2696"/>
      <c r="F23" s="2696"/>
      <c r="G23" s="2696"/>
      <c r="H23" s="132"/>
      <c r="I23" s="729"/>
      <c r="J23" s="132"/>
      <c r="K23" s="978"/>
      <c r="L23" s="132"/>
      <c r="M23" s="132"/>
      <c r="N23" s="132"/>
      <c r="O23" s="132"/>
      <c r="P23" s="132"/>
      <c r="Q23" s="132"/>
    </row>
    <row r="24" spans="1:21" ht="14.85" customHeight="1" x14ac:dyDescent="0.25">
      <c r="A24" s="2810" t="s">
        <v>1386</v>
      </c>
      <c r="B24" s="2696"/>
      <c r="C24" s="2696"/>
      <c r="D24" s="2696"/>
      <c r="E24" s="2696"/>
      <c r="F24" s="2696"/>
      <c r="G24" s="2696"/>
      <c r="H24" s="132"/>
      <c r="I24" s="729"/>
      <c r="J24" s="132"/>
      <c r="K24" s="979"/>
      <c r="L24" s="132"/>
      <c r="M24" s="132"/>
      <c r="N24" s="132"/>
      <c r="O24" s="132"/>
      <c r="P24" s="132"/>
      <c r="Q24" s="132"/>
    </row>
    <row r="25" spans="1:21" ht="14.85" customHeight="1" x14ac:dyDescent="0.25">
      <c r="A25" s="2810" t="s">
        <v>1386</v>
      </c>
      <c r="B25" s="2696"/>
      <c r="C25" s="2696"/>
      <c r="D25" s="2696"/>
      <c r="E25" s="2696"/>
      <c r="F25" s="2696"/>
      <c r="G25" s="2696"/>
      <c r="H25" s="132"/>
      <c r="I25" s="729"/>
      <c r="J25" s="132"/>
      <c r="K25" s="979"/>
      <c r="L25" s="132"/>
      <c r="M25" s="132"/>
      <c r="N25" s="132"/>
      <c r="O25" s="132"/>
      <c r="P25" s="132"/>
      <c r="Q25" s="132"/>
    </row>
    <row r="26" spans="1:21" ht="14.85" customHeight="1" x14ac:dyDescent="0.25">
      <c r="A26" s="2810" t="s">
        <v>1386</v>
      </c>
      <c r="B26" s="2696"/>
      <c r="C26" s="2696"/>
      <c r="D26" s="2696"/>
      <c r="E26" s="2696"/>
      <c r="F26" s="2696"/>
      <c r="G26" s="2696"/>
      <c r="H26" s="132"/>
      <c r="I26" s="729"/>
      <c r="J26" s="132"/>
      <c r="K26" s="979"/>
      <c r="L26" s="132"/>
      <c r="M26" s="132"/>
      <c r="N26" s="132"/>
      <c r="O26" s="132"/>
      <c r="P26" s="132"/>
      <c r="Q26" s="132"/>
    </row>
    <row r="27" spans="1:21" ht="15" customHeight="1" thickBot="1" x14ac:dyDescent="0.25">
      <c r="A27" s="2921" t="s">
        <v>1387</v>
      </c>
      <c r="B27" s="2921"/>
      <c r="C27" s="2921"/>
      <c r="D27" s="2921"/>
      <c r="E27" s="2921"/>
      <c r="F27" s="2922"/>
      <c r="G27" s="2922"/>
      <c r="I27" s="673">
        <f>SUM(I14:I26)</f>
        <v>0</v>
      </c>
    </row>
    <row r="28" spans="1:21" ht="12" customHeight="1" thickTop="1" x14ac:dyDescent="0.2"/>
    <row r="29" spans="1:21" ht="12.75" x14ac:dyDescent="0.2">
      <c r="A29" s="2918" t="s">
        <v>5402</v>
      </c>
      <c r="B29" s="2696"/>
      <c r="C29" s="2696"/>
      <c r="D29" s="2696"/>
      <c r="E29" s="2696"/>
      <c r="F29" s="2696"/>
      <c r="G29" s="2696"/>
      <c r="H29" s="2696"/>
      <c r="I29" s="2696"/>
      <c r="J29" s="2696"/>
      <c r="K29" s="2696"/>
      <c r="L29" s="2696"/>
      <c r="M29" s="2696"/>
      <c r="N29" s="2696"/>
      <c r="O29" s="2696"/>
      <c r="P29" s="2696"/>
      <c r="Q29" s="2696"/>
      <c r="R29" s="971"/>
      <c r="S29" s="971"/>
      <c r="T29" s="971"/>
      <c r="U29" s="971"/>
    </row>
    <row r="30" spans="1:21" ht="12.75" x14ac:dyDescent="0.2">
      <c r="A30" s="2923" t="s">
        <v>1395</v>
      </c>
      <c r="B30" s="2696"/>
      <c r="C30" s="2696"/>
      <c r="D30" s="2696"/>
      <c r="E30" s="2696"/>
      <c r="F30" s="2696"/>
      <c r="G30" s="2696"/>
      <c r="H30" s="2696"/>
      <c r="I30" s="2696"/>
      <c r="J30" s="2696"/>
      <c r="K30" s="2696"/>
      <c r="L30" s="2696"/>
      <c r="M30" s="2696"/>
      <c r="N30" s="2696"/>
      <c r="O30" s="2696"/>
      <c r="P30" s="2696"/>
      <c r="Q30" s="2696"/>
      <c r="R30" s="2696"/>
      <c r="S30" s="971"/>
      <c r="T30" s="971"/>
      <c r="U30" s="971"/>
    </row>
    <row r="31" spans="1:21" ht="10.35" customHeight="1" x14ac:dyDescent="0.2">
      <c r="A31" s="971"/>
      <c r="B31" s="971"/>
      <c r="C31" s="971"/>
      <c r="D31" s="971"/>
      <c r="E31" s="971"/>
      <c r="F31" s="971"/>
      <c r="G31" s="971"/>
      <c r="H31" s="971"/>
      <c r="I31" s="971"/>
      <c r="J31" s="971"/>
      <c r="K31" s="971"/>
      <c r="L31" s="971"/>
      <c r="M31" s="971"/>
      <c r="N31" s="971"/>
      <c r="O31" s="971"/>
      <c r="P31" s="971"/>
      <c r="Q31" s="971"/>
      <c r="R31" s="971"/>
      <c r="S31" s="971"/>
      <c r="T31" s="971"/>
      <c r="U31" s="971"/>
    </row>
    <row r="32" spans="1:21" ht="14.1" customHeight="1" x14ac:dyDescent="0.2"/>
    <row r="33" spans="1:17" ht="12" customHeight="1" x14ac:dyDescent="0.2">
      <c r="A33" s="972" t="s">
        <v>350</v>
      </c>
      <c r="B33" s="829" t="s">
        <v>4763</v>
      </c>
      <c r="C33" s="831"/>
      <c r="D33" s="831"/>
      <c r="E33" s="831"/>
      <c r="F33" s="831"/>
      <c r="G33" s="831"/>
      <c r="H33" s="831"/>
      <c r="I33" s="831"/>
      <c r="J33" s="831"/>
      <c r="K33" s="831"/>
      <c r="L33" s="831"/>
      <c r="M33" s="831"/>
      <c r="N33" s="831"/>
      <c r="O33" s="831"/>
      <c r="P33" s="831"/>
      <c r="Q33" s="831"/>
    </row>
    <row r="34" spans="1:17" ht="12" customHeight="1" x14ac:dyDescent="0.2">
      <c r="A34" s="972"/>
      <c r="B34" s="829" t="s">
        <v>4764</v>
      </c>
      <c r="C34" s="831"/>
      <c r="D34" s="831"/>
      <c r="E34" s="831"/>
      <c r="F34" s="831"/>
      <c r="G34" s="831"/>
      <c r="H34" s="831"/>
      <c r="I34" s="831"/>
      <c r="J34" s="831"/>
      <c r="K34" s="831"/>
      <c r="L34" s="831"/>
      <c r="M34" s="831"/>
      <c r="N34" s="831"/>
      <c r="O34" s="831"/>
      <c r="P34" s="831"/>
      <c r="Q34" s="831"/>
    </row>
    <row r="35" spans="1:17" ht="6" customHeight="1" x14ac:dyDescent="0.2">
      <c r="A35" s="831"/>
      <c r="B35" s="829"/>
      <c r="C35" s="831"/>
      <c r="D35" s="831"/>
      <c r="E35" s="831"/>
      <c r="F35" s="831"/>
      <c r="G35" s="831"/>
      <c r="H35" s="831"/>
      <c r="I35" s="831"/>
      <c r="J35" s="831"/>
      <c r="K35" s="831"/>
      <c r="L35" s="831"/>
      <c r="M35" s="831"/>
      <c r="N35" s="831"/>
      <c r="O35" s="831"/>
      <c r="P35" s="831"/>
      <c r="Q35" s="831"/>
    </row>
    <row r="36" spans="1:17" ht="12" customHeight="1" x14ac:dyDescent="0.2">
      <c r="A36" s="972" t="s">
        <v>1388</v>
      </c>
      <c r="B36" s="829" t="s">
        <v>1396</v>
      </c>
      <c r="C36" s="831"/>
      <c r="D36" s="831"/>
      <c r="E36" s="831"/>
      <c r="F36" s="831"/>
      <c r="G36" s="831"/>
      <c r="H36" s="831"/>
      <c r="I36" s="831"/>
      <c r="J36" s="831"/>
      <c r="K36" s="831"/>
      <c r="L36" s="831"/>
      <c r="M36" s="831"/>
      <c r="N36" s="831"/>
      <c r="O36" s="831"/>
      <c r="P36" s="831"/>
      <c r="Q36" s="831"/>
    </row>
    <row r="37" spans="1:17" ht="12" customHeight="1" x14ac:dyDescent="0.2">
      <c r="A37" s="831"/>
      <c r="B37" s="829" t="s">
        <v>1390</v>
      </c>
      <c r="C37" s="831"/>
      <c r="D37" s="831"/>
      <c r="E37" s="831"/>
      <c r="F37" s="831"/>
      <c r="G37" s="831"/>
      <c r="H37" s="831"/>
      <c r="I37" s="831"/>
      <c r="J37" s="831"/>
      <c r="K37" s="831"/>
      <c r="L37" s="831"/>
      <c r="M37" s="831"/>
      <c r="N37" s="831"/>
      <c r="O37" s="831"/>
      <c r="P37" s="831"/>
      <c r="Q37" s="831"/>
    </row>
    <row r="38" spans="1:17" ht="12" customHeight="1" x14ac:dyDescent="0.2">
      <c r="A38" s="831"/>
      <c r="B38" s="829" t="s">
        <v>1391</v>
      </c>
      <c r="C38" s="831"/>
      <c r="D38" s="831"/>
      <c r="E38" s="831"/>
      <c r="F38" s="831"/>
      <c r="G38" s="831"/>
      <c r="H38" s="831"/>
      <c r="I38" s="831"/>
      <c r="J38" s="831"/>
      <c r="K38" s="831"/>
      <c r="L38" s="831"/>
      <c r="M38" s="831"/>
      <c r="N38" s="831"/>
      <c r="O38" s="831"/>
      <c r="P38" s="831"/>
      <c r="Q38" s="831"/>
    </row>
    <row r="39" spans="1:17" ht="6" customHeight="1" x14ac:dyDescent="0.2">
      <c r="A39" s="831"/>
      <c r="B39" s="829"/>
      <c r="C39" s="831"/>
      <c r="D39" s="831"/>
      <c r="E39" s="831"/>
      <c r="F39" s="831"/>
      <c r="G39" s="831"/>
      <c r="H39" s="831"/>
      <c r="I39" s="831"/>
      <c r="J39" s="831"/>
      <c r="K39" s="831"/>
      <c r="L39" s="831"/>
      <c r="M39" s="831"/>
      <c r="N39" s="831"/>
      <c r="O39" s="831"/>
      <c r="P39" s="831"/>
      <c r="Q39" s="831"/>
    </row>
    <row r="40" spans="1:17" ht="12" customHeight="1" x14ac:dyDescent="0.2">
      <c r="A40" s="972" t="s">
        <v>1392</v>
      </c>
      <c r="B40" s="829" t="s">
        <v>1393</v>
      </c>
      <c r="C40" s="831"/>
      <c r="D40" s="831"/>
      <c r="E40" s="831"/>
      <c r="F40" s="831"/>
      <c r="G40" s="831"/>
      <c r="H40" s="831"/>
      <c r="I40" s="831"/>
      <c r="J40" s="831"/>
      <c r="K40" s="831"/>
      <c r="L40" s="831"/>
      <c r="M40" s="831"/>
      <c r="N40" s="831"/>
      <c r="O40" s="831"/>
      <c r="P40" s="831"/>
      <c r="Q40" s="831"/>
    </row>
  </sheetData>
  <sheetProtection algorithmName="SHA-512" hashValue="/SLJ9WQcGA9mwS9W1vw6zwLqA+Vg4/H5WeaO/Uq6LYwbp1fJCRg68tva7gMNrhCY8c7Ic6jzE6q+kv96vUiIiQ==" saltValue="vpgJaRetXwNhFYUWdCVfKA==" spinCount="100000" sheet="1" objects="1" scenarios="1" autoFilter="0"/>
  <customSheetViews>
    <customSheetView guid="{B08879A4-635B-4C39-9937-AC7883D562FC}" showGridLines="0" fitToPage="1">
      <selection activeCell="D38" sqref="D38"/>
      <pageMargins left="0.45" right="0.4" top="0.5" bottom="0.5" header="0.5" footer="0.25"/>
      <pageSetup orientation="landscape" r:id="rId1"/>
      <headerFooter alignWithMargins="0">
        <oddFooter>&amp;R&amp;A</oddFooter>
      </headerFooter>
    </customSheetView>
    <customSheetView guid="{9FCFC836-1CA5-48BF-958D-24D2EA94B219}" showGridLines="0" fitToPage="1">
      <selection activeCell="D38" sqref="D38"/>
      <pageMargins left="0.45" right="0.4" top="0.5" bottom="0.5" header="0.5" footer="0.25"/>
      <pageSetup orientation="landscape" r:id="rId2"/>
      <headerFooter alignWithMargins="0">
        <oddFooter>&amp;R&amp;A</oddFooter>
      </headerFooter>
    </customSheetView>
  </customSheetViews>
  <mergeCells count="30">
    <mergeCell ref="L6:Q6"/>
    <mergeCell ref="A1:Q1"/>
    <mergeCell ref="R1:R3"/>
    <mergeCell ref="A2:Q2"/>
    <mergeCell ref="A3:Q3"/>
    <mergeCell ref="L5:Q5"/>
    <mergeCell ref="C20:E20"/>
    <mergeCell ref="D7:E7"/>
    <mergeCell ref="L7:Q7"/>
    <mergeCell ref="L8:Q8"/>
    <mergeCell ref="A11:E11"/>
    <mergeCell ref="O11:Q11"/>
    <mergeCell ref="A12:E12"/>
    <mergeCell ref="O12:Q12"/>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s>
  <conditionalFormatting sqref="R1:R3">
    <cfRule type="cellIs" dxfId="127"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45" right="0.4" top="0.5" bottom="0.5" header="0.5" footer="0.25"/>
  <pageSetup orientation="landscape" r:id="rId3"/>
  <headerFooter alignWithMargins="0">
    <oddFooter>&amp;R&amp;A</oddFooter>
  </headerFooter>
  <ignoredErrors>
    <ignoredError sqref="A33 A36 A4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pageSetUpPr fitToPage="1"/>
  </sheetPr>
  <dimension ref="A1:L103"/>
  <sheetViews>
    <sheetView showGridLines="0" topLeftCell="B1" zoomScaleNormal="100" workbookViewId="0">
      <selection activeCell="U29" sqref="U29"/>
    </sheetView>
  </sheetViews>
  <sheetFormatPr defaultRowHeight="12.75" x14ac:dyDescent="0.2"/>
  <cols>
    <col min="1" max="1" width="0" hidden="1" customWidth="1"/>
    <col min="3" max="3" width="8.42578125" customWidth="1"/>
    <col min="6" max="6" width="3.42578125" customWidth="1"/>
    <col min="7" max="7" width="13.42578125" customWidth="1"/>
    <col min="8" max="8" width="12.5703125" customWidth="1"/>
    <col min="10" max="10" width="13.42578125" customWidth="1"/>
    <col min="11" max="11" width="9.5703125" customWidth="1"/>
    <col min="12" max="12" width="4.5703125" customWidth="1"/>
  </cols>
  <sheetData>
    <row r="1" spans="2:12" ht="15" customHeight="1" x14ac:dyDescent="0.25">
      <c r="B1" s="2767" t="str">
        <f>+Index!$A$1</f>
        <v xml:space="preserve">                                                               Office of the State Controller                                                                </v>
      </c>
      <c r="C1" s="2767"/>
      <c r="D1" s="2767"/>
      <c r="E1" s="2767"/>
      <c r="F1" s="2767"/>
      <c r="G1" s="2767"/>
      <c r="H1" s="2767"/>
      <c r="I1" s="2767"/>
      <c r="J1" s="2767"/>
      <c r="K1" s="2767"/>
      <c r="L1" s="2768" t="str">
        <f>IF(Index!$B$44="na","NA","")</f>
        <v/>
      </c>
    </row>
    <row r="2" spans="2:12" ht="15" customHeight="1" x14ac:dyDescent="0.25">
      <c r="B2" s="2749" t="str">
        <f>+Index!$A$2</f>
        <v>2022 ACFR Worksheets</v>
      </c>
      <c r="C2" s="2749"/>
      <c r="D2" s="2749"/>
      <c r="E2" s="2749"/>
      <c r="F2" s="2749"/>
      <c r="G2" s="2749"/>
      <c r="H2" s="2749"/>
      <c r="I2" s="2749"/>
      <c r="J2" s="2749"/>
      <c r="K2" s="2749"/>
      <c r="L2" s="2768"/>
    </row>
    <row r="3" spans="2:12" ht="15" customHeight="1" x14ac:dyDescent="0.25">
      <c r="B3" s="2749" t="s">
        <v>3555</v>
      </c>
      <c r="C3" s="2749"/>
      <c r="D3" s="2749"/>
      <c r="E3" s="2749"/>
      <c r="F3" s="2749"/>
      <c r="G3" s="2749"/>
      <c r="H3" s="2749"/>
      <c r="I3" s="2749"/>
      <c r="J3" s="2749"/>
      <c r="K3" s="2749"/>
      <c r="L3" s="2768"/>
    </row>
    <row r="4" spans="2:12" ht="15" customHeight="1" x14ac:dyDescent="0.3">
      <c r="H4" s="13" t="s">
        <v>973</v>
      </c>
    </row>
    <row r="5" spans="2:12" ht="15" customHeight="1" x14ac:dyDescent="0.25">
      <c r="B5" s="5"/>
      <c r="C5" s="1"/>
      <c r="D5" s="2930"/>
      <c r="E5" s="2930"/>
      <c r="G5" s="6" t="s">
        <v>327</v>
      </c>
      <c r="H5" s="2807" t="str">
        <f>+Index!$E$10</f>
        <v>01</v>
      </c>
      <c r="I5" s="2807"/>
      <c r="J5" s="2807"/>
      <c r="K5" s="2807"/>
    </row>
    <row r="6" spans="2:12" ht="15" customHeight="1" x14ac:dyDescent="0.2">
      <c r="G6" s="6" t="s">
        <v>1154</v>
      </c>
      <c r="H6" s="2831" t="str">
        <f>+Index!$E$11</f>
        <v>North Carolina General Assembly</v>
      </c>
      <c r="I6" s="2831"/>
      <c r="J6" s="2831"/>
      <c r="K6" s="2831"/>
    </row>
    <row r="7" spans="2:12" ht="15" customHeight="1" x14ac:dyDescent="0.25">
      <c r="B7" s="5" t="s">
        <v>477</v>
      </c>
      <c r="C7" s="1"/>
      <c r="D7" s="2928" t="s">
        <v>971</v>
      </c>
      <c r="E7" s="2928"/>
      <c r="G7" s="6" t="s">
        <v>972</v>
      </c>
      <c r="H7" s="2832" t="str">
        <f>CONCATENATE(Index!$E$12," ",Index!$E$14)</f>
        <v xml:space="preserve"> </v>
      </c>
      <c r="I7" s="2832"/>
      <c r="J7" s="2832"/>
      <c r="K7" s="2832"/>
    </row>
    <row r="8" spans="2:12" ht="15" customHeight="1" x14ac:dyDescent="0.25">
      <c r="B8" s="5"/>
      <c r="C8" s="1"/>
      <c r="D8" s="520"/>
      <c r="E8" s="520"/>
      <c r="G8" s="6" t="s">
        <v>348</v>
      </c>
      <c r="H8" s="2832">
        <f>+Index!$E$13</f>
        <v>0</v>
      </c>
      <c r="I8" s="2832"/>
      <c r="J8" s="2832"/>
      <c r="K8" s="2832"/>
    </row>
    <row r="9" spans="2:12" ht="7.5" customHeight="1" thickBot="1" x14ac:dyDescent="0.3">
      <c r="B9" s="7"/>
      <c r="C9" s="7"/>
      <c r="D9" s="7"/>
      <c r="E9" s="7"/>
      <c r="F9" s="7"/>
      <c r="G9" s="7"/>
      <c r="H9" s="7"/>
      <c r="I9" s="7"/>
      <c r="J9" s="7"/>
      <c r="K9" s="7"/>
    </row>
    <row r="10" spans="2:12" s="14" customFormat="1" ht="15" customHeight="1" x14ac:dyDescent="0.2">
      <c r="B10" s="121"/>
      <c r="C10" s="121"/>
      <c r="D10" s="121"/>
      <c r="E10" s="121"/>
      <c r="F10" s="121"/>
      <c r="G10" s="121"/>
      <c r="H10" s="121"/>
      <c r="I10" s="121"/>
      <c r="J10" s="121"/>
      <c r="K10" s="121"/>
    </row>
    <row r="11" spans="2:12" s="14" customFormat="1" ht="15" customHeight="1" x14ac:dyDescent="0.2">
      <c r="B11" s="2" t="s">
        <v>4372</v>
      </c>
    </row>
    <row r="12" spans="2:12" s="14" customFormat="1" ht="15" customHeight="1" x14ac:dyDescent="0.2">
      <c r="B12" s="2" t="s">
        <v>4373</v>
      </c>
    </row>
    <row r="13" spans="2:12" s="14" customFormat="1" ht="15" customHeight="1" x14ac:dyDescent="0.2">
      <c r="B13" s="2" t="s">
        <v>151</v>
      </c>
    </row>
    <row r="14" spans="2:12" s="14" customFormat="1" ht="15" customHeight="1" x14ac:dyDescent="0.2"/>
    <row r="15" spans="2:12" s="14" customFormat="1" ht="15" customHeight="1" x14ac:dyDescent="0.2">
      <c r="B15" s="14" t="s">
        <v>251</v>
      </c>
    </row>
    <row r="16" spans="2:12" s="14" customFormat="1" ht="15" customHeight="1" x14ac:dyDescent="0.2">
      <c r="B16" s="2001" t="s">
        <v>4659</v>
      </c>
    </row>
    <row r="17" spans="2:10" s="14" customFormat="1" ht="15" customHeight="1" x14ac:dyDescent="0.2">
      <c r="B17" s="2001" t="s">
        <v>4660</v>
      </c>
    </row>
    <row r="18" spans="2:10" s="14" customFormat="1" ht="15" customHeight="1" x14ac:dyDescent="0.2">
      <c r="B18" s="2002" t="s">
        <v>4661</v>
      </c>
    </row>
    <row r="19" spans="2:10" s="14" customFormat="1" ht="15" customHeight="1" x14ac:dyDescent="0.2">
      <c r="B19" s="2136" t="s">
        <v>4771</v>
      </c>
      <c r="F19" s="2137"/>
    </row>
    <row r="20" spans="2:10" s="14" customFormat="1" ht="15" customHeight="1" x14ac:dyDescent="0.2"/>
    <row r="21" spans="2:10" s="14" customFormat="1" ht="15" customHeight="1" x14ac:dyDescent="0.2">
      <c r="B21" s="2896" t="s">
        <v>252</v>
      </c>
      <c r="C21" s="2896"/>
      <c r="D21" s="2896"/>
      <c r="E21" s="2896"/>
      <c r="F21" s="2896"/>
      <c r="G21" s="2896"/>
      <c r="H21" s="2896"/>
      <c r="I21" s="2896"/>
      <c r="J21" s="2896"/>
    </row>
    <row r="22" spans="2:10" s="14" customFormat="1" ht="15" customHeight="1" x14ac:dyDescent="0.2">
      <c r="B22" s="14" t="s">
        <v>253</v>
      </c>
    </row>
    <row r="23" spans="2:10" s="14" customFormat="1" ht="15" customHeight="1" x14ac:dyDescent="0.2">
      <c r="B23" s="14" t="s">
        <v>254</v>
      </c>
    </row>
    <row r="24" spans="2:10" s="14" customFormat="1" ht="15" customHeight="1" x14ac:dyDescent="0.2"/>
    <row r="25" spans="2:10" s="14" customFormat="1" ht="15" customHeight="1" x14ac:dyDescent="0.2">
      <c r="B25" s="14" t="s">
        <v>909</v>
      </c>
    </row>
    <row r="26" spans="2:10" s="14" customFormat="1" ht="15" customHeight="1" x14ac:dyDescent="0.2">
      <c r="B26" s="14" t="s">
        <v>919</v>
      </c>
    </row>
    <row r="27" spans="2:10" s="14" customFormat="1" ht="15" customHeight="1" x14ac:dyDescent="0.2"/>
    <row r="28" spans="2:10" s="14" customFormat="1" ht="15" customHeight="1" x14ac:dyDescent="0.2">
      <c r="B28" s="2" t="s">
        <v>811</v>
      </c>
    </row>
    <row r="29" spans="2:10" s="14" customFormat="1" ht="15" customHeight="1" x14ac:dyDescent="0.2">
      <c r="B29" s="14" t="s">
        <v>618</v>
      </c>
    </row>
    <row r="30" spans="2:10" s="14" customFormat="1" ht="15" customHeight="1" x14ac:dyDescent="0.2">
      <c r="E30" s="14" t="s">
        <v>85</v>
      </c>
      <c r="F30" s="2929"/>
      <c r="G30" s="2836"/>
      <c r="H30" s="98" t="s">
        <v>86</v>
      </c>
      <c r="I30" s="2929"/>
      <c r="J30" s="2836"/>
    </row>
    <row r="31" spans="2:10" s="14" customFormat="1" ht="15" customHeight="1" x14ac:dyDescent="0.2">
      <c r="B31" s="2933" t="str">
        <f>IF(ISTEXT(F30), "Response for Yes needed", " ")</f>
        <v xml:space="preserve"> </v>
      </c>
      <c r="C31" s="2934"/>
      <c r="D31" s="2934"/>
      <c r="G31" s="2"/>
      <c r="I31" s="2931" t="str">
        <f>IF(AND(ISBLANK(F30),ISBLANK(I30))=TRUE,"Answer Missing"," ")</f>
        <v>Answer Missing</v>
      </c>
      <c r="J31" s="2932"/>
    </row>
    <row r="32" spans="2:10" s="14" customFormat="1" ht="15" customHeight="1" x14ac:dyDescent="0.2">
      <c r="B32" s="14" t="s">
        <v>763</v>
      </c>
      <c r="G32" s="2"/>
      <c r="I32" s="2"/>
    </row>
    <row r="33" spans="2:11" s="14" customFormat="1" ht="15" customHeight="1" x14ac:dyDescent="0.2">
      <c r="B33" s="14" t="s">
        <v>60</v>
      </c>
    </row>
    <row r="34" spans="2:11" s="14" customFormat="1" ht="15" customHeight="1" x14ac:dyDescent="0.2">
      <c r="C34" s="14" t="s">
        <v>910</v>
      </c>
      <c r="E34" s="2937"/>
      <c r="F34" s="2937"/>
      <c r="G34" s="2937"/>
      <c r="H34" s="2937"/>
      <c r="I34" s="2937"/>
      <c r="J34" s="2937"/>
      <c r="K34" s="2937"/>
    </row>
    <row r="35" spans="2:11" s="14" customFormat="1" ht="15" customHeight="1" x14ac:dyDescent="0.2">
      <c r="C35" s="14" t="s">
        <v>911</v>
      </c>
      <c r="E35" s="2935"/>
      <c r="F35" s="2935"/>
      <c r="G35" s="2935"/>
      <c r="H35" s="2935"/>
      <c r="I35" s="2935"/>
      <c r="J35" s="2935"/>
      <c r="K35" s="2935"/>
    </row>
    <row r="36" spans="2:11" s="14" customFormat="1" ht="15" customHeight="1" x14ac:dyDescent="0.2">
      <c r="B36" s="118"/>
      <c r="C36" s="118"/>
      <c r="D36" s="118"/>
      <c r="E36" s="118"/>
      <c r="F36" s="118"/>
      <c r="G36" s="118"/>
      <c r="H36" s="118"/>
      <c r="I36" s="118"/>
      <c r="J36" s="118"/>
      <c r="K36" s="118"/>
    </row>
    <row r="37" spans="2:11" s="14" customFormat="1" ht="15" customHeight="1" x14ac:dyDescent="0.2">
      <c r="B37" s="2896" t="s">
        <v>479</v>
      </c>
      <c r="C37" s="2896"/>
      <c r="D37" s="2896"/>
      <c r="E37" s="2896"/>
      <c r="F37" s="2896"/>
      <c r="G37" s="2896"/>
      <c r="H37" s="2896"/>
      <c r="I37" s="2896"/>
      <c r="J37" s="2896"/>
    </row>
    <row r="38" spans="2:11" s="14" customFormat="1" ht="15" customHeight="1" x14ac:dyDescent="0.2">
      <c r="B38" s="14" t="s">
        <v>309</v>
      </c>
    </row>
    <row r="39" spans="2:11" s="14" customFormat="1" ht="15" customHeight="1" x14ac:dyDescent="0.2">
      <c r="E39" s="14" t="s">
        <v>85</v>
      </c>
      <c r="F39" s="2929"/>
      <c r="G39" s="2836"/>
      <c r="H39" s="98" t="s">
        <v>86</v>
      </c>
      <c r="I39" s="2929"/>
      <c r="J39" s="2836"/>
    </row>
    <row r="40" spans="2:11" s="14" customFormat="1" ht="15" customHeight="1" x14ac:dyDescent="0.2">
      <c r="B40" s="2933" t="str">
        <f>IF(ISTEXT(F39), "Response for Yes needed", " ")</f>
        <v xml:space="preserve"> </v>
      </c>
      <c r="C40" s="2934"/>
      <c r="D40" s="2934"/>
      <c r="G40" s="2"/>
      <c r="I40" s="2931" t="str">
        <f>IF(AND(ISBLANK(F39),ISBLANK(I39))=TRUE,"Answer Missing"," ")</f>
        <v>Answer Missing</v>
      </c>
      <c r="J40" s="2932"/>
    </row>
    <row r="41" spans="2:11" s="14" customFormat="1" ht="15" customHeight="1" x14ac:dyDescent="0.2">
      <c r="B41" s="14" t="s">
        <v>1102</v>
      </c>
      <c r="G41" s="2"/>
      <c r="I41" s="2"/>
    </row>
    <row r="42" spans="2:11" s="14" customFormat="1" ht="15" customHeight="1" x14ac:dyDescent="0.2">
      <c r="B42" s="14" t="s">
        <v>913</v>
      </c>
      <c r="G42" s="2"/>
      <c r="I42" s="2"/>
    </row>
    <row r="43" spans="2:11" s="14" customFormat="1" ht="15" customHeight="1" x14ac:dyDescent="0.2">
      <c r="B43" s="2835" t="s">
        <v>912</v>
      </c>
      <c r="C43" s="2835"/>
      <c r="D43" s="2937"/>
      <c r="E43" s="2937"/>
      <c r="F43" s="2937"/>
      <c r="G43" s="2937"/>
      <c r="H43" s="98" t="s">
        <v>914</v>
      </c>
      <c r="I43" s="2936"/>
      <c r="J43" s="2936"/>
      <c r="K43" s="2936"/>
    </row>
    <row r="44" spans="2:11" s="14" customFormat="1" ht="15" customHeight="1" x14ac:dyDescent="0.2">
      <c r="B44" s="118"/>
      <c r="C44" s="118"/>
      <c r="D44" s="118"/>
      <c r="E44" s="118"/>
      <c r="F44" s="118"/>
      <c r="G44" s="118"/>
      <c r="H44" s="118"/>
      <c r="I44" s="118"/>
      <c r="J44" s="118"/>
      <c r="K44" s="118"/>
    </row>
    <row r="45" spans="2:11" s="14" customFormat="1" ht="15" customHeight="1" x14ac:dyDescent="0.2">
      <c r="B45" s="2896" t="s">
        <v>310</v>
      </c>
      <c r="C45" s="2896"/>
      <c r="D45" s="2896"/>
      <c r="E45" s="2896"/>
      <c r="F45" s="2896"/>
      <c r="G45" s="2896"/>
      <c r="H45" s="2896"/>
      <c r="I45" s="2896"/>
      <c r="J45" s="2896"/>
    </row>
    <row r="46" spans="2:11" s="14" customFormat="1" ht="15" customHeight="1" x14ac:dyDescent="0.2">
      <c r="B46" s="14" t="s">
        <v>99</v>
      </c>
      <c r="G46" s="2"/>
      <c r="I46" s="2"/>
    </row>
    <row r="47" spans="2:11" s="14" customFormat="1" ht="15" customHeight="1" x14ac:dyDescent="0.2">
      <c r="B47" s="272" t="s">
        <v>5644</v>
      </c>
      <c r="G47" s="2"/>
      <c r="I47" s="2"/>
    </row>
    <row r="48" spans="2:11" s="14" customFormat="1" ht="15" customHeight="1" x14ac:dyDescent="0.2">
      <c r="B48" s="2835"/>
      <c r="C48" s="2835"/>
      <c r="D48" s="898"/>
      <c r="E48" s="898"/>
      <c r="F48" s="898"/>
      <c r="G48" s="1820"/>
      <c r="H48" s="898"/>
      <c r="I48" s="1820"/>
      <c r="J48" s="898"/>
      <c r="K48" s="898"/>
    </row>
    <row r="49" spans="1:11" s="14" customFormat="1" ht="15" customHeight="1" x14ac:dyDescent="0.2">
      <c r="B49" s="2"/>
      <c r="C49" s="2"/>
      <c r="D49" s="2"/>
      <c r="E49" s="2"/>
      <c r="F49" s="2"/>
      <c r="G49" s="2"/>
      <c r="H49" s="2"/>
      <c r="I49" s="2"/>
      <c r="J49" s="2"/>
      <c r="K49" s="2"/>
    </row>
    <row r="50" spans="1:11" s="14" customFormat="1" ht="15" customHeight="1" x14ac:dyDescent="0.2">
      <c r="B50" s="2" t="s">
        <v>255</v>
      </c>
      <c r="C50" s="45"/>
      <c r="D50" s="2"/>
      <c r="E50" s="2"/>
      <c r="F50" s="2"/>
      <c r="G50" s="2"/>
      <c r="H50" s="2"/>
      <c r="I50" s="2"/>
      <c r="J50" s="2"/>
      <c r="K50" s="2"/>
    </row>
    <row r="51" spans="1:11" s="14" customFormat="1" ht="15" customHeight="1" x14ac:dyDescent="0.2">
      <c r="B51" s="14" t="s">
        <v>915</v>
      </c>
      <c r="K51" s="14" t="s">
        <v>1101</v>
      </c>
    </row>
    <row r="52" spans="1:11" s="14" customFormat="1" ht="15" customHeight="1" x14ac:dyDescent="0.2">
      <c r="B52" s="14" t="s">
        <v>95</v>
      </c>
      <c r="K52" s="2489"/>
    </row>
    <row r="53" spans="1:11" s="14" customFormat="1" ht="15" customHeight="1" x14ac:dyDescent="0.2">
      <c r="B53" s="14" t="s">
        <v>145</v>
      </c>
      <c r="K53" s="1685"/>
    </row>
    <row r="54" spans="1:11" s="14" customFormat="1" ht="15" customHeight="1" x14ac:dyDescent="0.2">
      <c r="B54" s="272" t="s">
        <v>5645</v>
      </c>
      <c r="J54" s="2762" t="str">
        <f>IF(AND(ISBLANK(K52),ISBLANK(K53))=TRUE,"Answer Missing"," ")</f>
        <v>Answer Missing</v>
      </c>
      <c r="K54" s="2696"/>
    </row>
    <row r="55" spans="1:11" s="14" customFormat="1" ht="15" customHeight="1" x14ac:dyDescent="0.2"/>
    <row r="56" spans="1:11" s="14" customFormat="1" ht="15" customHeight="1" x14ac:dyDescent="0.2"/>
    <row r="57" spans="1:11" s="14" customFormat="1" ht="15" x14ac:dyDescent="0.2">
      <c r="A57" s="443" t="str">
        <f ca="1">MID(CELL("filename",B1),FIND("]",CELL("filename",B1))+1,256)</f>
        <v>345</v>
      </c>
      <c r="B57" s="443" t="s">
        <v>449</v>
      </c>
      <c r="D57" s="443"/>
    </row>
    <row r="58" spans="1:11" s="14" customFormat="1" ht="15" x14ac:dyDescent="0.2">
      <c r="A58" s="443" t="s">
        <v>446</v>
      </c>
      <c r="B58" s="443" t="str">
        <f t="shared" ref="B58:B67" ca="1" si="0">IF(ISNA(INDEX(ErrorTable,MATCH($A$57&amp;$A58&amp;FALSE,ErrorKey,0),6)),"",INDEX(ErrorTable,MATCH($A$57&amp;$A58&amp;FALSE,ErrorKey,0),6))</f>
        <v>All questions have not been answered.</v>
      </c>
      <c r="D58" s="443"/>
    </row>
    <row r="59" spans="1:11" s="14" customFormat="1" ht="15" x14ac:dyDescent="0.2">
      <c r="A59" s="443" t="s">
        <v>447</v>
      </c>
      <c r="B59" s="443" t="str">
        <f t="shared" ca="1" si="0"/>
        <v/>
      </c>
      <c r="D59" s="443"/>
    </row>
    <row r="60" spans="1:11" s="14" customFormat="1" ht="15" x14ac:dyDescent="0.2">
      <c r="A60" s="443" t="s">
        <v>448</v>
      </c>
      <c r="B60" s="443" t="str">
        <f t="shared" ca="1" si="0"/>
        <v/>
      </c>
      <c r="D60" s="443"/>
    </row>
    <row r="61" spans="1:11" s="14" customFormat="1" ht="15" x14ac:dyDescent="0.2">
      <c r="A61" s="443" t="s">
        <v>450</v>
      </c>
      <c r="B61" s="443" t="str">
        <f t="shared" ca="1" si="0"/>
        <v/>
      </c>
      <c r="D61" s="443"/>
    </row>
    <row r="62" spans="1:11" s="14" customFormat="1" ht="15" x14ac:dyDescent="0.2">
      <c r="A62" s="443" t="s">
        <v>451</v>
      </c>
      <c r="B62" s="443" t="str">
        <f t="shared" ca="1" si="0"/>
        <v/>
      </c>
      <c r="D62" s="443"/>
    </row>
    <row r="63" spans="1:11" s="14" customFormat="1" ht="15" x14ac:dyDescent="0.2">
      <c r="A63" s="443" t="s">
        <v>452</v>
      </c>
      <c r="B63" s="443" t="str">
        <f t="shared" ca="1" si="0"/>
        <v/>
      </c>
      <c r="D63" s="443"/>
    </row>
    <row r="64" spans="1:11" s="14" customFormat="1" ht="15" x14ac:dyDescent="0.2">
      <c r="A64" s="443" t="s">
        <v>453</v>
      </c>
      <c r="B64" s="443" t="str">
        <f t="shared" ca="1" si="0"/>
        <v/>
      </c>
      <c r="D64" s="443"/>
    </row>
    <row r="65" spans="1:4" s="14" customFormat="1" ht="16.350000000000001" customHeight="1" x14ac:dyDescent="0.2">
      <c r="A65" s="443" t="s">
        <v>454</v>
      </c>
      <c r="B65" s="443" t="str">
        <f t="shared" ca="1" si="0"/>
        <v/>
      </c>
      <c r="D65" s="443"/>
    </row>
    <row r="66" spans="1:4" s="14" customFormat="1" ht="15" x14ac:dyDescent="0.2">
      <c r="A66" s="443" t="s">
        <v>455</v>
      </c>
      <c r="B66" s="443" t="str">
        <f t="shared" ca="1" si="0"/>
        <v/>
      </c>
      <c r="D66" s="443"/>
    </row>
    <row r="67" spans="1:4" s="14" customFormat="1" ht="15" x14ac:dyDescent="0.2">
      <c r="A67" s="443" t="s">
        <v>456</v>
      </c>
      <c r="B67" s="443" t="str">
        <f t="shared" ca="1" si="0"/>
        <v/>
      </c>
      <c r="D67" s="443"/>
    </row>
    <row r="68" spans="1:4" s="14" customFormat="1" ht="10.35" customHeight="1" x14ac:dyDescent="0.2"/>
    <row r="69" spans="1:4" s="14" customFormat="1" x14ac:dyDescent="0.2"/>
    <row r="70" spans="1:4" s="14" customFormat="1" x14ac:dyDescent="0.2"/>
    <row r="71" spans="1:4" s="14" customFormat="1" ht="6" customHeight="1" x14ac:dyDescent="0.2"/>
    <row r="72" spans="1:4" s="14" customFormat="1" ht="12.75" customHeight="1" x14ac:dyDescent="0.2"/>
    <row r="73" spans="1:4" s="14" customFormat="1" x14ac:dyDescent="0.2"/>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DXZCLbXmQl3wTXi9d7zZBw2IJoS0hGXVF5qCmpN74pGqmaEBRFmJ3DsVPXqa+zkIIfx7kqbUzhMni3yURUqc4g==" saltValue="kBT20eH4nD7rtaJj5s0pfw=="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91" orientation="portrait" r:id="rId1"/>
      <headerFooter alignWithMargins="0">
        <oddFooter>&amp;R&amp;A</oddFooter>
      </headerFooter>
    </customSheetView>
    <customSheetView guid="{1250FD07-FF56-4A9D-AF9E-C27124A7EBE9}" showGridLines="0" fitToPage="1" showRuler="0">
      <selection activeCell="A12" sqref="A12"/>
      <pageMargins left="0.75" right="0.5" top="0.5" bottom="0.5" header="0.5" footer="0.5"/>
      <pageSetup scale="92" orientation="portrait" r:id="rId2"/>
      <headerFooter alignWithMargins="0">
        <oddFooter>&amp;R&amp;A</oddFooter>
      </headerFooter>
    </customSheetView>
    <customSheetView guid="{BEA4BE86-04D1-4C96-9358-7A260B9D2B2D}" showGridLines="0" fitToPage="1" showRuler="0">
      <selection activeCell="A12" sqref="A12"/>
      <pageMargins left="0.75" right="0.5" top="0.5" bottom="0.5" header="0.5" footer="0.5"/>
      <pageSetup scale="92"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91" orientation="portrait" r:id="rId4"/>
      <headerFooter alignWithMargins="0">
        <oddFooter>&amp;R&amp;A</oddFooter>
      </headerFooter>
    </customSheetView>
  </customSheetViews>
  <mergeCells count="28">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 ref="L1:L3"/>
    <mergeCell ref="B1:K1"/>
    <mergeCell ref="B2:K2"/>
    <mergeCell ref="B3:K3"/>
    <mergeCell ref="H5:K5"/>
    <mergeCell ref="D5:E5"/>
    <mergeCell ref="D7:E7"/>
    <mergeCell ref="H6:K6"/>
    <mergeCell ref="B21:J21"/>
    <mergeCell ref="H7:K7"/>
    <mergeCell ref="I30:J30"/>
    <mergeCell ref="H8:K8"/>
    <mergeCell ref="F30:G30"/>
  </mergeCells>
  <phoneticPr fontId="15" type="noConversion"/>
  <conditionalFormatting sqref="L1:L3">
    <cfRule type="cellIs" dxfId="126" priority="8" stopIfTrue="1" operator="equal">
      <formula>"na"</formula>
    </cfRule>
  </conditionalFormatting>
  <conditionalFormatting sqref="J54:K54">
    <cfRule type="containsText" dxfId="125" priority="7" stopIfTrue="1" operator="containsText" text="Answer Missing">
      <formula>NOT(ISERROR(SEARCH("Answer Missing",J54)))</formula>
    </cfRule>
  </conditionalFormatting>
  <conditionalFormatting sqref="I31:J31">
    <cfRule type="containsText" dxfId="124" priority="6" stopIfTrue="1" operator="containsText" text="Answer Missing">
      <formula>NOT(ISERROR(SEARCH("Answer Missing",I31)))</formula>
    </cfRule>
  </conditionalFormatting>
  <conditionalFormatting sqref="I40:J40">
    <cfRule type="containsText" dxfId="123" priority="5" stopIfTrue="1" operator="containsText" text="Answer Missing">
      <formula>NOT(ISERROR(SEARCH("Answer Missing",I40)))</formula>
    </cfRule>
  </conditionalFormatting>
  <conditionalFormatting sqref="B31">
    <cfRule type="containsText" dxfId="122" priority="4" stopIfTrue="1" operator="containsText" text="Response for Yes needed">
      <formula>NOT(ISERROR(SEARCH("Response for Yes needed",B31)))</formula>
    </cfRule>
  </conditionalFormatting>
  <conditionalFormatting sqref="B31">
    <cfRule type="containsText" dxfId="121" priority="3" stopIfTrue="1" operator="containsText" text="Response for Yes needed">
      <formula>NOT(ISERROR(SEARCH("Response for Yes needed",B31)))</formula>
    </cfRule>
  </conditionalFormatting>
  <conditionalFormatting sqref="B40">
    <cfRule type="containsText" dxfId="120" priority="2" stopIfTrue="1" operator="containsText" text="Response for Yes needed">
      <formula>NOT(ISERROR(SEARCH("Response for Yes needed",B40)))</formula>
    </cfRule>
  </conditionalFormatting>
  <conditionalFormatting sqref="B40">
    <cfRule type="containsText" dxfId="119" priority="1" stopIfTrue="1" operator="containsText" text="Response for Yes needed">
      <formula>NOT(ISERROR(SEARCH("Response for Yes needed",B40)))</formula>
    </cfRule>
  </conditionalFormatting>
  <hyperlinks>
    <hyperlink ref="B1:K1" location="Index!A1" display="Index!A1" xr:uid="{00000000-0004-0000-1700-000000000000}"/>
  </hyperlinks>
  <pageMargins left="0.75" right="0.5" top="0.5" bottom="0.5" header="0.5" footer="0.5"/>
  <pageSetup scale="89" orientation="portrait"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pageSetUpPr fitToPage="1"/>
  </sheetPr>
  <dimension ref="A1:U140"/>
  <sheetViews>
    <sheetView showGridLines="0" zoomScaleNormal="100" workbookViewId="0">
      <selection activeCell="M38" sqref="M38"/>
    </sheetView>
  </sheetViews>
  <sheetFormatPr defaultColWidth="16.5703125" defaultRowHeight="12.75" x14ac:dyDescent="0.2"/>
  <cols>
    <col min="1" max="1" width="11.42578125" style="38" customWidth="1"/>
    <col min="2" max="2" width="3.42578125" style="38" customWidth="1"/>
    <col min="3" max="3" width="13.5703125" style="38" customWidth="1"/>
    <col min="4" max="4" width="17.5703125" style="38" customWidth="1"/>
    <col min="5" max="5" width="23.140625" style="38" customWidth="1"/>
    <col min="6" max="6" width="1.5703125" style="38" customWidth="1"/>
    <col min="7" max="7" width="27.5703125" style="38" customWidth="1"/>
    <col min="8" max="8" width="4.5703125" style="38" customWidth="1"/>
    <col min="9" max="19" width="9.42578125" style="38" customWidth="1"/>
    <col min="20" max="16384" width="16.5703125" style="38"/>
  </cols>
  <sheetData>
    <row r="1" spans="1:21" s="715" customFormat="1" ht="15" customHeight="1" x14ac:dyDescent="0.25">
      <c r="A1" s="2767" t="str">
        <f>+Index!$A$1</f>
        <v xml:space="preserve">                                                               Office of the State Controller                                                                </v>
      </c>
      <c r="B1" s="2767"/>
      <c r="C1" s="2767"/>
      <c r="D1" s="2767"/>
      <c r="E1" s="2767"/>
      <c r="F1" s="2767"/>
      <c r="G1" s="2767"/>
      <c r="H1" s="2768" t="str">
        <f>IF(Index!$B$45="na","NA","")</f>
        <v/>
      </c>
      <c r="I1" s="713"/>
      <c r="J1" s="713"/>
      <c r="K1" s="713"/>
      <c r="L1" s="713"/>
      <c r="M1" s="714"/>
      <c r="N1" s="714"/>
      <c r="O1" s="714"/>
      <c r="P1" s="714"/>
      <c r="Q1" s="714"/>
      <c r="R1" s="714"/>
      <c r="S1" s="714"/>
      <c r="T1" s="714"/>
      <c r="U1" s="714"/>
    </row>
    <row r="2" spans="1:21" s="715" customFormat="1" ht="15" customHeight="1" x14ac:dyDescent="0.3">
      <c r="A2" s="2940" t="str">
        <f>+Index!$A$2</f>
        <v>2022 ACFR Worksheets</v>
      </c>
      <c r="B2" s="2940"/>
      <c r="C2" s="2940"/>
      <c r="D2" s="2940"/>
      <c r="E2" s="2940"/>
      <c r="F2" s="2940"/>
      <c r="G2" s="2940"/>
      <c r="H2" s="2768"/>
      <c r="I2" s="713"/>
      <c r="J2" s="713"/>
      <c r="K2" s="713"/>
      <c r="L2" s="713"/>
      <c r="M2" s="714"/>
      <c r="N2" s="714"/>
      <c r="O2" s="714"/>
      <c r="P2" s="714"/>
      <c r="Q2" s="714"/>
      <c r="R2" s="714"/>
      <c r="S2" s="714"/>
      <c r="T2" s="714"/>
      <c r="U2" s="714"/>
    </row>
    <row r="3" spans="1:21" s="715" customFormat="1" ht="15" customHeight="1" x14ac:dyDescent="0.3">
      <c r="A3" s="2940" t="s">
        <v>3521</v>
      </c>
      <c r="B3" s="2940"/>
      <c r="C3" s="2940"/>
      <c r="D3" s="2940"/>
      <c r="E3" s="2940"/>
      <c r="F3" s="2940"/>
      <c r="G3" s="2940"/>
      <c r="H3" s="2768"/>
      <c r="I3" s="713"/>
      <c r="J3" s="713"/>
      <c r="K3" s="713"/>
      <c r="L3" s="713"/>
      <c r="M3" s="714"/>
      <c r="N3" s="714"/>
      <c r="O3" s="714"/>
      <c r="P3" s="714"/>
      <c r="Q3" s="714"/>
      <c r="R3" s="714"/>
      <c r="S3" s="714"/>
      <c r="T3" s="714"/>
      <c r="U3" s="714"/>
    </row>
    <row r="4" spans="1:21" s="718" customFormat="1" ht="15" customHeight="1" x14ac:dyDescent="0.3">
      <c r="A4" s="716"/>
      <c r="B4" s="716"/>
      <c r="C4" s="716"/>
      <c r="D4" s="716"/>
      <c r="F4" s="430"/>
      <c r="G4" s="430"/>
      <c r="H4" s="716"/>
      <c r="I4" s="717"/>
      <c r="J4" s="717"/>
      <c r="K4" s="717"/>
      <c r="L4" s="717"/>
      <c r="M4" s="124"/>
      <c r="N4" s="124"/>
      <c r="O4" s="124"/>
      <c r="P4" s="124"/>
      <c r="Q4" s="124"/>
      <c r="R4" s="124"/>
      <c r="S4" s="124"/>
      <c r="T4" s="124"/>
      <c r="U4" s="124"/>
    </row>
    <row r="5" spans="1:21" s="124" customFormat="1" ht="15" customHeight="1" x14ac:dyDescent="0.2">
      <c r="A5" s="256"/>
      <c r="B5" s="125"/>
      <c r="C5" s="257"/>
      <c r="D5" s="125"/>
      <c r="E5" s="123" t="s">
        <v>327</v>
      </c>
      <c r="F5" s="122"/>
      <c r="G5" s="39" t="str">
        <f>+Index!$E$10</f>
        <v>01</v>
      </c>
      <c r="H5" s="126"/>
      <c r="I5" s="127" t="s">
        <v>973</v>
      </c>
      <c r="J5" s="127"/>
      <c r="K5" s="127"/>
      <c r="L5" s="126"/>
    </row>
    <row r="6" spans="1:21" s="124" customFormat="1" ht="15" customHeight="1" x14ac:dyDescent="0.2">
      <c r="A6" s="122"/>
      <c r="B6" s="122"/>
      <c r="C6" s="122"/>
      <c r="D6" s="122"/>
      <c r="E6" s="123" t="s">
        <v>1154</v>
      </c>
      <c r="F6" s="122"/>
      <c r="G6" s="39" t="str">
        <f>+Index!$E$11</f>
        <v>North Carolina General Assembly</v>
      </c>
      <c r="H6" s="128"/>
      <c r="I6" s="128"/>
      <c r="J6" s="128"/>
    </row>
    <row r="7" spans="1:21" s="124" customFormat="1" ht="15" customHeight="1" x14ac:dyDescent="0.25">
      <c r="A7" s="122" t="s">
        <v>477</v>
      </c>
      <c r="B7" s="122"/>
      <c r="C7" s="719" t="s">
        <v>805</v>
      </c>
      <c r="D7" s="122"/>
      <c r="E7" s="123" t="s">
        <v>972</v>
      </c>
      <c r="F7" s="122"/>
      <c r="G7" s="771" t="str">
        <f>CONCATENATE(Index!$E$12," ",Index!$E$14)</f>
        <v xml:space="preserve"> </v>
      </c>
      <c r="H7" s="128"/>
      <c r="I7" s="717"/>
      <c r="J7" s="717"/>
    </row>
    <row r="8" spans="1:21" s="124" customFormat="1" ht="15" customHeight="1" x14ac:dyDescent="0.25">
      <c r="A8" s="122"/>
      <c r="B8" s="122"/>
      <c r="C8" s="257"/>
      <c r="D8" s="122"/>
      <c r="E8" s="123" t="s">
        <v>348</v>
      </c>
      <c r="F8" s="122"/>
      <c r="G8" s="907">
        <f>+Index!$E$13</f>
        <v>0</v>
      </c>
      <c r="H8" s="128"/>
      <c r="I8" s="717"/>
      <c r="J8" s="717"/>
    </row>
    <row r="9" spans="1:21" s="124" customFormat="1" ht="6.75" customHeight="1" thickBot="1" x14ac:dyDescent="0.25">
      <c r="A9" s="129"/>
      <c r="B9" s="129"/>
      <c r="C9" s="129"/>
      <c r="D9" s="129"/>
      <c r="E9" s="129"/>
      <c r="F9" s="129"/>
      <c r="G9" s="129"/>
    </row>
    <row r="10" spans="1:21" s="124" customFormat="1" ht="12.75" customHeight="1" thickBot="1" x14ac:dyDescent="0.25"/>
    <row r="11" spans="1:21" s="124" customFormat="1" ht="12.75" customHeight="1" thickTop="1" x14ac:dyDescent="0.2">
      <c r="A11" s="1322" t="s">
        <v>3441</v>
      </c>
      <c r="B11" s="1323"/>
      <c r="C11" s="1323"/>
      <c r="D11" s="1323"/>
      <c r="E11" s="1324"/>
      <c r="F11" s="1324"/>
      <c r="G11" s="1325"/>
    </row>
    <row r="12" spans="1:21" s="124" customFormat="1" ht="12.75" customHeight="1" x14ac:dyDescent="0.2">
      <c r="A12" s="1326" t="s">
        <v>4010</v>
      </c>
      <c r="B12" s="1327"/>
      <c r="C12" s="1327"/>
      <c r="D12" s="1327"/>
      <c r="E12" s="1328"/>
      <c r="F12" s="1328"/>
      <c r="G12" s="1329"/>
    </row>
    <row r="13" spans="1:21" s="124" customFormat="1" ht="12.75" customHeight="1" x14ac:dyDescent="0.2">
      <c r="A13" s="1326" t="s">
        <v>4011</v>
      </c>
      <c r="B13" s="1327"/>
      <c r="C13" s="1327"/>
      <c r="D13" s="1327"/>
      <c r="E13" s="1328"/>
      <c r="F13" s="1328"/>
      <c r="G13" s="1329"/>
    </row>
    <row r="14" spans="1:21" s="124" customFormat="1" ht="12.75" customHeight="1" x14ac:dyDescent="0.2">
      <c r="A14" s="1326" t="s">
        <v>4009</v>
      </c>
      <c r="B14" s="1327"/>
      <c r="C14" s="1327"/>
      <c r="D14" s="1327"/>
      <c r="E14" s="1328"/>
      <c r="F14" s="1328"/>
      <c r="G14" s="1329"/>
    </row>
    <row r="15" spans="1:21" s="124" customFormat="1" ht="12.75" customHeight="1" x14ac:dyDescent="0.2">
      <c r="A15" s="1326" t="s">
        <v>4013</v>
      </c>
      <c r="B15" s="1327"/>
      <c r="C15" s="1327"/>
      <c r="D15" s="1327"/>
      <c r="E15" s="1328"/>
      <c r="F15" s="1328"/>
      <c r="G15" s="1329"/>
    </row>
    <row r="16" spans="1:21" s="124" customFormat="1" ht="12.75" customHeight="1" x14ac:dyDescent="0.2">
      <c r="A16" s="1326" t="s">
        <v>4012</v>
      </c>
      <c r="B16" s="1327"/>
      <c r="C16" s="1327"/>
      <c r="D16" s="1327"/>
      <c r="E16" s="1328"/>
      <c r="F16" s="1328"/>
      <c r="G16" s="1329"/>
    </row>
    <row r="17" spans="1:8" s="124" customFormat="1" ht="12.75" customHeight="1" x14ac:dyDescent="0.2">
      <c r="A17" s="1326"/>
      <c r="B17" s="1327"/>
      <c r="C17" s="1327"/>
      <c r="D17" s="1327"/>
      <c r="E17" s="1328"/>
      <c r="F17" s="1328"/>
      <c r="G17" s="1329"/>
    </row>
    <row r="18" spans="1:8" s="124" customFormat="1" ht="12.75" customHeight="1" x14ac:dyDescent="0.2">
      <c r="A18" s="1326" t="s">
        <v>3859</v>
      </c>
      <c r="B18" s="1327"/>
      <c r="C18" s="1327"/>
      <c r="D18" s="1327"/>
      <c r="E18" s="1328"/>
      <c r="F18" s="1328"/>
      <c r="G18" s="1329"/>
    </row>
    <row r="19" spans="1:8" s="124" customFormat="1" ht="12.75" customHeight="1" thickBot="1" x14ac:dyDescent="0.25">
      <c r="A19" s="1330" t="s">
        <v>3860</v>
      </c>
      <c r="B19" s="1331"/>
      <c r="C19" s="1331"/>
      <c r="D19" s="1331"/>
      <c r="E19" s="1331"/>
      <c r="F19" s="1331"/>
      <c r="G19" s="1332"/>
    </row>
    <row r="20" spans="1:8" s="124" customFormat="1" ht="12.75" customHeight="1" thickTop="1" x14ac:dyDescent="0.2">
      <c r="A20" s="122"/>
    </row>
    <row r="21" spans="1:8" s="124" customFormat="1" ht="15" customHeight="1" x14ac:dyDescent="0.25">
      <c r="A21" s="756" t="s">
        <v>4819</v>
      </c>
    </row>
    <row r="22" spans="1:8" s="124" customFormat="1" ht="15" customHeight="1" x14ac:dyDescent="0.2">
      <c r="A22" s="38" t="s">
        <v>4820</v>
      </c>
      <c r="B22" s="38"/>
      <c r="C22" s="38"/>
      <c r="D22" s="38"/>
      <c r="E22" s="38"/>
      <c r="F22" s="38"/>
      <c r="G22" s="38"/>
    </row>
    <row r="23" spans="1:8" s="124" customFormat="1" ht="15" customHeight="1" x14ac:dyDescent="0.2">
      <c r="A23" s="38" t="s">
        <v>4821</v>
      </c>
      <c r="B23" s="38"/>
      <c r="C23" s="38"/>
      <c r="D23" s="38"/>
      <c r="E23" s="38"/>
      <c r="F23" s="38"/>
      <c r="G23" s="38"/>
    </row>
    <row r="24" spans="1:8" s="124" customFormat="1" ht="15" customHeight="1" x14ac:dyDescent="0.2">
      <c r="A24" s="38" t="s">
        <v>4822</v>
      </c>
      <c r="B24" s="38"/>
      <c r="C24" s="38"/>
      <c r="D24" s="38"/>
      <c r="E24" s="38"/>
      <c r="F24" s="38"/>
      <c r="G24" s="38"/>
    </row>
    <row r="25" spans="1:8" s="124" customFormat="1" ht="15" customHeight="1" x14ac:dyDescent="0.2"/>
    <row r="26" spans="1:8" s="124" customFormat="1" ht="15" customHeight="1" x14ac:dyDescent="0.2">
      <c r="A26" s="124" t="s">
        <v>570</v>
      </c>
    </row>
    <row r="27" spans="1:8" s="124" customFormat="1" ht="12" customHeight="1" x14ac:dyDescent="0.2"/>
    <row r="28" spans="1:8" s="720" customFormat="1" ht="15" customHeight="1" x14ac:dyDescent="0.2">
      <c r="C28" s="720" t="s">
        <v>130</v>
      </c>
    </row>
    <row r="29" spans="1:8" s="720" customFormat="1" ht="15" customHeight="1" x14ac:dyDescent="0.2">
      <c r="C29" s="720" t="s">
        <v>560</v>
      </c>
    </row>
    <row r="30" spans="1:8" s="720" customFormat="1" ht="15" customHeight="1" x14ac:dyDescent="0.2">
      <c r="C30" s="720" t="s">
        <v>561</v>
      </c>
    </row>
    <row r="31" spans="1:8" s="720" customFormat="1" ht="15" customHeight="1" x14ac:dyDescent="0.2">
      <c r="C31" s="720" t="s">
        <v>562</v>
      </c>
    </row>
    <row r="32" spans="1:8" s="124" customFormat="1" ht="15" customHeight="1" thickBot="1" x14ac:dyDescent="0.25">
      <c r="C32" s="721" t="s">
        <v>131</v>
      </c>
      <c r="D32" s="721"/>
      <c r="E32" s="721"/>
      <c r="H32" s="722"/>
    </row>
    <row r="33" spans="1:21" s="124" customFormat="1" ht="12" customHeight="1" thickTop="1" x14ac:dyDescent="0.2">
      <c r="E33" s="722"/>
      <c r="F33" s="722"/>
      <c r="G33" s="722"/>
      <c r="H33" s="722"/>
    </row>
    <row r="34" spans="1:21" s="124" customFormat="1" ht="15" customHeight="1" x14ac:dyDescent="0.2"/>
    <row r="35" spans="1:21" s="723" customFormat="1" ht="12" customHeight="1" x14ac:dyDescent="0.2">
      <c r="A35" s="124"/>
      <c r="B35" s="124"/>
      <c r="C35" s="124"/>
      <c r="D35" s="124"/>
      <c r="E35" s="124"/>
      <c r="G35" s="124"/>
      <c r="H35" s="124"/>
      <c r="I35" s="124"/>
      <c r="J35" s="124"/>
      <c r="K35" s="124"/>
      <c r="L35" s="124"/>
      <c r="M35" s="124"/>
      <c r="N35" s="124"/>
      <c r="O35" s="124"/>
      <c r="P35" s="124"/>
      <c r="Q35" s="124"/>
      <c r="R35" s="124"/>
      <c r="S35" s="124"/>
      <c r="T35" s="124"/>
      <c r="U35" s="124"/>
    </row>
    <row r="36" spans="1:21" s="723" customFormat="1" ht="38.25" x14ac:dyDescent="0.2">
      <c r="A36" s="124"/>
      <c r="B36" s="124"/>
      <c r="C36" s="124"/>
      <c r="D36" s="124"/>
      <c r="E36" s="124"/>
      <c r="G36" s="2425" t="s">
        <v>4825</v>
      </c>
      <c r="H36" s="124"/>
      <c r="I36" s="124"/>
      <c r="J36" s="124"/>
      <c r="K36" s="124"/>
      <c r="L36" s="124"/>
      <c r="M36" s="124"/>
      <c r="N36" s="124"/>
      <c r="O36" s="124"/>
      <c r="P36" s="124"/>
      <c r="Q36" s="124"/>
      <c r="R36" s="124"/>
      <c r="S36" s="124"/>
      <c r="T36" s="124"/>
      <c r="U36" s="124"/>
    </row>
    <row r="37" spans="1:21" s="124" customFormat="1" ht="20.100000000000001" customHeight="1" x14ac:dyDescent="0.2">
      <c r="B37" s="2941" t="s">
        <v>3580</v>
      </c>
      <c r="C37" s="2942"/>
      <c r="D37" s="2942"/>
      <c r="E37" s="2942"/>
      <c r="G37" s="519"/>
    </row>
    <row r="38" spans="1:21" s="124" customFormat="1" ht="20.100000000000001" customHeight="1" thickBot="1" x14ac:dyDescent="0.25">
      <c r="B38" s="2943" t="s">
        <v>4823</v>
      </c>
      <c r="C38" s="2944"/>
      <c r="D38" s="2944"/>
      <c r="E38" s="2944"/>
      <c r="G38" s="1404"/>
    </row>
    <row r="39" spans="1:21" s="124" customFormat="1" ht="25.35" customHeight="1" thickBot="1" x14ac:dyDescent="0.25">
      <c r="B39" s="2938" t="s">
        <v>4824</v>
      </c>
      <c r="C39" s="2939"/>
      <c r="D39" s="2939"/>
      <c r="E39" s="2939"/>
      <c r="G39" s="1421">
        <f>SUM(G37:G38)</f>
        <v>0</v>
      </c>
    </row>
    <row r="40" spans="1:21" s="124" customFormat="1" ht="15" customHeight="1" thickTop="1" x14ac:dyDescent="0.2"/>
    <row r="41" spans="1:21" s="124" customFormat="1" ht="15" customHeight="1" x14ac:dyDescent="0.2"/>
    <row r="42" spans="1:21" s="726" customFormat="1" ht="15" customHeight="1" x14ac:dyDescent="0.2">
      <c r="C42" s="725"/>
      <c r="D42" s="725"/>
      <c r="F42" s="725"/>
      <c r="G42" s="725"/>
      <c r="H42" s="725"/>
      <c r="I42" s="725"/>
      <c r="J42" s="725"/>
      <c r="K42" s="725"/>
      <c r="L42" s="725"/>
      <c r="M42" s="725"/>
      <c r="N42" s="725"/>
      <c r="O42" s="725"/>
      <c r="P42" s="725"/>
      <c r="Q42" s="725"/>
      <c r="R42" s="725"/>
      <c r="S42" s="725"/>
      <c r="T42" s="725"/>
      <c r="U42" s="725"/>
    </row>
    <row r="43" spans="1:21" s="726" customFormat="1" ht="15" customHeight="1" x14ac:dyDescent="0.25">
      <c r="A43" s="756" t="s">
        <v>3444</v>
      </c>
      <c r="C43" s="725"/>
      <c r="D43" s="725"/>
      <c r="F43" s="725"/>
      <c r="G43" s="725"/>
      <c r="H43" s="725"/>
      <c r="I43" s="725"/>
      <c r="J43" s="725"/>
      <c r="K43" s="725"/>
      <c r="L43" s="725"/>
      <c r="M43" s="725"/>
      <c r="N43" s="725"/>
      <c r="O43" s="725"/>
      <c r="P43" s="725"/>
      <c r="Q43" s="725"/>
      <c r="R43" s="725"/>
      <c r="S43" s="725"/>
      <c r="T43" s="725"/>
      <c r="U43" s="725"/>
    </row>
    <row r="44" spans="1:21" s="726" customFormat="1" ht="15" customHeight="1" x14ac:dyDescent="0.2">
      <c r="C44" s="725"/>
      <c r="D44" s="725"/>
      <c r="F44" s="725"/>
      <c r="G44" s="725"/>
      <c r="H44" s="725"/>
      <c r="I44" s="725"/>
      <c r="J44" s="725"/>
      <c r="K44" s="725"/>
      <c r="L44" s="725"/>
      <c r="M44" s="725"/>
      <c r="N44" s="725"/>
      <c r="O44" s="725"/>
      <c r="P44" s="725"/>
      <c r="Q44" s="725"/>
      <c r="R44" s="725"/>
      <c r="S44" s="725"/>
      <c r="T44" s="725"/>
      <c r="U44" s="725"/>
    </row>
    <row r="45" spans="1:21" s="726" customFormat="1" ht="25.5" customHeight="1" x14ac:dyDescent="0.2">
      <c r="B45" s="124"/>
      <c r="C45" s="124"/>
      <c r="D45" s="124"/>
      <c r="E45" s="124"/>
      <c r="F45" s="723"/>
      <c r="G45" s="724" t="s">
        <v>3581</v>
      </c>
      <c r="H45" s="725"/>
      <c r="I45" s="725"/>
      <c r="J45" s="725"/>
      <c r="K45" s="725"/>
      <c r="L45" s="725"/>
      <c r="M45" s="725"/>
      <c r="N45" s="725"/>
      <c r="O45" s="725"/>
      <c r="P45" s="725"/>
      <c r="Q45" s="725"/>
      <c r="R45" s="725"/>
      <c r="S45" s="725"/>
      <c r="T45" s="725"/>
      <c r="U45" s="725"/>
    </row>
    <row r="46" spans="1:21" s="726" customFormat="1" ht="15" customHeight="1" x14ac:dyDescent="0.2">
      <c r="B46" s="2941" t="s">
        <v>4008</v>
      </c>
      <c r="C46" s="2942"/>
      <c r="D46" s="2942"/>
      <c r="E46" s="2942"/>
      <c r="F46" s="124"/>
      <c r="G46" s="519"/>
      <c r="H46" s="725"/>
      <c r="I46" s="725"/>
      <c r="J46" s="725"/>
      <c r="K46" s="725"/>
      <c r="L46" s="725"/>
      <c r="M46" s="725"/>
      <c r="N46" s="725"/>
      <c r="O46" s="725"/>
      <c r="P46" s="725"/>
      <c r="Q46" s="725"/>
      <c r="R46" s="725"/>
      <c r="S46" s="725"/>
      <c r="T46" s="725"/>
      <c r="U46" s="725"/>
    </row>
    <row r="47" spans="1:21" s="726" customFormat="1" ht="15" customHeight="1" x14ac:dyDescent="0.2">
      <c r="B47" s="519"/>
      <c r="C47" s="519"/>
      <c r="D47" s="519"/>
      <c r="E47" s="519"/>
      <c r="F47" s="124"/>
      <c r="G47" s="519"/>
      <c r="H47" s="725"/>
      <c r="I47" s="725"/>
      <c r="J47" s="725"/>
      <c r="K47" s="725"/>
      <c r="L47" s="725"/>
      <c r="M47" s="725"/>
      <c r="N47" s="725"/>
      <c r="O47" s="725"/>
      <c r="P47" s="725"/>
      <c r="Q47" s="725"/>
      <c r="R47" s="725"/>
      <c r="S47" s="725"/>
      <c r="T47" s="725"/>
      <c r="U47" s="725"/>
    </row>
    <row r="48" spans="1:21" s="726" customFormat="1" ht="15" customHeight="1" thickBot="1" x14ac:dyDescent="0.25">
      <c r="B48" s="519"/>
      <c r="C48" s="519"/>
      <c r="D48" s="519"/>
      <c r="E48" s="519"/>
      <c r="F48" s="124"/>
      <c r="G48" s="1404"/>
      <c r="H48" s="725"/>
      <c r="I48" s="725"/>
      <c r="J48" s="725"/>
      <c r="K48" s="725"/>
      <c r="L48" s="725"/>
      <c r="M48" s="725"/>
      <c r="N48" s="725"/>
      <c r="O48" s="725"/>
      <c r="P48" s="725"/>
      <c r="Q48" s="725"/>
      <c r="R48" s="725"/>
      <c r="S48" s="725"/>
      <c r="T48" s="725"/>
      <c r="U48" s="725"/>
    </row>
    <row r="49" spans="1:21" s="726" customFormat="1" ht="25.5" customHeight="1" thickBot="1" x14ac:dyDescent="0.25">
      <c r="B49" s="2938" t="s">
        <v>3582</v>
      </c>
      <c r="C49" s="2939"/>
      <c r="D49" s="2939"/>
      <c r="E49" s="2939"/>
      <c r="F49" s="124"/>
      <c r="G49" s="1421">
        <f>SUM(G46:G48)</f>
        <v>0</v>
      </c>
      <c r="H49" s="725"/>
      <c r="I49" s="725"/>
      <c r="J49" s="725"/>
      <c r="K49" s="725"/>
      <c r="L49" s="725"/>
      <c r="M49" s="725"/>
      <c r="N49" s="725"/>
      <c r="O49" s="725"/>
      <c r="P49" s="725"/>
      <c r="Q49" s="725"/>
      <c r="R49" s="725"/>
      <c r="S49" s="725"/>
      <c r="T49" s="725"/>
      <c r="U49" s="725"/>
    </row>
    <row r="50" spans="1:21" s="726" customFormat="1" ht="15" customHeight="1" thickTop="1" x14ac:dyDescent="0.2">
      <c r="B50" s="684"/>
      <c r="C50" s="1405"/>
      <c r="D50" s="124"/>
      <c r="E50" s="124"/>
      <c r="F50" s="124"/>
      <c r="G50" s="1404"/>
      <c r="H50" s="725"/>
      <c r="I50" s="725"/>
      <c r="J50" s="725"/>
      <c r="K50" s="725"/>
      <c r="L50" s="725"/>
      <c r="M50" s="725"/>
      <c r="N50" s="725"/>
      <c r="O50" s="725"/>
      <c r="P50" s="725"/>
      <c r="Q50" s="725"/>
      <c r="R50" s="725"/>
      <c r="S50" s="725"/>
      <c r="T50" s="725"/>
      <c r="U50" s="725"/>
    </row>
    <row r="51" spans="1:21" s="726" customFormat="1" ht="15" customHeight="1" x14ac:dyDescent="0.2">
      <c r="A51" s="38" t="s">
        <v>3584</v>
      </c>
      <c r="C51" s="725"/>
      <c r="D51" s="725"/>
      <c r="F51" s="725"/>
      <c r="G51" s="725"/>
      <c r="H51" s="725"/>
      <c r="I51" s="725"/>
      <c r="J51" s="725"/>
      <c r="K51" s="725"/>
      <c r="L51" s="725"/>
      <c r="M51" s="725"/>
      <c r="N51" s="725"/>
      <c r="O51" s="725"/>
      <c r="P51" s="725"/>
      <c r="Q51" s="725"/>
      <c r="R51" s="725"/>
      <c r="S51" s="725"/>
      <c r="T51" s="725"/>
      <c r="U51" s="725"/>
    </row>
    <row r="52" spans="1:21" s="726" customFormat="1" ht="15" customHeight="1" x14ac:dyDescent="0.2">
      <c r="A52" s="38" t="s">
        <v>3583</v>
      </c>
      <c r="C52" s="725"/>
      <c r="D52" s="725"/>
      <c r="F52" s="725"/>
      <c r="G52" s="725"/>
      <c r="H52" s="725"/>
      <c r="I52" s="725"/>
      <c r="J52" s="725"/>
      <c r="K52" s="725"/>
      <c r="L52" s="725"/>
      <c r="M52" s="725"/>
      <c r="N52" s="725"/>
      <c r="O52" s="725"/>
      <c r="P52" s="725"/>
      <c r="Q52" s="725"/>
      <c r="R52" s="725"/>
      <c r="S52" s="725"/>
      <c r="T52" s="725"/>
      <c r="U52" s="725"/>
    </row>
    <row r="53" spans="1:21" s="726" customFormat="1" ht="15" customHeight="1" x14ac:dyDescent="0.2">
      <c r="A53" s="122"/>
      <c r="C53" s="725"/>
      <c r="D53" s="725"/>
      <c r="F53" s="725"/>
      <c r="G53" s="725"/>
      <c r="H53" s="725"/>
      <c r="I53" s="725"/>
      <c r="J53" s="725"/>
      <c r="K53" s="725"/>
      <c r="L53" s="725"/>
      <c r="M53" s="725"/>
      <c r="N53" s="725"/>
      <c r="O53" s="725"/>
      <c r="P53" s="725"/>
      <c r="Q53" s="725"/>
      <c r="R53" s="725"/>
      <c r="S53" s="725"/>
      <c r="T53" s="725"/>
      <c r="U53" s="725"/>
    </row>
    <row r="54" spans="1:21" s="726" customFormat="1" ht="15" customHeight="1" x14ac:dyDescent="0.2">
      <c r="A54" s="122"/>
      <c r="E54" s="725"/>
      <c r="F54" s="725"/>
      <c r="H54" s="725"/>
      <c r="I54" s="725"/>
      <c r="J54" s="725"/>
      <c r="K54" s="725"/>
      <c r="L54" s="725"/>
      <c r="M54" s="725"/>
      <c r="N54" s="725"/>
      <c r="O54" s="725"/>
      <c r="P54" s="725"/>
      <c r="Q54" s="725"/>
      <c r="R54" s="725"/>
      <c r="S54" s="725"/>
      <c r="T54" s="725"/>
      <c r="U54" s="725"/>
    </row>
    <row r="55" spans="1:21" s="726" customFormat="1" ht="15" customHeight="1" x14ac:dyDescent="0.2">
      <c r="E55" s="725"/>
      <c r="F55" s="725"/>
      <c r="G55" s="725"/>
      <c r="H55" s="725"/>
      <c r="I55" s="725"/>
      <c r="J55" s="725"/>
      <c r="K55" s="725"/>
      <c r="L55" s="725"/>
      <c r="M55" s="725"/>
      <c r="N55" s="725"/>
      <c r="O55" s="725"/>
      <c r="P55" s="725"/>
      <c r="Q55" s="725"/>
      <c r="R55" s="725"/>
      <c r="S55" s="725"/>
      <c r="T55" s="725"/>
      <c r="U55" s="725"/>
    </row>
    <row r="56" spans="1:21" ht="15" customHeight="1" x14ac:dyDescent="0.2">
      <c r="E56" s="725"/>
      <c r="F56" s="725"/>
      <c r="G56" s="725"/>
      <c r="H56" s="725"/>
      <c r="I56" s="725"/>
      <c r="J56" s="725"/>
      <c r="K56" s="725"/>
      <c r="L56" s="725"/>
      <c r="M56" s="725"/>
      <c r="N56" s="725"/>
      <c r="O56" s="725"/>
      <c r="P56" s="725"/>
      <c r="Q56" s="725"/>
      <c r="R56" s="725"/>
      <c r="S56" s="725"/>
      <c r="T56" s="725"/>
      <c r="U56" s="725"/>
    </row>
    <row r="57" spans="1:21" ht="15" customHeight="1" x14ac:dyDescent="0.2">
      <c r="E57" s="725"/>
      <c r="F57" s="725"/>
      <c r="G57" s="725"/>
      <c r="H57" s="725"/>
      <c r="I57" s="725"/>
      <c r="J57" s="725"/>
      <c r="K57" s="725"/>
      <c r="L57" s="725"/>
      <c r="M57" s="725"/>
      <c r="N57" s="725"/>
      <c r="O57" s="725"/>
      <c r="P57" s="725"/>
      <c r="Q57" s="725"/>
      <c r="R57" s="725"/>
      <c r="S57" s="725"/>
      <c r="T57" s="725"/>
      <c r="U57" s="725"/>
    </row>
    <row r="58" spans="1:21" ht="15" customHeight="1" x14ac:dyDescent="0.2">
      <c r="M58" s="725"/>
      <c r="N58" s="725"/>
      <c r="O58" s="725"/>
      <c r="P58" s="725"/>
      <c r="Q58" s="725"/>
      <c r="R58" s="725"/>
      <c r="S58" s="725"/>
      <c r="T58" s="725"/>
      <c r="U58" s="725"/>
    </row>
    <row r="59" spans="1:21" ht="15" customHeight="1" x14ac:dyDescent="0.2">
      <c r="M59" s="725"/>
      <c r="N59" s="725"/>
      <c r="O59" s="725"/>
      <c r="P59" s="725"/>
      <c r="Q59" s="725"/>
      <c r="R59" s="725"/>
      <c r="S59" s="725"/>
      <c r="T59" s="725"/>
      <c r="U59" s="725"/>
    </row>
    <row r="60" spans="1:21" ht="15" customHeight="1" x14ac:dyDescent="0.2">
      <c r="M60" s="725"/>
      <c r="N60" s="725"/>
      <c r="O60" s="725"/>
      <c r="P60" s="725"/>
      <c r="Q60" s="725"/>
      <c r="R60" s="725"/>
      <c r="S60" s="725"/>
      <c r="T60" s="725"/>
      <c r="U60" s="725"/>
    </row>
    <row r="61" spans="1:21" ht="15" customHeight="1" x14ac:dyDescent="0.2">
      <c r="M61" s="725"/>
      <c r="N61" s="725"/>
      <c r="O61" s="725"/>
      <c r="P61" s="725"/>
      <c r="Q61" s="725"/>
      <c r="R61" s="725"/>
      <c r="S61" s="725"/>
      <c r="T61" s="725"/>
      <c r="U61" s="725"/>
    </row>
    <row r="62" spans="1:21" ht="15" customHeight="1" x14ac:dyDescent="0.2">
      <c r="M62" s="725"/>
      <c r="N62" s="725"/>
      <c r="O62" s="725"/>
      <c r="P62" s="725"/>
      <c r="Q62" s="725"/>
      <c r="R62" s="725"/>
      <c r="S62" s="725"/>
      <c r="T62" s="725"/>
      <c r="U62" s="725"/>
    </row>
    <row r="63" spans="1:21" ht="15" customHeight="1" x14ac:dyDescent="0.2">
      <c r="M63" s="725"/>
      <c r="N63" s="725"/>
      <c r="O63" s="725"/>
      <c r="P63" s="725"/>
      <c r="Q63" s="725"/>
      <c r="R63" s="725"/>
      <c r="S63" s="725"/>
      <c r="T63" s="725"/>
      <c r="U63" s="725"/>
    </row>
    <row r="64" spans="1:21" ht="15" customHeight="1" x14ac:dyDescent="0.2">
      <c r="M64" s="725"/>
      <c r="N64" s="725"/>
      <c r="O64" s="725"/>
      <c r="P64" s="725"/>
      <c r="Q64" s="725"/>
      <c r="R64" s="725"/>
      <c r="S64" s="725"/>
      <c r="T64" s="725"/>
      <c r="U64" s="725"/>
    </row>
    <row r="65" spans="13:21" ht="15" customHeight="1" x14ac:dyDescent="0.2">
      <c r="M65" s="725"/>
      <c r="N65" s="725"/>
      <c r="O65" s="725"/>
      <c r="P65" s="725"/>
      <c r="Q65" s="725"/>
      <c r="R65" s="725"/>
      <c r="S65" s="725"/>
      <c r="T65" s="725"/>
      <c r="U65" s="725"/>
    </row>
    <row r="66" spans="13:21" ht="15" customHeight="1" x14ac:dyDescent="0.2">
      <c r="M66" s="725"/>
      <c r="N66" s="725"/>
      <c r="O66" s="725"/>
      <c r="P66" s="725"/>
      <c r="Q66" s="725"/>
      <c r="R66" s="725"/>
      <c r="S66" s="725"/>
      <c r="T66" s="725"/>
      <c r="U66" s="725"/>
    </row>
    <row r="67" spans="13:21" ht="15" customHeight="1" x14ac:dyDescent="0.2">
      <c r="M67" s="725"/>
      <c r="N67" s="725"/>
      <c r="O67" s="725"/>
      <c r="P67" s="725"/>
      <c r="Q67" s="725"/>
      <c r="R67" s="725"/>
      <c r="S67" s="725"/>
      <c r="T67" s="725"/>
      <c r="U67" s="725"/>
    </row>
    <row r="68" spans="13:21" ht="15" customHeight="1" x14ac:dyDescent="0.2">
      <c r="M68" s="725"/>
      <c r="N68" s="725"/>
      <c r="O68" s="725"/>
      <c r="P68" s="725"/>
      <c r="Q68" s="725"/>
      <c r="R68" s="725"/>
      <c r="S68" s="725"/>
      <c r="T68" s="725"/>
      <c r="U68" s="725"/>
    </row>
    <row r="69" spans="13:21" ht="15" customHeight="1" x14ac:dyDescent="0.2">
      <c r="M69" s="725"/>
      <c r="N69" s="725"/>
      <c r="O69" s="725"/>
      <c r="P69" s="725"/>
      <c r="Q69" s="725"/>
      <c r="R69" s="725"/>
      <c r="S69" s="725"/>
      <c r="T69" s="725"/>
      <c r="U69" s="725"/>
    </row>
    <row r="70" spans="13:21" ht="15" customHeight="1" x14ac:dyDescent="0.2">
      <c r="M70" s="725"/>
      <c r="N70" s="725"/>
      <c r="O70" s="725"/>
      <c r="P70" s="725"/>
      <c r="Q70" s="725"/>
      <c r="R70" s="725"/>
      <c r="S70" s="725"/>
      <c r="T70" s="725"/>
      <c r="U70" s="725"/>
    </row>
    <row r="71" spans="13:21" ht="15" customHeight="1" x14ac:dyDescent="0.2">
      <c r="M71" s="725"/>
      <c r="N71" s="725"/>
      <c r="O71" s="725"/>
      <c r="P71" s="725"/>
      <c r="Q71" s="725"/>
      <c r="R71" s="725"/>
      <c r="S71" s="725"/>
      <c r="T71" s="725"/>
      <c r="U71" s="725"/>
    </row>
    <row r="72" spans="13:21" ht="15" customHeight="1" x14ac:dyDescent="0.2">
      <c r="M72" s="725"/>
      <c r="N72" s="725"/>
      <c r="O72" s="725"/>
      <c r="P72" s="725"/>
      <c r="Q72" s="725"/>
      <c r="R72" s="725"/>
      <c r="S72" s="725"/>
      <c r="T72" s="725"/>
      <c r="U72" s="725"/>
    </row>
    <row r="73" spans="13:21" ht="15" customHeight="1" x14ac:dyDescent="0.2">
      <c r="M73" s="725"/>
      <c r="N73" s="725"/>
      <c r="O73" s="725"/>
      <c r="P73" s="725"/>
      <c r="Q73" s="725"/>
      <c r="R73" s="725"/>
      <c r="S73" s="725"/>
      <c r="T73" s="725"/>
      <c r="U73" s="725"/>
    </row>
    <row r="74" spans="13:21" ht="15" customHeight="1" x14ac:dyDescent="0.2">
      <c r="M74" s="725"/>
      <c r="N74" s="725"/>
      <c r="O74" s="725"/>
      <c r="P74" s="725"/>
      <c r="Q74" s="725"/>
      <c r="R74" s="725"/>
      <c r="S74" s="725"/>
      <c r="T74" s="725"/>
      <c r="U74" s="725"/>
    </row>
    <row r="75" spans="13:21" ht="15" customHeight="1" x14ac:dyDescent="0.2">
      <c r="M75" s="725"/>
      <c r="N75" s="725"/>
      <c r="O75" s="725"/>
      <c r="P75" s="725"/>
      <c r="Q75" s="725"/>
      <c r="R75" s="725"/>
      <c r="S75" s="725"/>
      <c r="T75" s="725"/>
      <c r="U75" s="725"/>
    </row>
    <row r="76" spans="13:21" ht="15" customHeight="1" x14ac:dyDescent="0.2">
      <c r="M76" s="725"/>
      <c r="N76" s="725"/>
      <c r="O76" s="725"/>
      <c r="P76" s="725"/>
      <c r="Q76" s="725"/>
      <c r="R76" s="725"/>
      <c r="S76" s="725"/>
      <c r="T76" s="725"/>
      <c r="U76" s="725"/>
    </row>
    <row r="77" spans="13:21" ht="15" customHeight="1" x14ac:dyDescent="0.2">
      <c r="M77" s="725"/>
      <c r="N77" s="725"/>
      <c r="O77" s="725"/>
      <c r="P77" s="725"/>
      <c r="Q77" s="725"/>
      <c r="R77" s="725"/>
      <c r="S77" s="725"/>
      <c r="T77" s="725"/>
      <c r="U77" s="725"/>
    </row>
    <row r="78" spans="13:21" ht="15" customHeight="1" x14ac:dyDescent="0.2">
      <c r="M78" s="725"/>
      <c r="N78" s="725"/>
      <c r="O78" s="725"/>
      <c r="P78" s="725"/>
      <c r="Q78" s="725"/>
      <c r="R78" s="725"/>
      <c r="S78" s="725"/>
      <c r="T78" s="725"/>
      <c r="U78" s="725"/>
    </row>
    <row r="79" spans="13:21" ht="15" customHeight="1" x14ac:dyDescent="0.2">
      <c r="M79" s="725"/>
      <c r="N79" s="725"/>
      <c r="O79" s="725"/>
      <c r="P79" s="725"/>
      <c r="Q79" s="725"/>
      <c r="R79" s="725"/>
      <c r="S79" s="725"/>
      <c r="T79" s="725"/>
      <c r="U79" s="725"/>
    </row>
    <row r="80" spans="13:21" x14ac:dyDescent="0.2">
      <c r="M80" s="725"/>
      <c r="N80" s="725"/>
      <c r="O80" s="725"/>
      <c r="P80" s="725"/>
      <c r="Q80" s="725"/>
      <c r="R80" s="725"/>
      <c r="S80" s="725"/>
      <c r="T80" s="725"/>
      <c r="U80" s="725"/>
    </row>
    <row r="81" spans="13:21" x14ac:dyDescent="0.2">
      <c r="M81" s="725"/>
      <c r="N81" s="725"/>
      <c r="O81" s="725"/>
      <c r="P81" s="725"/>
      <c r="Q81" s="725"/>
      <c r="R81" s="725"/>
      <c r="S81" s="725"/>
      <c r="T81" s="725"/>
      <c r="U81" s="725"/>
    </row>
    <row r="82" spans="13:21" x14ac:dyDescent="0.2">
      <c r="M82" s="725"/>
      <c r="N82" s="725"/>
      <c r="O82" s="725"/>
      <c r="P82" s="725"/>
      <c r="Q82" s="725"/>
      <c r="R82" s="725"/>
      <c r="S82" s="725"/>
      <c r="T82" s="725"/>
      <c r="U82" s="725"/>
    </row>
    <row r="83" spans="13:21" x14ac:dyDescent="0.2">
      <c r="M83" s="725"/>
      <c r="N83" s="725"/>
      <c r="O83" s="725"/>
      <c r="P83" s="725"/>
      <c r="Q83" s="725"/>
      <c r="R83" s="725"/>
      <c r="S83" s="725"/>
      <c r="T83" s="725"/>
      <c r="U83" s="725"/>
    </row>
    <row r="84" spans="13:21" x14ac:dyDescent="0.2">
      <c r="M84" s="725"/>
      <c r="N84" s="725"/>
      <c r="O84" s="725"/>
      <c r="P84" s="725"/>
      <c r="Q84" s="725"/>
      <c r="R84" s="725"/>
      <c r="S84" s="725"/>
      <c r="T84" s="725"/>
      <c r="U84" s="725"/>
    </row>
    <row r="85" spans="13:21" x14ac:dyDescent="0.2">
      <c r="M85" s="725"/>
      <c r="N85" s="725"/>
      <c r="O85" s="725"/>
      <c r="P85" s="725"/>
      <c r="Q85" s="725"/>
      <c r="R85" s="725"/>
      <c r="S85" s="725"/>
      <c r="T85" s="725"/>
      <c r="U85" s="725"/>
    </row>
    <row r="86" spans="13:21" x14ac:dyDescent="0.2">
      <c r="M86" s="725"/>
      <c r="N86" s="725"/>
      <c r="O86" s="725"/>
      <c r="P86" s="725"/>
      <c r="Q86" s="725"/>
      <c r="R86" s="725"/>
      <c r="S86" s="725"/>
      <c r="T86" s="725"/>
      <c r="U86" s="725"/>
    </row>
    <row r="87" spans="13:21" x14ac:dyDescent="0.2">
      <c r="M87" s="725"/>
      <c r="N87" s="725"/>
      <c r="O87" s="725"/>
      <c r="P87" s="725"/>
      <c r="Q87" s="725"/>
      <c r="R87" s="725"/>
      <c r="S87" s="725"/>
      <c r="T87" s="725"/>
      <c r="U87" s="725"/>
    </row>
    <row r="88" spans="13:21" x14ac:dyDescent="0.2">
      <c r="M88" s="725"/>
      <c r="N88" s="725"/>
      <c r="O88" s="725"/>
      <c r="P88" s="725"/>
      <c r="Q88" s="725"/>
      <c r="R88" s="725"/>
      <c r="S88" s="725"/>
      <c r="T88" s="725"/>
      <c r="U88" s="725"/>
    </row>
    <row r="89" spans="13:21" x14ac:dyDescent="0.2">
      <c r="M89" s="725"/>
      <c r="N89" s="725"/>
      <c r="O89" s="725"/>
      <c r="P89" s="725"/>
      <c r="Q89" s="725"/>
      <c r="R89" s="725"/>
      <c r="S89" s="725"/>
      <c r="T89" s="725"/>
      <c r="U89" s="725"/>
    </row>
    <row r="90" spans="13:21" x14ac:dyDescent="0.2">
      <c r="M90" s="725"/>
      <c r="N90" s="725"/>
      <c r="O90" s="725"/>
      <c r="P90" s="725"/>
      <c r="Q90" s="725"/>
      <c r="R90" s="725"/>
      <c r="S90" s="725"/>
      <c r="T90" s="725"/>
      <c r="U90" s="725"/>
    </row>
    <row r="91" spans="13:21" x14ac:dyDescent="0.2">
      <c r="M91" s="725"/>
      <c r="N91" s="725"/>
      <c r="O91" s="725"/>
      <c r="P91" s="725"/>
      <c r="Q91" s="725"/>
      <c r="R91" s="725"/>
      <c r="S91" s="725"/>
      <c r="T91" s="725"/>
      <c r="U91" s="725"/>
    </row>
    <row r="92" spans="13:21" x14ac:dyDescent="0.2">
      <c r="M92" s="725"/>
      <c r="N92" s="725"/>
      <c r="O92" s="725"/>
      <c r="P92" s="725"/>
      <c r="Q92" s="725"/>
      <c r="R92" s="725"/>
      <c r="S92" s="725"/>
      <c r="T92" s="725"/>
      <c r="U92" s="725"/>
    </row>
    <row r="93" spans="13:21" x14ac:dyDescent="0.2">
      <c r="M93" s="725"/>
      <c r="N93" s="725"/>
      <c r="O93" s="725"/>
      <c r="P93" s="725"/>
      <c r="Q93" s="725"/>
      <c r="R93" s="725"/>
      <c r="S93" s="725"/>
      <c r="T93" s="725"/>
      <c r="U93" s="725"/>
    </row>
    <row r="94" spans="13:21" x14ac:dyDescent="0.2">
      <c r="M94" s="725"/>
      <c r="N94" s="725"/>
      <c r="O94" s="725"/>
      <c r="P94" s="725"/>
      <c r="Q94" s="725"/>
      <c r="R94" s="725"/>
      <c r="S94" s="725"/>
      <c r="T94" s="725"/>
      <c r="U94" s="725"/>
    </row>
    <row r="95" spans="13:21" x14ac:dyDescent="0.2">
      <c r="M95" s="725"/>
      <c r="N95" s="725"/>
      <c r="O95" s="725"/>
      <c r="P95" s="725"/>
      <c r="Q95" s="725"/>
      <c r="R95" s="725"/>
      <c r="S95" s="725"/>
      <c r="T95" s="725"/>
      <c r="U95" s="725"/>
    </row>
    <row r="96" spans="13:21" x14ac:dyDescent="0.2">
      <c r="M96" s="725"/>
      <c r="N96" s="725"/>
      <c r="O96" s="725"/>
      <c r="P96" s="725"/>
      <c r="Q96" s="725"/>
      <c r="R96" s="725"/>
      <c r="S96" s="725"/>
      <c r="T96" s="725"/>
      <c r="U96" s="725"/>
    </row>
    <row r="97" spans="13:21" x14ac:dyDescent="0.2">
      <c r="M97" s="725"/>
      <c r="N97" s="725"/>
      <c r="O97" s="725"/>
      <c r="P97" s="725"/>
      <c r="Q97" s="725"/>
      <c r="R97" s="725"/>
      <c r="S97" s="725"/>
      <c r="T97" s="725"/>
      <c r="U97" s="725"/>
    </row>
    <row r="98" spans="13:21" x14ac:dyDescent="0.2">
      <c r="M98" s="725"/>
      <c r="N98" s="725"/>
      <c r="O98" s="725"/>
      <c r="P98" s="725"/>
      <c r="Q98" s="725"/>
      <c r="R98" s="725"/>
      <c r="S98" s="725"/>
      <c r="T98" s="725"/>
      <c r="U98" s="725"/>
    </row>
    <row r="99" spans="13:21" x14ac:dyDescent="0.2">
      <c r="M99" s="725"/>
      <c r="N99" s="725"/>
      <c r="O99" s="725"/>
      <c r="P99" s="725"/>
      <c r="Q99" s="725"/>
      <c r="R99" s="725"/>
      <c r="S99" s="725"/>
      <c r="T99" s="725"/>
      <c r="U99" s="725"/>
    </row>
    <row r="100" spans="13:21" x14ac:dyDescent="0.2">
      <c r="M100" s="725"/>
      <c r="N100" s="725"/>
      <c r="O100" s="725"/>
      <c r="P100" s="725"/>
      <c r="Q100" s="725"/>
      <c r="R100" s="725"/>
      <c r="S100" s="725"/>
      <c r="T100" s="725"/>
      <c r="U100" s="725"/>
    </row>
    <row r="101" spans="13:21" x14ac:dyDescent="0.2">
      <c r="M101" s="725"/>
      <c r="N101" s="725"/>
      <c r="O101" s="725"/>
      <c r="P101" s="725"/>
      <c r="Q101" s="725"/>
      <c r="R101" s="725"/>
      <c r="S101" s="725"/>
      <c r="T101" s="725"/>
      <c r="U101" s="725"/>
    </row>
    <row r="102" spans="13:21" x14ac:dyDescent="0.2">
      <c r="M102" s="725"/>
      <c r="N102" s="725"/>
      <c r="O102" s="725"/>
      <c r="P102" s="725"/>
      <c r="Q102" s="725"/>
      <c r="R102" s="725"/>
      <c r="S102" s="725"/>
      <c r="T102" s="725"/>
      <c r="U102" s="725"/>
    </row>
    <row r="103" spans="13:21" x14ac:dyDescent="0.2">
      <c r="M103" s="725"/>
      <c r="N103" s="725"/>
      <c r="O103" s="725"/>
      <c r="P103" s="725"/>
      <c r="Q103" s="725"/>
      <c r="R103" s="725"/>
      <c r="S103" s="725"/>
      <c r="T103" s="725"/>
      <c r="U103" s="725"/>
    </row>
    <row r="104" spans="13:21" x14ac:dyDescent="0.2">
      <c r="M104" s="725"/>
      <c r="N104" s="725"/>
      <c r="O104" s="725"/>
      <c r="P104" s="725"/>
      <c r="Q104" s="725"/>
      <c r="R104" s="725"/>
      <c r="S104" s="725"/>
      <c r="T104" s="725"/>
      <c r="U104" s="725"/>
    </row>
    <row r="105" spans="13:21" x14ac:dyDescent="0.2">
      <c r="M105" s="725"/>
      <c r="N105" s="725"/>
      <c r="O105" s="725"/>
      <c r="P105" s="725"/>
      <c r="Q105" s="725"/>
      <c r="R105" s="725"/>
      <c r="S105" s="725"/>
      <c r="T105" s="725"/>
      <c r="U105" s="725"/>
    </row>
    <row r="106" spans="13:21" x14ac:dyDescent="0.2">
      <c r="M106" s="725"/>
      <c r="N106" s="725"/>
      <c r="O106" s="725"/>
      <c r="P106" s="725"/>
      <c r="Q106" s="725"/>
      <c r="R106" s="725"/>
      <c r="S106" s="725"/>
      <c r="T106" s="725"/>
      <c r="U106" s="725"/>
    </row>
    <row r="107" spans="13:21" x14ac:dyDescent="0.2">
      <c r="M107" s="725"/>
      <c r="N107" s="725"/>
      <c r="O107" s="725"/>
      <c r="P107" s="725"/>
      <c r="Q107" s="725"/>
      <c r="R107" s="725"/>
      <c r="S107" s="725"/>
      <c r="T107" s="725"/>
      <c r="U107" s="725"/>
    </row>
    <row r="108" spans="13:21" x14ac:dyDescent="0.2">
      <c r="M108" s="725"/>
      <c r="N108" s="725"/>
      <c r="O108" s="725"/>
      <c r="P108" s="725"/>
      <c r="Q108" s="725"/>
      <c r="R108" s="725"/>
      <c r="S108" s="725"/>
      <c r="T108" s="725"/>
      <c r="U108" s="725"/>
    </row>
    <row r="109" spans="13:21" x14ac:dyDescent="0.2">
      <c r="M109" s="725"/>
      <c r="N109" s="725"/>
      <c r="O109" s="725"/>
      <c r="P109" s="725"/>
      <c r="Q109" s="725"/>
      <c r="R109" s="725"/>
      <c r="S109" s="725"/>
      <c r="T109" s="725"/>
      <c r="U109" s="725"/>
    </row>
    <row r="110" spans="13:21" x14ac:dyDescent="0.2">
      <c r="M110" s="725"/>
      <c r="N110" s="725"/>
      <c r="O110" s="725"/>
      <c r="P110" s="725"/>
      <c r="Q110" s="725"/>
      <c r="R110" s="725"/>
      <c r="S110" s="725"/>
      <c r="T110" s="725"/>
      <c r="U110" s="725"/>
    </row>
    <row r="111" spans="13:21" x14ac:dyDescent="0.2">
      <c r="M111" s="725"/>
      <c r="N111" s="725"/>
      <c r="O111" s="725"/>
      <c r="P111" s="725"/>
      <c r="Q111" s="725"/>
      <c r="R111" s="725"/>
      <c r="S111" s="725"/>
      <c r="T111" s="725"/>
      <c r="U111" s="725"/>
    </row>
    <row r="112" spans="13:21" x14ac:dyDescent="0.2">
      <c r="M112" s="725"/>
      <c r="N112" s="725"/>
      <c r="O112" s="725"/>
      <c r="P112" s="725"/>
      <c r="Q112" s="725"/>
      <c r="R112" s="725"/>
      <c r="S112" s="725"/>
      <c r="T112" s="725"/>
      <c r="U112" s="725"/>
    </row>
    <row r="113" spans="13:21" x14ac:dyDescent="0.2">
      <c r="M113" s="725"/>
      <c r="N113" s="725"/>
      <c r="O113" s="725"/>
      <c r="P113" s="725"/>
      <c r="Q113" s="725"/>
      <c r="R113" s="725"/>
      <c r="S113" s="725"/>
      <c r="T113" s="725"/>
      <c r="U113" s="725"/>
    </row>
    <row r="114" spans="13:21" x14ac:dyDescent="0.2">
      <c r="M114" s="725"/>
      <c r="N114" s="725"/>
      <c r="O114" s="725"/>
      <c r="P114" s="725"/>
      <c r="Q114" s="725"/>
      <c r="R114" s="725"/>
      <c r="S114" s="725"/>
      <c r="T114" s="725"/>
      <c r="U114" s="725"/>
    </row>
    <row r="115" spans="13:21" x14ac:dyDescent="0.2">
      <c r="M115" s="725"/>
      <c r="N115" s="725"/>
      <c r="O115" s="725"/>
      <c r="P115" s="725"/>
      <c r="Q115" s="725"/>
      <c r="R115" s="725"/>
      <c r="S115" s="725"/>
      <c r="T115" s="725"/>
      <c r="U115" s="725"/>
    </row>
    <row r="116" spans="13:21" x14ac:dyDescent="0.2">
      <c r="M116" s="725"/>
      <c r="N116" s="725"/>
      <c r="O116" s="725"/>
      <c r="P116" s="725"/>
      <c r="Q116" s="725"/>
      <c r="R116" s="725"/>
      <c r="S116" s="725"/>
      <c r="T116" s="725"/>
      <c r="U116" s="725"/>
    </row>
    <row r="117" spans="13:21" x14ac:dyDescent="0.2">
      <c r="M117" s="725"/>
      <c r="N117" s="725"/>
      <c r="O117" s="725"/>
      <c r="P117" s="725"/>
      <c r="Q117" s="725"/>
      <c r="R117" s="725"/>
      <c r="S117" s="725"/>
      <c r="T117" s="725"/>
      <c r="U117" s="725"/>
    </row>
    <row r="118" spans="13:21" x14ac:dyDescent="0.2">
      <c r="M118" s="725"/>
      <c r="N118" s="725"/>
      <c r="O118" s="725"/>
      <c r="P118" s="725"/>
      <c r="Q118" s="725"/>
      <c r="R118" s="725"/>
      <c r="S118" s="725"/>
      <c r="T118" s="725"/>
      <c r="U118" s="725"/>
    </row>
    <row r="119" spans="13:21" x14ac:dyDescent="0.2">
      <c r="M119" s="725"/>
      <c r="N119" s="725"/>
      <c r="O119" s="725"/>
      <c r="P119" s="725"/>
      <c r="Q119" s="725"/>
      <c r="R119" s="725"/>
      <c r="S119" s="725"/>
      <c r="T119" s="725"/>
      <c r="U119" s="725"/>
    </row>
    <row r="120" spans="13:21" x14ac:dyDescent="0.2">
      <c r="M120" s="725"/>
      <c r="N120" s="725"/>
      <c r="O120" s="725"/>
      <c r="P120" s="725"/>
      <c r="Q120" s="725"/>
      <c r="R120" s="725"/>
      <c r="S120" s="725"/>
      <c r="T120" s="725"/>
      <c r="U120" s="725"/>
    </row>
    <row r="121" spans="13:21" x14ac:dyDescent="0.2">
      <c r="M121" s="725"/>
      <c r="N121" s="725"/>
      <c r="O121" s="725"/>
      <c r="P121" s="725"/>
      <c r="Q121" s="725"/>
      <c r="R121" s="725"/>
      <c r="S121" s="725"/>
      <c r="T121" s="725"/>
      <c r="U121" s="725"/>
    </row>
    <row r="122" spans="13:21" x14ac:dyDescent="0.2">
      <c r="M122" s="725"/>
      <c r="N122" s="725"/>
      <c r="O122" s="725"/>
      <c r="P122" s="725"/>
      <c r="Q122" s="725"/>
      <c r="R122" s="725"/>
      <c r="S122" s="725"/>
      <c r="T122" s="725"/>
      <c r="U122" s="725"/>
    </row>
    <row r="123" spans="13:21" x14ac:dyDescent="0.2">
      <c r="M123" s="725"/>
      <c r="N123" s="725"/>
      <c r="O123" s="725"/>
      <c r="P123" s="725"/>
      <c r="Q123" s="725"/>
      <c r="R123" s="725"/>
      <c r="S123" s="725"/>
      <c r="T123" s="725"/>
      <c r="U123" s="725"/>
    </row>
    <row r="124" spans="13:21" x14ac:dyDescent="0.2">
      <c r="M124" s="725"/>
      <c r="N124" s="725"/>
      <c r="O124" s="725"/>
      <c r="P124" s="725"/>
      <c r="Q124" s="725"/>
      <c r="R124" s="725"/>
      <c r="S124" s="725"/>
      <c r="T124" s="725"/>
      <c r="U124" s="725"/>
    </row>
    <row r="125" spans="13:21" x14ac:dyDescent="0.2">
      <c r="M125" s="725"/>
      <c r="N125" s="725"/>
      <c r="O125" s="725"/>
      <c r="P125" s="725"/>
      <c r="Q125" s="725"/>
      <c r="R125" s="725"/>
      <c r="S125" s="725"/>
      <c r="T125" s="725"/>
      <c r="U125" s="725"/>
    </row>
    <row r="126" spans="13:21" x14ac:dyDescent="0.2">
      <c r="M126" s="725"/>
      <c r="N126" s="725"/>
      <c r="O126" s="725"/>
      <c r="P126" s="725"/>
      <c r="Q126" s="725"/>
      <c r="R126" s="725"/>
      <c r="S126" s="725"/>
      <c r="T126" s="725"/>
      <c r="U126" s="725"/>
    </row>
    <row r="127" spans="13:21" x14ac:dyDescent="0.2">
      <c r="M127" s="725"/>
      <c r="N127" s="725"/>
      <c r="O127" s="725"/>
      <c r="P127" s="725"/>
      <c r="Q127" s="725"/>
      <c r="R127" s="725"/>
      <c r="S127" s="725"/>
      <c r="T127" s="725"/>
      <c r="U127" s="725"/>
    </row>
    <row r="128" spans="13:21" x14ac:dyDescent="0.2">
      <c r="M128" s="725"/>
      <c r="N128" s="725"/>
      <c r="O128" s="725"/>
      <c r="P128" s="725"/>
      <c r="Q128" s="725"/>
      <c r="R128" s="725"/>
      <c r="S128" s="725"/>
      <c r="T128" s="725"/>
      <c r="U128" s="725"/>
    </row>
    <row r="129" spans="13:21" x14ac:dyDescent="0.2">
      <c r="M129" s="725"/>
      <c r="N129" s="725"/>
      <c r="O129" s="725"/>
      <c r="P129" s="725"/>
      <c r="Q129" s="725"/>
      <c r="R129" s="725"/>
      <c r="S129" s="725"/>
      <c r="T129" s="725"/>
      <c r="U129" s="725"/>
    </row>
    <row r="130" spans="13:21" x14ac:dyDescent="0.2">
      <c r="M130" s="725"/>
      <c r="N130" s="725"/>
      <c r="O130" s="725"/>
      <c r="P130" s="725"/>
      <c r="Q130" s="725"/>
      <c r="R130" s="725"/>
      <c r="S130" s="725"/>
      <c r="T130" s="725"/>
      <c r="U130" s="725"/>
    </row>
    <row r="131" spans="13:21" x14ac:dyDescent="0.2">
      <c r="M131" s="725"/>
      <c r="N131" s="725"/>
      <c r="O131" s="725"/>
      <c r="P131" s="725"/>
      <c r="Q131" s="725"/>
      <c r="R131" s="725"/>
      <c r="S131" s="725"/>
      <c r="T131" s="725"/>
      <c r="U131" s="725"/>
    </row>
    <row r="132" spans="13:21" x14ac:dyDescent="0.2">
      <c r="M132" s="725"/>
      <c r="N132" s="725"/>
      <c r="O132" s="725"/>
      <c r="P132" s="725"/>
      <c r="Q132" s="725"/>
      <c r="R132" s="725"/>
      <c r="S132" s="725"/>
      <c r="T132" s="725"/>
      <c r="U132" s="725"/>
    </row>
    <row r="133" spans="13:21" x14ac:dyDescent="0.2">
      <c r="M133" s="725"/>
      <c r="N133" s="725"/>
      <c r="O133" s="725"/>
      <c r="P133" s="725"/>
      <c r="Q133" s="725"/>
      <c r="R133" s="725"/>
      <c r="S133" s="725"/>
      <c r="T133" s="725"/>
      <c r="U133" s="725"/>
    </row>
    <row r="134" spans="13:21" x14ac:dyDescent="0.2">
      <c r="M134" s="725"/>
      <c r="N134" s="725"/>
      <c r="O134" s="725"/>
      <c r="P134" s="725"/>
      <c r="Q134" s="725"/>
      <c r="R134" s="725"/>
      <c r="S134" s="725"/>
      <c r="T134" s="725"/>
      <c r="U134" s="725"/>
    </row>
    <row r="135" spans="13:21" x14ac:dyDescent="0.2">
      <c r="M135" s="725"/>
      <c r="N135" s="725"/>
      <c r="O135" s="725"/>
      <c r="P135" s="725"/>
      <c r="Q135" s="725"/>
      <c r="R135" s="725"/>
      <c r="S135" s="725"/>
      <c r="T135" s="725"/>
      <c r="U135" s="725"/>
    </row>
    <row r="136" spans="13:21" x14ac:dyDescent="0.2">
      <c r="M136" s="725"/>
      <c r="N136" s="725"/>
      <c r="O136" s="725"/>
      <c r="P136" s="725"/>
      <c r="Q136" s="725"/>
      <c r="R136" s="725"/>
      <c r="S136" s="725"/>
      <c r="T136" s="725"/>
      <c r="U136" s="725"/>
    </row>
    <row r="137" spans="13:21" x14ac:dyDescent="0.2">
      <c r="M137" s="725"/>
      <c r="N137" s="725"/>
      <c r="O137" s="725"/>
      <c r="P137" s="725"/>
      <c r="Q137" s="725"/>
      <c r="R137" s="725"/>
      <c r="S137" s="725"/>
      <c r="T137" s="725"/>
      <c r="U137" s="725"/>
    </row>
    <row r="138" spans="13:21" x14ac:dyDescent="0.2">
      <c r="M138" s="725"/>
      <c r="N138" s="725"/>
      <c r="O138" s="725"/>
      <c r="P138" s="725"/>
      <c r="Q138" s="725"/>
      <c r="R138" s="725"/>
      <c r="S138" s="725"/>
      <c r="T138" s="725"/>
      <c r="U138" s="725"/>
    </row>
    <row r="139" spans="13:21" x14ac:dyDescent="0.2">
      <c r="M139" s="725"/>
      <c r="N139" s="725"/>
      <c r="O139" s="725"/>
      <c r="P139" s="725"/>
      <c r="Q139" s="725"/>
      <c r="R139" s="725"/>
      <c r="S139" s="725"/>
      <c r="T139" s="725"/>
      <c r="U139" s="725"/>
    </row>
    <row r="140" spans="13:21" x14ac:dyDescent="0.2">
      <c r="M140" s="725"/>
      <c r="N140" s="725"/>
      <c r="O140" s="725"/>
      <c r="P140" s="725"/>
      <c r="Q140" s="725"/>
      <c r="R140" s="725"/>
      <c r="S140" s="725"/>
      <c r="T140" s="725"/>
      <c r="U140" s="725"/>
    </row>
  </sheetData>
  <sheetProtection algorithmName="SHA-512" hashValue="luBClHoUmJEG4QswjTooCgInYxLv2MyTbHlQljs654nuXz53Grws/r/EFCo+EUDESf+g7Ai4AAFsjfcRih23GA==" saltValue="GX4mfhrjdqLO/JJQZiL+sQ==" spinCount="100000" sheet="1" objects="1" scenarios="1" autoFilter="0"/>
  <customSheetViews>
    <customSheetView guid="{B08879A4-635B-4C39-9937-AC7883D562FC}" showGridLines="0" fitToPage="1">
      <selection activeCell="A47" sqref="A47:IV47"/>
      <pageMargins left="0.75" right="0.5" top="0.5" bottom="0.5" header="0.5" footer="0.25"/>
      <printOptions horizontalCentered="1"/>
      <pageSetup orientation="portrait" r:id="rId1"/>
      <headerFooter alignWithMargins="0">
        <oddFooter>&amp;R&amp;A</oddFooter>
      </headerFooter>
    </customSheetView>
    <customSheetView guid="{1250FD07-FF56-4A9D-AF9E-C27124A7EBE9}" showGridLines="0" fitToPage="1" showRuler="0">
      <selection sqref="A1:J3"/>
      <pageMargins left="0.75" right="0.5" top="0.5" bottom="0.5" header="0.5" footer="0.25"/>
      <printOptions horizontalCentered="1"/>
      <pageSetup orientation="portrait" horizontalDpi="300" verticalDpi="300" r:id="rId2"/>
      <headerFooter alignWithMargins="0">
        <oddFooter>&amp;R&amp;A</oddFooter>
      </headerFooter>
    </customSheetView>
    <customSheetView guid="{BEA4BE86-04D1-4C96-9358-7A260B9D2B2D}" showGridLines="0" fitToPage="1" showRuler="0">
      <selection sqref="A1:J3"/>
      <pageMargins left="0.75" right="0.5" top="0.5" bottom="0.5" header="0.5" footer="0.25"/>
      <printOptions horizontalCentered="1"/>
      <pageSetup orientation="portrait" horizontalDpi="300" verticalDpi="300" r:id="rId3"/>
      <headerFooter alignWithMargins="0">
        <oddFooter>&amp;R&amp;A</oddFooter>
      </headerFooter>
    </customSheetView>
    <customSheetView guid="{9FCFC836-1CA5-48BF-958D-24D2EA94B219}" showGridLines="0" fitToPage="1">
      <selection activeCell="A47" sqref="A47:IV47"/>
      <pageMargins left="0.75" right="0.5" top="0.5" bottom="0.5" header="0.5" footer="0.25"/>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5" type="noConversion"/>
  <conditionalFormatting sqref="H1:H3">
    <cfRule type="cellIs" dxfId="118" priority="1" stopIfTrue="1" operator="equal">
      <formula>"na"</formula>
    </cfRule>
  </conditionalFormatting>
  <hyperlinks>
    <hyperlink ref="A1:G1" location="Index!A1" display="Index!A1" xr:uid="{00000000-0004-0000-1800-000000000000}"/>
  </hyperlinks>
  <printOptions horizontalCentered="1"/>
  <pageMargins left="0.5" right="0.5" top="0.5" bottom="0.5" header="0.5" footer="0.25"/>
  <pageSetup scale="89" orientation="portrait" horizontalDpi="360" verticalDpi="360"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4"/>
  <sheetViews>
    <sheetView showGridLines="0" zoomScaleNormal="100" workbookViewId="0">
      <pane ySplit="4" topLeftCell="A5" activePane="bottomLeft" state="frozen"/>
      <selection sqref="A1:E1"/>
      <selection pane="bottomLeft" activeCell="R9" sqref="R9"/>
    </sheetView>
  </sheetViews>
  <sheetFormatPr defaultColWidth="9.42578125" defaultRowHeight="15" x14ac:dyDescent="0.25"/>
  <cols>
    <col min="1" max="1" width="10.42578125" style="1101" customWidth="1"/>
    <col min="2" max="2" width="8.42578125" style="1101" customWidth="1"/>
    <col min="3" max="3" width="8.5703125" style="1101" customWidth="1"/>
    <col min="4" max="4" width="9" style="1101" hidden="1" customWidth="1"/>
    <col min="5" max="5" width="9" style="1101" customWidth="1"/>
    <col min="6" max="9" width="8.42578125" style="1101" customWidth="1"/>
    <col min="10" max="10" width="9.5703125" style="1101" customWidth="1"/>
    <col min="11" max="11" width="7.5703125" style="1101" customWidth="1"/>
    <col min="12" max="12" width="10.5703125" style="1101" customWidth="1"/>
    <col min="13" max="14" width="9.42578125" style="1101" customWidth="1"/>
    <col min="15" max="15" width="2.5703125" style="1101" customWidth="1"/>
    <col min="16" max="16" width="6" style="1101" customWidth="1"/>
    <col min="17" max="17" width="2.42578125" style="1101" customWidth="1"/>
    <col min="18" max="18" width="9.42578125" style="1101" customWidth="1"/>
    <col min="19" max="16384" width="9.42578125" style="1101"/>
  </cols>
  <sheetData>
    <row r="1" spans="1:16" ht="15.75" x14ac:dyDescent="0.25">
      <c r="A1" s="2717" t="s">
        <v>3983</v>
      </c>
      <c r="B1" s="2717"/>
      <c r="C1" s="2717"/>
      <c r="D1" s="2717"/>
      <c r="E1" s="2717"/>
      <c r="F1" s="2717"/>
      <c r="G1" s="2717"/>
      <c r="H1" s="2717"/>
      <c r="I1" s="2717"/>
      <c r="J1" s="2717"/>
      <c r="K1" s="2717"/>
      <c r="L1" s="2717"/>
      <c r="M1" s="2717"/>
      <c r="N1" s="2717"/>
      <c r="O1" s="2717"/>
    </row>
    <row r="2" spans="1:16" ht="15.75" x14ac:dyDescent="0.25">
      <c r="A2" s="2718" t="str">
        <f>CONCATENATE(YEAR(Data!A2), " ACFR Worksheets")</f>
        <v>2022 ACFR Worksheets</v>
      </c>
      <c r="B2" s="2718"/>
      <c r="C2" s="2718"/>
      <c r="D2" s="2718"/>
      <c r="E2" s="2718"/>
      <c r="F2" s="2718"/>
      <c r="G2" s="2718"/>
      <c r="H2" s="2718"/>
      <c r="I2" s="2718"/>
      <c r="J2" s="2718"/>
      <c r="K2" s="2718"/>
      <c r="L2" s="2718"/>
      <c r="M2" s="2718"/>
      <c r="N2" s="2718"/>
      <c r="O2" s="2718"/>
    </row>
    <row r="3" spans="1:16" ht="15.75" x14ac:dyDescent="0.25">
      <c r="A3" s="2718" t="s">
        <v>594</v>
      </c>
      <c r="B3" s="2718"/>
      <c r="C3" s="2718"/>
      <c r="D3" s="2718"/>
      <c r="E3" s="2718"/>
      <c r="F3" s="2718"/>
      <c r="G3" s="2718"/>
      <c r="H3" s="2718"/>
      <c r="I3" s="2718"/>
      <c r="J3" s="2718"/>
      <c r="K3" s="2718"/>
      <c r="L3" s="2718"/>
      <c r="M3" s="2718"/>
      <c r="N3" s="2718"/>
      <c r="O3" s="2718"/>
    </row>
    <row r="4" spans="1:16" x14ac:dyDescent="0.25">
      <c r="A4" s="1102"/>
      <c r="B4" s="1102"/>
      <c r="C4" s="1102"/>
      <c r="D4" s="1102"/>
      <c r="E4" s="1102"/>
      <c r="F4" s="1102"/>
      <c r="G4" s="1103"/>
      <c r="H4" s="1103"/>
      <c r="I4" s="1103"/>
      <c r="J4" s="1102"/>
      <c r="K4" s="1102"/>
      <c r="L4" s="2724" t="s">
        <v>5782</v>
      </c>
      <c r="M4" s="2725"/>
      <c r="N4" s="2725"/>
      <c r="O4" s="2726"/>
      <c r="P4" s="1104"/>
    </row>
    <row r="5" spans="1:16" x14ac:dyDescent="0.25">
      <c r="A5" s="1105" t="s">
        <v>681</v>
      </c>
      <c r="B5" s="1102"/>
      <c r="C5" s="1102"/>
      <c r="D5" s="1102"/>
      <c r="E5" s="1102"/>
      <c r="F5" s="1102"/>
      <c r="G5" s="1160"/>
      <c r="H5" s="1102"/>
      <c r="I5" s="1102"/>
      <c r="J5" s="1100"/>
      <c r="K5" s="1102"/>
      <c r="L5" s="1102"/>
      <c r="M5" s="1102"/>
      <c r="N5" s="1102"/>
      <c r="O5" s="1102"/>
    </row>
    <row r="6" spans="1:16" x14ac:dyDescent="0.25">
      <c r="A6" s="1182" t="s">
        <v>196</v>
      </c>
      <c r="B6" s="1180"/>
      <c r="C6" s="1102"/>
      <c r="D6" s="1102"/>
      <c r="E6" s="2721" t="s">
        <v>5708</v>
      </c>
      <c r="F6" s="2721"/>
      <c r="G6" s="2721"/>
      <c r="H6" s="2721"/>
      <c r="I6" s="2721"/>
      <c r="J6" s="2721"/>
      <c r="K6" s="1106" t="s">
        <v>692</v>
      </c>
      <c r="L6" s="1102"/>
      <c r="M6" s="1102"/>
      <c r="N6" s="1102"/>
      <c r="O6" s="1102"/>
    </row>
    <row r="7" spans="1:16" x14ac:dyDescent="0.25">
      <c r="A7" s="1180"/>
      <c r="B7" s="1180"/>
      <c r="C7" s="1102"/>
      <c r="D7" s="1102"/>
      <c r="E7" s="1102"/>
      <c r="F7" s="1107"/>
      <c r="G7" s="1107"/>
      <c r="H7" s="1107"/>
      <c r="I7" s="1107"/>
      <c r="J7" s="1107"/>
      <c r="K7" s="1102"/>
      <c r="L7" s="1102"/>
      <c r="M7" s="1102"/>
      <c r="N7" s="1102"/>
      <c r="O7" s="1102"/>
    </row>
    <row r="8" spans="1:16" x14ac:dyDescent="0.25">
      <c r="A8" s="1180" t="s">
        <v>197</v>
      </c>
      <c r="B8" s="1180"/>
      <c r="C8" s="1102"/>
      <c r="D8" s="1102"/>
      <c r="E8" s="1102"/>
      <c r="F8" s="1102"/>
      <c r="G8" s="1102"/>
      <c r="H8" s="1102"/>
      <c r="I8" s="1102"/>
      <c r="J8" s="1102"/>
      <c r="K8" s="1102"/>
      <c r="L8" s="1102"/>
      <c r="M8" s="1102"/>
      <c r="N8" s="1102"/>
      <c r="O8" s="1102"/>
    </row>
    <row r="9" spans="1:16" x14ac:dyDescent="0.25">
      <c r="A9" s="1180"/>
      <c r="B9" s="1180"/>
      <c r="C9" s="1102"/>
      <c r="D9" s="1102"/>
      <c r="E9" s="1102"/>
      <c r="F9" s="1102"/>
      <c r="G9" s="1102"/>
      <c r="H9" s="1102"/>
      <c r="I9" s="1102"/>
      <c r="J9" s="1102"/>
      <c r="K9" s="1102"/>
      <c r="L9" s="1102"/>
      <c r="M9" s="1102"/>
      <c r="N9" s="1102"/>
      <c r="O9" s="1102"/>
    </row>
    <row r="10" spans="1:16" x14ac:dyDescent="0.25">
      <c r="A10" s="1180"/>
      <c r="B10" s="2719" t="s">
        <v>903</v>
      </c>
      <c r="C10" s="2720"/>
      <c r="D10" s="2720"/>
      <c r="E10" s="2722" t="str">
        <f>INDEX(comptable,MATCH(E6,ConcNum,0),2)</f>
        <v>01</v>
      </c>
      <c r="F10" s="2722"/>
      <c r="G10" s="2722"/>
      <c r="H10" s="2722"/>
      <c r="I10" s="2723"/>
      <c r="J10" s="1108"/>
      <c r="K10" s="1106" t="str">
        <f ca="1">IF(Errors!D2,"","Invalid filename!  Please rename your file to:")</f>
        <v>Invalid filename!  Please rename your file to:</v>
      </c>
      <c r="L10" s="1102"/>
      <c r="M10" s="1106"/>
      <c r="N10" s="1106"/>
      <c r="O10" s="1106"/>
    </row>
    <row r="11" spans="1:16" x14ac:dyDescent="0.25">
      <c r="A11" s="1180"/>
      <c r="B11" s="2719" t="s">
        <v>1016</v>
      </c>
      <c r="C11" s="2720"/>
      <c r="D11" s="2720"/>
      <c r="E11" s="2722" t="str">
        <f>IF(ISNA(MATCH(TEXT(AgyIdx,"00"),compnumtxt,0)),"INVALID COMPANY NUMBER",INDEX(comptable,MATCH(TEXT(AgyIdx,"00"),compnumtxt,0),3))</f>
        <v>North Carolina General Assembly</v>
      </c>
      <c r="F11" s="2722"/>
      <c r="G11" s="2722"/>
      <c r="H11" s="2722"/>
      <c r="I11" s="2723"/>
      <c r="J11" s="1108"/>
      <c r="K11" s="2728" t="str">
        <f ca="1">IF(K10="","",E10&amp;"p.xlsx")</f>
        <v>01p.xlsx</v>
      </c>
      <c r="L11" s="2728"/>
      <c r="M11" s="2728"/>
      <c r="N11" s="2728"/>
      <c r="O11" s="1102"/>
    </row>
    <row r="12" spans="1:16" x14ac:dyDescent="0.25">
      <c r="A12" s="1180"/>
      <c r="B12" s="2719" t="s">
        <v>342</v>
      </c>
      <c r="C12" s="2720"/>
      <c r="D12" s="2720"/>
      <c r="E12" s="2730"/>
      <c r="F12" s="2730"/>
      <c r="G12" s="2730"/>
      <c r="H12" s="2730"/>
      <c r="I12" s="2731"/>
      <c r="J12" s="1109"/>
      <c r="K12" s="1110" t="str">
        <f>IF(ISBLANK(E12),"Enter preparer name!","")</f>
        <v>Enter preparer name!</v>
      </c>
      <c r="L12" s="1111"/>
      <c r="M12" s="1111"/>
      <c r="N12" s="1111"/>
      <c r="O12" s="1111"/>
    </row>
    <row r="13" spans="1:16" x14ac:dyDescent="0.25">
      <c r="A13" s="1180"/>
      <c r="B13" s="1183" t="s">
        <v>348</v>
      </c>
      <c r="C13" s="1112"/>
      <c r="D13" s="1112"/>
      <c r="E13" s="2729"/>
      <c r="F13" s="2730"/>
      <c r="G13" s="2730"/>
      <c r="H13" s="2730"/>
      <c r="I13" s="2731"/>
      <c r="J13" s="1109"/>
      <c r="K13" s="1110" t="str">
        <f>IF(ISBLANK(E13),"Enter email address!","")</f>
        <v>Enter email address!</v>
      </c>
      <c r="L13" s="1111"/>
      <c r="M13" s="1111"/>
      <c r="N13" s="1111"/>
      <c r="O13" s="1111"/>
    </row>
    <row r="14" spans="1:16" x14ac:dyDescent="0.25">
      <c r="A14" s="1180"/>
      <c r="B14" s="2719" t="s">
        <v>343</v>
      </c>
      <c r="C14" s="2720"/>
      <c r="D14" s="2720"/>
      <c r="E14" s="2730"/>
      <c r="F14" s="2730"/>
      <c r="G14" s="2730"/>
      <c r="H14" s="2730"/>
      <c r="I14" s="2731"/>
      <c r="J14" s="1113"/>
      <c r="K14" s="1110" t="str">
        <f>IF(ISBLANK(E14),"Enter preparer phone number, including area code and extension!","")</f>
        <v>Enter preparer phone number, including area code and extension!</v>
      </c>
      <c r="L14" s="1114"/>
      <c r="M14" s="1111"/>
      <c r="N14" s="1111"/>
      <c r="O14" s="1111"/>
    </row>
    <row r="15" spans="1:16" x14ac:dyDescent="0.25">
      <c r="A15" s="1180"/>
      <c r="B15" s="1180"/>
      <c r="C15" s="1102"/>
      <c r="D15" s="1102"/>
      <c r="E15" s="1115"/>
      <c r="F15" s="1102"/>
      <c r="G15" s="1102"/>
      <c r="H15" s="1102"/>
      <c r="I15" s="1102"/>
      <c r="J15" s="1111"/>
      <c r="K15" s="1111"/>
      <c r="L15" s="1111"/>
      <c r="M15" s="1111"/>
      <c r="N15" s="1111"/>
      <c r="O15" s="1111"/>
    </row>
    <row r="16" spans="1:16" ht="42.75" x14ac:dyDescent="0.25">
      <c r="A16" s="1184" t="s">
        <v>344</v>
      </c>
      <c r="B16" s="1185" t="s">
        <v>1815</v>
      </c>
      <c r="C16" s="1185" t="s">
        <v>1814</v>
      </c>
      <c r="D16" s="1118"/>
      <c r="E16" s="2727" t="s">
        <v>346</v>
      </c>
      <c r="F16" s="2727"/>
      <c r="G16" s="2727"/>
      <c r="H16" s="2727"/>
      <c r="I16" s="2727"/>
      <c r="J16" s="2727"/>
      <c r="K16" s="2727"/>
      <c r="L16" s="2727"/>
      <c r="M16" s="2727"/>
      <c r="N16" s="2727"/>
      <c r="O16" s="2727"/>
      <c r="P16" s="1867" t="s">
        <v>555</v>
      </c>
    </row>
    <row r="17" spans="1:20" s="1117" customFormat="1" x14ac:dyDescent="0.25">
      <c r="A17" s="1186">
        <v>101</v>
      </c>
      <c r="B17" s="1187"/>
      <c r="C17" s="1228" t="s">
        <v>345</v>
      </c>
      <c r="D17" s="1121"/>
      <c r="E17" s="2702" t="s">
        <v>207</v>
      </c>
      <c r="F17" s="2703"/>
      <c r="G17" s="2703"/>
      <c r="H17" s="2703"/>
      <c r="I17" s="2703"/>
      <c r="J17" s="2703"/>
      <c r="K17" s="2703"/>
      <c r="L17" s="2703"/>
      <c r="M17" s="2703"/>
      <c r="N17" s="2703"/>
      <c r="O17" s="2704"/>
      <c r="P17" s="1119"/>
    </row>
    <row r="18" spans="1:20" s="1117" customFormat="1" x14ac:dyDescent="0.25">
      <c r="A18" s="1186">
        <v>105</v>
      </c>
      <c r="B18" s="1188"/>
      <c r="C18" s="1228" t="s">
        <v>345</v>
      </c>
      <c r="D18" s="1121" t="str">
        <f t="shared" ref="D18:D96" si="0">IF(B18="NA","",IF(Q18&lt;&gt;0,"E",""))</f>
        <v/>
      </c>
      <c r="E18" s="2702" t="s">
        <v>61</v>
      </c>
      <c r="F18" s="2703"/>
      <c r="G18" s="2703"/>
      <c r="H18" s="2703"/>
      <c r="I18" s="2703"/>
      <c r="J18" s="2703"/>
      <c r="K18" s="2703"/>
      <c r="L18" s="2703"/>
      <c r="M18" s="2703"/>
      <c r="N18" s="2703"/>
      <c r="O18" s="2704"/>
      <c r="P18" s="1119"/>
    </row>
    <row r="19" spans="1:20" s="1117" customFormat="1" x14ac:dyDescent="0.25">
      <c r="A19" s="1186">
        <v>110</v>
      </c>
      <c r="B19" s="1187"/>
      <c r="C19" s="1669"/>
      <c r="D19" s="1121" t="str">
        <f>IF(B19="NA","",IF(Q19&lt;&gt;0,"E",""))</f>
        <v/>
      </c>
      <c r="E19" s="2702" t="s">
        <v>3529</v>
      </c>
      <c r="F19" s="2703"/>
      <c r="G19" s="2703"/>
      <c r="H19" s="2703"/>
      <c r="I19" s="2703"/>
      <c r="J19" s="2703"/>
      <c r="K19" s="2703"/>
      <c r="L19" s="2703"/>
      <c r="M19" s="2703"/>
      <c r="N19" s="2703"/>
      <c r="O19" s="2704"/>
      <c r="P19" s="1119" t="s">
        <v>929</v>
      </c>
    </row>
    <row r="20" spans="1:20" s="1117" customFormat="1" x14ac:dyDescent="0.25">
      <c r="A20" s="1186">
        <v>120</v>
      </c>
      <c r="B20" s="1187"/>
      <c r="C20" s="1651"/>
      <c r="D20" s="1121" t="str">
        <f>IF(B20="NA","",IF(Q20&lt;&gt;0,"E",""))</f>
        <v/>
      </c>
      <c r="E20" s="2702" t="s">
        <v>3946</v>
      </c>
      <c r="F20" s="2703"/>
      <c r="G20" s="2703"/>
      <c r="H20" s="2703"/>
      <c r="I20" s="2703"/>
      <c r="J20" s="2703"/>
      <c r="K20" s="2703"/>
      <c r="L20" s="2703"/>
      <c r="M20" s="2703"/>
      <c r="N20" s="2703"/>
      <c r="O20" s="2704"/>
      <c r="P20" s="1119" t="s">
        <v>929</v>
      </c>
    </row>
    <row r="21" spans="1:20" s="1117" customFormat="1" x14ac:dyDescent="0.25">
      <c r="A21" s="1937">
        <v>201</v>
      </c>
      <c r="B21" s="1188"/>
      <c r="C21" s="1669"/>
      <c r="D21" s="1121" t="str">
        <f t="shared" si="0"/>
        <v/>
      </c>
      <c r="E21" s="2702" t="s">
        <v>208</v>
      </c>
      <c r="F21" s="2703"/>
      <c r="G21" s="2703"/>
      <c r="H21" s="2703"/>
      <c r="I21" s="2703"/>
      <c r="J21" s="2703"/>
      <c r="K21" s="2703"/>
      <c r="L21" s="2703"/>
      <c r="M21" s="2703"/>
      <c r="N21" s="2703"/>
      <c r="O21" s="2704"/>
      <c r="P21" s="1119" t="s">
        <v>1341</v>
      </c>
    </row>
    <row r="22" spans="1:20" s="1117" customFormat="1" x14ac:dyDescent="0.25">
      <c r="A22" s="1186">
        <v>202</v>
      </c>
      <c r="B22" s="1188"/>
      <c r="C22" s="1669"/>
      <c r="D22" s="1121"/>
      <c r="E22" s="2702" t="s">
        <v>4542</v>
      </c>
      <c r="F22" s="2703"/>
      <c r="G22" s="2703"/>
      <c r="H22" s="2703"/>
      <c r="I22" s="2703"/>
      <c r="J22" s="2703"/>
      <c r="K22" s="2703"/>
      <c r="L22" s="2703"/>
      <c r="M22" s="2703"/>
      <c r="N22" s="2703"/>
      <c r="O22" s="2704"/>
      <c r="P22" s="1119" t="s">
        <v>1341</v>
      </c>
    </row>
    <row r="23" spans="1:20" s="1117" customFormat="1" x14ac:dyDescent="0.25">
      <c r="A23" s="1186">
        <v>203</v>
      </c>
      <c r="B23" s="1188"/>
      <c r="C23" s="1669"/>
      <c r="D23" s="1121"/>
      <c r="E23" s="2702" t="s">
        <v>4689</v>
      </c>
      <c r="F23" s="2703"/>
      <c r="G23" s="2703"/>
      <c r="H23" s="2703"/>
      <c r="I23" s="2703"/>
      <c r="J23" s="2703"/>
      <c r="K23" s="2703"/>
      <c r="L23" s="2703"/>
      <c r="M23" s="2703"/>
      <c r="N23" s="2703"/>
      <c r="O23" s="2704"/>
      <c r="P23" s="1119" t="s">
        <v>4551</v>
      </c>
    </row>
    <row r="24" spans="1:20" s="1117" customFormat="1" x14ac:dyDescent="0.25">
      <c r="A24" s="1186">
        <v>210</v>
      </c>
      <c r="B24" s="1188"/>
      <c r="C24" s="1228" t="s">
        <v>345</v>
      </c>
      <c r="D24" s="1121" t="str">
        <f t="shared" si="0"/>
        <v/>
      </c>
      <c r="E24" s="2702" t="s">
        <v>5490</v>
      </c>
      <c r="F24" s="2703"/>
      <c r="G24" s="2703"/>
      <c r="H24" s="2703"/>
      <c r="I24" s="2703"/>
      <c r="J24" s="2703"/>
      <c r="K24" s="2703"/>
      <c r="L24" s="2703"/>
      <c r="M24" s="2703"/>
      <c r="N24" s="2703"/>
      <c r="O24" s="2704"/>
      <c r="P24" s="1119" t="s">
        <v>1553</v>
      </c>
    </row>
    <row r="25" spans="1:20" s="1117" customFormat="1" x14ac:dyDescent="0.25">
      <c r="A25" s="1186">
        <v>215</v>
      </c>
      <c r="B25" s="1188"/>
      <c r="C25" s="1669"/>
      <c r="D25" s="1121" t="str">
        <f t="shared" si="0"/>
        <v/>
      </c>
      <c r="E25" s="2702" t="s">
        <v>62</v>
      </c>
      <c r="F25" s="2703"/>
      <c r="G25" s="2703"/>
      <c r="H25" s="2703"/>
      <c r="I25" s="2703"/>
      <c r="J25" s="2703"/>
      <c r="K25" s="2703"/>
      <c r="L25" s="2703"/>
      <c r="M25" s="2703"/>
      <c r="N25" s="2703"/>
      <c r="O25" s="2704"/>
      <c r="P25" s="1119" t="s">
        <v>929</v>
      </c>
    </row>
    <row r="26" spans="1:20" s="1117" customFormat="1" x14ac:dyDescent="0.25">
      <c r="A26" s="1186">
        <v>220</v>
      </c>
      <c r="B26" s="1188"/>
      <c r="C26" s="1228" t="s">
        <v>345</v>
      </c>
      <c r="D26" s="1121" t="str">
        <f t="shared" si="0"/>
        <v/>
      </c>
      <c r="E26" s="2702" t="s">
        <v>63</v>
      </c>
      <c r="F26" s="2703"/>
      <c r="G26" s="2703"/>
      <c r="H26" s="2703"/>
      <c r="I26" s="2703"/>
      <c r="J26" s="2703"/>
      <c r="K26" s="2703"/>
      <c r="L26" s="2703"/>
      <c r="M26" s="2703"/>
      <c r="N26" s="2703"/>
      <c r="O26" s="2704"/>
      <c r="P26" s="1119"/>
    </row>
    <row r="27" spans="1:20" s="1117" customFormat="1" x14ac:dyDescent="0.25">
      <c r="A27" s="1186">
        <v>301</v>
      </c>
      <c r="B27" s="1188"/>
      <c r="C27" s="1669"/>
      <c r="D27" s="1121" t="str">
        <f t="shared" si="0"/>
        <v/>
      </c>
      <c r="E27" s="2702" t="s">
        <v>5473</v>
      </c>
      <c r="F27" s="2703"/>
      <c r="G27" s="2703"/>
      <c r="H27" s="2703"/>
      <c r="I27" s="2703"/>
      <c r="J27" s="2703"/>
      <c r="K27" s="2703"/>
      <c r="L27" s="2703"/>
      <c r="M27" s="2703"/>
      <c r="N27" s="2703"/>
      <c r="O27" s="2704"/>
      <c r="P27" s="1119"/>
      <c r="T27" s="1186"/>
    </row>
    <row r="28" spans="1:20" s="1117" customFormat="1" x14ac:dyDescent="0.25">
      <c r="A28" s="1186">
        <v>305</v>
      </c>
      <c r="B28" s="1188"/>
      <c r="C28" s="1669"/>
      <c r="D28" s="1121" t="str">
        <f t="shared" si="0"/>
        <v/>
      </c>
      <c r="E28" s="2702" t="s">
        <v>1189</v>
      </c>
      <c r="F28" s="2703"/>
      <c r="G28" s="2703"/>
      <c r="H28" s="2703"/>
      <c r="I28" s="2703"/>
      <c r="J28" s="2703"/>
      <c r="K28" s="2703"/>
      <c r="L28" s="2703"/>
      <c r="M28" s="2703"/>
      <c r="N28" s="2703"/>
      <c r="O28" s="2704"/>
      <c r="P28" s="1119" t="s">
        <v>1289</v>
      </c>
    </row>
    <row r="29" spans="1:20" s="1117" customFormat="1" x14ac:dyDescent="0.25">
      <c r="A29" s="198">
        <v>306</v>
      </c>
      <c r="B29" s="1226" t="s">
        <v>345</v>
      </c>
      <c r="C29" s="1669"/>
      <c r="D29" s="1121" t="str">
        <f>IF(B29="NA","",IF(Q29&lt;&gt;0,"E",""))</f>
        <v/>
      </c>
      <c r="E29" s="2732" t="s">
        <v>4690</v>
      </c>
      <c r="F29" s="2720"/>
      <c r="G29" s="2720"/>
      <c r="H29" s="2720"/>
      <c r="I29" s="2720"/>
      <c r="J29" s="2720"/>
      <c r="K29" s="2720"/>
      <c r="L29" s="2720"/>
      <c r="M29" s="2720"/>
      <c r="N29" s="2720"/>
      <c r="O29" s="2733"/>
      <c r="P29" s="1119" t="s">
        <v>929</v>
      </c>
    </row>
    <row r="30" spans="1:20" s="1117" customFormat="1" x14ac:dyDescent="0.25">
      <c r="A30" s="1186">
        <v>310</v>
      </c>
      <c r="B30" s="1188"/>
      <c r="C30" s="1669"/>
      <c r="D30" s="1121" t="str">
        <f t="shared" si="0"/>
        <v/>
      </c>
      <c r="E30" s="2702" t="s">
        <v>588</v>
      </c>
      <c r="F30" s="2703"/>
      <c r="G30" s="2703"/>
      <c r="H30" s="2703"/>
      <c r="I30" s="2703"/>
      <c r="J30" s="2703"/>
      <c r="K30" s="2703"/>
      <c r="L30" s="2703"/>
      <c r="M30" s="2703"/>
      <c r="N30" s="2703"/>
      <c r="O30" s="2704"/>
      <c r="P30" s="1119" t="s">
        <v>1289</v>
      </c>
    </row>
    <row r="31" spans="1:20" s="1117" customFormat="1" x14ac:dyDescent="0.25">
      <c r="A31" s="198">
        <v>311</v>
      </c>
      <c r="B31" s="1226" t="s">
        <v>345</v>
      </c>
      <c r="C31" s="1669"/>
      <c r="D31" s="1121" t="str">
        <f t="shared" si="0"/>
        <v/>
      </c>
      <c r="E31" s="2732" t="s">
        <v>4691</v>
      </c>
      <c r="F31" s="2720"/>
      <c r="G31" s="2720"/>
      <c r="H31" s="2720"/>
      <c r="I31" s="2720"/>
      <c r="J31" s="2720"/>
      <c r="K31" s="2720"/>
      <c r="L31" s="2720"/>
      <c r="M31" s="2720"/>
      <c r="N31" s="2720"/>
      <c r="O31" s="2733"/>
      <c r="P31" s="1119" t="s">
        <v>929</v>
      </c>
    </row>
    <row r="32" spans="1:20" s="1117" customFormat="1" ht="29.25" customHeight="1" x14ac:dyDescent="0.25">
      <c r="A32" s="1186">
        <v>315</v>
      </c>
      <c r="B32" s="1188"/>
      <c r="C32" s="1228" t="s">
        <v>345</v>
      </c>
      <c r="D32" s="1121" t="str">
        <f t="shared" si="0"/>
        <v/>
      </c>
      <c r="E32" s="2711" t="s">
        <v>4715</v>
      </c>
      <c r="F32" s="2712"/>
      <c r="G32" s="2712"/>
      <c r="H32" s="2712"/>
      <c r="I32" s="2712"/>
      <c r="J32" s="2712"/>
      <c r="K32" s="2712"/>
      <c r="L32" s="2712"/>
      <c r="M32" s="2712"/>
      <c r="N32" s="2712"/>
      <c r="O32" s="2713"/>
      <c r="P32" s="1119"/>
    </row>
    <row r="33" spans="1:16" s="1117" customFormat="1" ht="30.75" customHeight="1" x14ac:dyDescent="0.25">
      <c r="A33" s="1186">
        <v>320</v>
      </c>
      <c r="B33" s="1188"/>
      <c r="C33" s="1228" t="s">
        <v>345</v>
      </c>
      <c r="D33" s="1121" t="str">
        <f>IF(B33="NA","",IF(Q33&lt;&gt;0,"E",""))</f>
        <v/>
      </c>
      <c r="E33" s="2711" t="s">
        <v>4716</v>
      </c>
      <c r="F33" s="2712"/>
      <c r="G33" s="2712"/>
      <c r="H33" s="2712"/>
      <c r="I33" s="2712"/>
      <c r="J33" s="2712"/>
      <c r="K33" s="2712"/>
      <c r="L33" s="2712"/>
      <c r="M33" s="2712"/>
      <c r="N33" s="2712"/>
      <c r="O33" s="2713"/>
      <c r="P33" s="1119"/>
    </row>
    <row r="34" spans="1:16" s="1117" customFormat="1" x14ac:dyDescent="0.25">
      <c r="A34" s="1186">
        <v>322</v>
      </c>
      <c r="B34" s="1188"/>
      <c r="C34" s="1669"/>
      <c r="D34" s="1121"/>
      <c r="E34" s="2702" t="s">
        <v>1269</v>
      </c>
      <c r="F34" s="2703"/>
      <c r="G34" s="2703"/>
      <c r="H34" s="2703"/>
      <c r="I34" s="2703"/>
      <c r="J34" s="2703"/>
      <c r="K34" s="2703"/>
      <c r="L34" s="2703"/>
      <c r="M34" s="2703"/>
      <c r="N34" s="2703"/>
      <c r="O34" s="2704"/>
      <c r="P34" s="1119" t="s">
        <v>929</v>
      </c>
    </row>
    <row r="35" spans="1:16" s="1117" customFormat="1" x14ac:dyDescent="0.25">
      <c r="A35" s="1186">
        <v>323</v>
      </c>
      <c r="B35" s="1188"/>
      <c r="C35" s="1669"/>
      <c r="D35" s="1121"/>
      <c r="E35" s="2714" t="s">
        <v>4813</v>
      </c>
      <c r="F35" s="2715"/>
      <c r="G35" s="2715"/>
      <c r="H35" s="2715"/>
      <c r="I35" s="2715"/>
      <c r="J35" s="2715"/>
      <c r="K35" s="2715"/>
      <c r="L35" s="2715"/>
      <c r="M35" s="2715"/>
      <c r="N35" s="2715"/>
      <c r="O35" s="2716"/>
      <c r="P35" s="1119" t="s">
        <v>929</v>
      </c>
    </row>
    <row r="36" spans="1:16" s="1117" customFormat="1" x14ac:dyDescent="0.25">
      <c r="A36" s="1119">
        <v>325</v>
      </c>
      <c r="B36" s="1188"/>
      <c r="C36" s="1228" t="s">
        <v>345</v>
      </c>
      <c r="D36" s="1121" t="str">
        <f t="shared" si="0"/>
        <v/>
      </c>
      <c r="E36" s="2702" t="s">
        <v>288</v>
      </c>
      <c r="F36" s="2703"/>
      <c r="G36" s="2703"/>
      <c r="H36" s="2703"/>
      <c r="I36" s="2703"/>
      <c r="J36" s="2703"/>
      <c r="K36" s="2703"/>
      <c r="L36" s="2703"/>
      <c r="M36" s="2703"/>
      <c r="N36" s="2703"/>
      <c r="O36" s="2704"/>
      <c r="P36" s="1119"/>
    </row>
    <row r="37" spans="1:16" s="1117" customFormat="1" x14ac:dyDescent="0.25">
      <c r="A37" s="198">
        <v>326</v>
      </c>
      <c r="B37" s="1228" t="s">
        <v>345</v>
      </c>
      <c r="C37" s="1669"/>
      <c r="D37" s="1121" t="str">
        <f>IF(B37="NA","",IF(Q37&lt;&gt;0,"E",""))</f>
        <v/>
      </c>
      <c r="E37" s="2745" t="s">
        <v>1712</v>
      </c>
      <c r="F37" s="2720"/>
      <c r="G37" s="2720"/>
      <c r="H37" s="2720"/>
      <c r="I37" s="2720"/>
      <c r="J37" s="2720"/>
      <c r="K37" s="2720"/>
      <c r="L37" s="2720"/>
      <c r="M37" s="2720"/>
      <c r="N37" s="2720"/>
      <c r="O37" s="2733"/>
      <c r="P37" s="1119" t="s">
        <v>929</v>
      </c>
    </row>
    <row r="38" spans="1:16" s="1117" customFormat="1" x14ac:dyDescent="0.25">
      <c r="A38" s="1119">
        <v>330</v>
      </c>
      <c r="B38" s="1651"/>
      <c r="C38" s="1669"/>
      <c r="D38" s="1121" t="str">
        <f t="shared" si="0"/>
        <v/>
      </c>
      <c r="E38" s="2702" t="s">
        <v>994</v>
      </c>
      <c r="F38" s="2703"/>
      <c r="G38" s="2703"/>
      <c r="H38" s="2703"/>
      <c r="I38" s="2703"/>
      <c r="J38" s="2703"/>
      <c r="K38" s="2703"/>
      <c r="L38" s="2703"/>
      <c r="M38" s="2703"/>
      <c r="N38" s="2703"/>
      <c r="O38" s="2704"/>
      <c r="P38" s="1119" t="s">
        <v>929</v>
      </c>
    </row>
    <row r="39" spans="1:16" s="1117" customFormat="1" x14ac:dyDescent="0.25">
      <c r="A39" s="198">
        <v>335</v>
      </c>
      <c r="B39" s="1226" t="s">
        <v>345</v>
      </c>
      <c r="C39" s="1669"/>
      <c r="D39" s="1121" t="str">
        <f t="shared" si="0"/>
        <v/>
      </c>
      <c r="E39" s="2745" t="s">
        <v>1713</v>
      </c>
      <c r="F39" s="2720"/>
      <c r="G39" s="2720"/>
      <c r="H39" s="2720"/>
      <c r="I39" s="2720"/>
      <c r="J39" s="2720"/>
      <c r="K39" s="2720"/>
      <c r="L39" s="2720"/>
      <c r="M39" s="2720"/>
      <c r="N39" s="2720"/>
      <c r="O39" s="2733"/>
      <c r="P39" s="1119" t="s">
        <v>929</v>
      </c>
    </row>
    <row r="40" spans="1:16" s="1117" customFormat="1" x14ac:dyDescent="0.25">
      <c r="A40" s="1119">
        <v>338</v>
      </c>
      <c r="B40" s="1651"/>
      <c r="C40" s="1669"/>
      <c r="D40" s="1121"/>
      <c r="E40" s="2702" t="s">
        <v>3625</v>
      </c>
      <c r="F40" s="2703"/>
      <c r="G40" s="2703"/>
      <c r="H40" s="2703"/>
      <c r="I40" s="2703"/>
      <c r="J40" s="2703"/>
      <c r="K40" s="2703"/>
      <c r="L40" s="2703"/>
      <c r="M40" s="2703"/>
      <c r="N40" s="2703"/>
      <c r="O40" s="2704"/>
      <c r="P40" s="1119" t="s">
        <v>929</v>
      </c>
    </row>
    <row r="41" spans="1:16" s="1117" customFormat="1" x14ac:dyDescent="0.25">
      <c r="A41" s="1119">
        <v>340</v>
      </c>
      <c r="B41" s="1651"/>
      <c r="C41" s="1669"/>
      <c r="D41" s="1121"/>
      <c r="E41" s="2702" t="s">
        <v>1353</v>
      </c>
      <c r="F41" s="2720"/>
      <c r="G41" s="2720"/>
      <c r="H41" s="2720"/>
      <c r="I41" s="2720"/>
      <c r="J41" s="2720"/>
      <c r="K41" s="2720"/>
      <c r="L41" s="2720"/>
      <c r="M41" s="2720"/>
      <c r="N41" s="2720"/>
      <c r="O41" s="2733"/>
      <c r="P41" s="1119" t="s">
        <v>929</v>
      </c>
    </row>
    <row r="42" spans="1:16" s="1117" customFormat="1" x14ac:dyDescent="0.25">
      <c r="A42" s="1119">
        <v>341</v>
      </c>
      <c r="B42" s="1651"/>
      <c r="C42" s="1669"/>
      <c r="D42" s="1121"/>
      <c r="E42" s="2702" t="s">
        <v>1400</v>
      </c>
      <c r="F42" s="2720"/>
      <c r="G42" s="2720"/>
      <c r="H42" s="2720"/>
      <c r="I42" s="2720"/>
      <c r="J42" s="2720"/>
      <c r="K42" s="2720"/>
      <c r="L42" s="2720"/>
      <c r="M42" s="2720"/>
      <c r="N42" s="2720"/>
      <c r="O42" s="2733"/>
      <c r="P42" s="1119" t="s">
        <v>929</v>
      </c>
    </row>
    <row r="43" spans="1:16" s="1117" customFormat="1" x14ac:dyDescent="0.25">
      <c r="A43" s="1119">
        <v>342</v>
      </c>
      <c r="B43" s="1651"/>
      <c r="C43" s="1669"/>
      <c r="D43" s="1121"/>
      <c r="E43" s="2702" t="s">
        <v>1394</v>
      </c>
      <c r="F43" s="2720"/>
      <c r="G43" s="2720"/>
      <c r="H43" s="2720"/>
      <c r="I43" s="2720"/>
      <c r="J43" s="2720"/>
      <c r="K43" s="2720"/>
      <c r="L43" s="2720"/>
      <c r="M43" s="2720"/>
      <c r="N43" s="2720"/>
      <c r="O43" s="2733"/>
      <c r="P43" s="1119" t="s">
        <v>929</v>
      </c>
    </row>
    <row r="44" spans="1:16" s="1117" customFormat="1" x14ac:dyDescent="0.25">
      <c r="A44" s="1119">
        <v>345</v>
      </c>
      <c r="B44" s="1120"/>
      <c r="C44" s="1669"/>
      <c r="D44" s="1121" t="str">
        <f t="shared" si="0"/>
        <v/>
      </c>
      <c r="E44" s="2702" t="s">
        <v>734</v>
      </c>
      <c r="F44" s="2703"/>
      <c r="G44" s="2703"/>
      <c r="H44" s="2703"/>
      <c r="I44" s="2703"/>
      <c r="J44" s="2703"/>
      <c r="K44" s="2703"/>
      <c r="L44" s="2703"/>
      <c r="M44" s="2703"/>
      <c r="N44" s="2703"/>
      <c r="O44" s="2704"/>
      <c r="P44" s="1119" t="s">
        <v>929</v>
      </c>
    </row>
    <row r="45" spans="1:16" s="1117" customFormat="1" x14ac:dyDescent="0.25">
      <c r="A45" s="1119">
        <v>350</v>
      </c>
      <c r="B45" s="1122"/>
      <c r="C45" s="1172"/>
      <c r="D45" s="1121" t="str">
        <f t="shared" si="0"/>
        <v/>
      </c>
      <c r="E45" s="2702" t="s">
        <v>586</v>
      </c>
      <c r="F45" s="2703"/>
      <c r="G45" s="2703"/>
      <c r="H45" s="2703"/>
      <c r="I45" s="2703"/>
      <c r="J45" s="2703"/>
      <c r="K45" s="2703"/>
      <c r="L45" s="2703"/>
      <c r="M45" s="2703"/>
      <c r="N45" s="2703"/>
      <c r="O45" s="2704"/>
      <c r="P45" s="1119" t="s">
        <v>929</v>
      </c>
    </row>
    <row r="46" spans="1:16" s="1117" customFormat="1" x14ac:dyDescent="0.25">
      <c r="A46" s="1119">
        <v>355</v>
      </c>
      <c r="B46" s="1120"/>
      <c r="C46" s="1172"/>
      <c r="D46" s="1121" t="str">
        <f t="shared" si="0"/>
        <v/>
      </c>
      <c r="E46" s="2702" t="s">
        <v>1014</v>
      </c>
      <c r="F46" s="2703"/>
      <c r="G46" s="2703"/>
      <c r="H46" s="2703"/>
      <c r="I46" s="2703"/>
      <c r="J46" s="2703"/>
      <c r="K46" s="2703"/>
      <c r="L46" s="2703"/>
      <c r="M46" s="2703"/>
      <c r="N46" s="2703"/>
      <c r="O46" s="2704"/>
      <c r="P46" s="1119" t="s">
        <v>929</v>
      </c>
    </row>
    <row r="47" spans="1:16" s="1117" customFormat="1" x14ac:dyDescent="0.25">
      <c r="A47" s="198">
        <v>360</v>
      </c>
      <c r="B47" s="1226" t="s">
        <v>345</v>
      </c>
      <c r="C47" s="1172"/>
      <c r="D47" s="1121" t="str">
        <f t="shared" si="0"/>
        <v/>
      </c>
      <c r="E47" s="2745" t="s">
        <v>1730</v>
      </c>
      <c r="F47" s="2720"/>
      <c r="G47" s="2720"/>
      <c r="H47" s="2720"/>
      <c r="I47" s="2720"/>
      <c r="J47" s="2720"/>
      <c r="K47" s="2720"/>
      <c r="L47" s="2720"/>
      <c r="M47" s="2720"/>
      <c r="N47" s="2720"/>
      <c r="O47" s="2733"/>
      <c r="P47" s="1119" t="s">
        <v>929</v>
      </c>
    </row>
    <row r="48" spans="1:16" s="1117" customFormat="1" x14ac:dyDescent="0.25">
      <c r="A48" s="1119">
        <v>365</v>
      </c>
      <c r="B48" s="1122"/>
      <c r="C48" s="1172"/>
      <c r="D48" s="1121"/>
      <c r="E48" s="2702" t="s">
        <v>1313</v>
      </c>
      <c r="F48" s="2703"/>
      <c r="G48" s="2703"/>
      <c r="H48" s="2703"/>
      <c r="I48" s="2703"/>
      <c r="J48" s="2703"/>
      <c r="K48" s="2703"/>
      <c r="L48" s="2703"/>
      <c r="M48" s="2703"/>
      <c r="N48" s="2703"/>
      <c r="O48" s="2704"/>
      <c r="P48" s="1119" t="s">
        <v>929</v>
      </c>
    </row>
    <row r="49" spans="1:16" s="1117" customFormat="1" x14ac:dyDescent="0.25">
      <c r="A49" s="1119">
        <v>370</v>
      </c>
      <c r="B49" s="1651"/>
      <c r="C49" s="1228" t="s">
        <v>345</v>
      </c>
      <c r="D49" s="1121"/>
      <c r="E49" s="2702" t="s">
        <v>1351</v>
      </c>
      <c r="F49" s="2703"/>
      <c r="G49" s="2703"/>
      <c r="H49" s="2703"/>
      <c r="I49" s="2703"/>
      <c r="J49" s="2703"/>
      <c r="K49" s="2703"/>
      <c r="L49" s="2703"/>
      <c r="M49" s="2703"/>
      <c r="N49" s="2703"/>
      <c r="O49" s="2704"/>
      <c r="P49" s="1119"/>
    </row>
    <row r="50" spans="1:16" s="1117" customFormat="1" x14ac:dyDescent="0.25">
      <c r="A50" s="1119" t="s">
        <v>4878</v>
      </c>
      <c r="B50" s="1651"/>
      <c r="C50" s="1228" t="s">
        <v>345</v>
      </c>
      <c r="D50" s="1121"/>
      <c r="E50" s="2734" t="s">
        <v>4905</v>
      </c>
      <c r="F50" s="2703"/>
      <c r="G50" s="2703"/>
      <c r="H50" s="2703"/>
      <c r="I50" s="2703"/>
      <c r="J50" s="2703"/>
      <c r="K50" s="2703"/>
      <c r="L50" s="2703"/>
      <c r="M50" s="2703"/>
      <c r="N50" s="2703"/>
      <c r="O50" s="2704"/>
      <c r="P50" s="1119"/>
    </row>
    <row r="51" spans="1:16" s="1117" customFormat="1" x14ac:dyDescent="0.25">
      <c r="A51" s="1119" t="s">
        <v>4879</v>
      </c>
      <c r="B51" s="1651"/>
      <c r="C51" s="1228" t="s">
        <v>345</v>
      </c>
      <c r="D51" s="1121"/>
      <c r="E51" s="2734" t="s">
        <v>5339</v>
      </c>
      <c r="F51" s="2703"/>
      <c r="G51" s="2703"/>
      <c r="H51" s="2703"/>
      <c r="I51" s="2703"/>
      <c r="J51" s="2703"/>
      <c r="K51" s="2703"/>
      <c r="L51" s="2703"/>
      <c r="M51" s="2703"/>
      <c r="N51" s="2703"/>
      <c r="O51" s="2704"/>
      <c r="P51" s="1119"/>
    </row>
    <row r="52" spans="1:16" s="1117" customFormat="1" x14ac:dyDescent="0.25">
      <c r="A52" s="1119">
        <v>401</v>
      </c>
      <c r="B52" s="1651"/>
      <c r="C52" s="1172"/>
      <c r="D52" s="1121" t="str">
        <f t="shared" si="0"/>
        <v/>
      </c>
      <c r="E52" s="2702" t="s">
        <v>3812</v>
      </c>
      <c r="F52" s="2703"/>
      <c r="G52" s="2703"/>
      <c r="H52" s="2703"/>
      <c r="I52" s="2703"/>
      <c r="J52" s="2703"/>
      <c r="K52" s="2703"/>
      <c r="L52" s="2703"/>
      <c r="M52" s="2703"/>
      <c r="N52" s="2703"/>
      <c r="O52" s="2704"/>
      <c r="P52" s="1119" t="s">
        <v>929</v>
      </c>
    </row>
    <row r="53" spans="1:16" s="1117" customFormat="1" x14ac:dyDescent="0.25">
      <c r="A53" s="1119">
        <v>405</v>
      </c>
      <c r="B53" s="1122"/>
      <c r="C53" s="1172"/>
      <c r="D53" s="1121" t="str">
        <f t="shared" si="0"/>
        <v/>
      </c>
      <c r="E53" s="2702" t="s">
        <v>3811</v>
      </c>
      <c r="F53" s="2703"/>
      <c r="G53" s="2703"/>
      <c r="H53" s="2703"/>
      <c r="I53" s="2703"/>
      <c r="J53" s="2703"/>
      <c r="K53" s="2703"/>
      <c r="L53" s="2703"/>
      <c r="M53" s="2703"/>
      <c r="N53" s="2703"/>
      <c r="O53" s="2704"/>
      <c r="P53" s="1119" t="s">
        <v>929</v>
      </c>
    </row>
    <row r="54" spans="1:16" s="1117" customFormat="1" x14ac:dyDescent="0.25">
      <c r="A54" s="1119">
        <v>410</v>
      </c>
      <c r="B54" s="1122"/>
      <c r="C54" s="1172"/>
      <c r="D54" s="1121" t="str">
        <f t="shared" si="0"/>
        <v/>
      </c>
      <c r="E54" s="2702" t="s">
        <v>3813</v>
      </c>
      <c r="F54" s="2703"/>
      <c r="G54" s="2703"/>
      <c r="H54" s="2703"/>
      <c r="I54" s="2703"/>
      <c r="J54" s="2703"/>
      <c r="K54" s="2703"/>
      <c r="L54" s="2703"/>
      <c r="M54" s="2703"/>
      <c r="N54" s="2703"/>
      <c r="O54" s="2704"/>
      <c r="P54" s="1119" t="s">
        <v>929</v>
      </c>
    </row>
    <row r="55" spans="1:16" s="1117" customFormat="1" x14ac:dyDescent="0.25">
      <c r="A55" s="1119">
        <v>415</v>
      </c>
      <c r="B55" s="1122"/>
      <c r="C55" s="1172"/>
      <c r="D55" s="1121" t="str">
        <f t="shared" si="0"/>
        <v/>
      </c>
      <c r="E55" s="2702" t="s">
        <v>3814</v>
      </c>
      <c r="F55" s="2703"/>
      <c r="G55" s="2703"/>
      <c r="H55" s="2703"/>
      <c r="I55" s="2703"/>
      <c r="J55" s="2703"/>
      <c r="K55" s="2703"/>
      <c r="L55" s="2703"/>
      <c r="M55" s="2703"/>
      <c r="N55" s="2703"/>
      <c r="O55" s="2704"/>
      <c r="P55" s="1119" t="s">
        <v>929</v>
      </c>
    </row>
    <row r="56" spans="1:16" s="1117" customFormat="1" x14ac:dyDescent="0.25">
      <c r="A56" s="1119">
        <v>420</v>
      </c>
      <c r="B56" s="1651"/>
      <c r="C56" s="1172"/>
      <c r="D56" s="1121" t="str">
        <f t="shared" si="0"/>
        <v/>
      </c>
      <c r="E56" s="2702" t="s">
        <v>3530</v>
      </c>
      <c r="F56" s="2703"/>
      <c r="G56" s="2703"/>
      <c r="H56" s="2703"/>
      <c r="I56" s="2703"/>
      <c r="J56" s="2703"/>
      <c r="K56" s="2703"/>
      <c r="L56" s="2703"/>
      <c r="M56" s="2703"/>
      <c r="N56" s="2703"/>
      <c r="O56" s="2704"/>
      <c r="P56" s="1119" t="s">
        <v>929</v>
      </c>
    </row>
    <row r="57" spans="1:16" s="1117" customFormat="1" x14ac:dyDescent="0.25">
      <c r="A57" s="1119">
        <v>425</v>
      </c>
      <c r="B57" s="1120"/>
      <c r="C57" s="1172"/>
      <c r="D57" s="1121"/>
      <c r="E57" s="2702" t="s">
        <v>1328</v>
      </c>
      <c r="F57" s="2703"/>
      <c r="G57" s="2703"/>
      <c r="H57" s="2703"/>
      <c r="I57" s="2703"/>
      <c r="J57" s="2703"/>
      <c r="K57" s="2703"/>
      <c r="L57" s="2703"/>
      <c r="M57" s="2703"/>
      <c r="N57" s="2703"/>
      <c r="O57" s="2704"/>
      <c r="P57" s="1119"/>
    </row>
    <row r="58" spans="1:16" s="1117" customFormat="1" x14ac:dyDescent="0.25">
      <c r="A58" s="1119" t="s">
        <v>3713</v>
      </c>
      <c r="B58" s="1651"/>
      <c r="C58" s="1228" t="s">
        <v>345</v>
      </c>
      <c r="D58" s="1121" t="str">
        <f t="shared" si="0"/>
        <v/>
      </c>
      <c r="E58" s="2735" t="s">
        <v>3809</v>
      </c>
      <c r="F58" s="2736"/>
      <c r="G58" s="2736"/>
      <c r="H58" s="2736"/>
      <c r="I58" s="2736"/>
      <c r="J58" s="2736"/>
      <c r="K58" s="2736"/>
      <c r="L58" s="2736"/>
      <c r="M58" s="2736"/>
      <c r="N58" s="2736"/>
      <c r="O58" s="2737"/>
      <c r="P58" s="1119"/>
    </row>
    <row r="59" spans="1:16" s="1117" customFormat="1" x14ac:dyDescent="0.25">
      <c r="A59" s="1119" t="s">
        <v>3714</v>
      </c>
      <c r="B59" s="1651"/>
      <c r="C59" s="1228" t="s">
        <v>345</v>
      </c>
      <c r="D59" s="1121" t="str">
        <f>IF(B59="NA","",IF(Q59&lt;&gt;0,"E",""))</f>
        <v/>
      </c>
      <c r="E59" s="2735" t="s">
        <v>3810</v>
      </c>
      <c r="F59" s="2736"/>
      <c r="G59" s="2736"/>
      <c r="H59" s="2736"/>
      <c r="I59" s="2736"/>
      <c r="J59" s="2736"/>
      <c r="K59" s="2736"/>
      <c r="L59" s="2736"/>
      <c r="M59" s="2736"/>
      <c r="N59" s="2736"/>
      <c r="O59" s="2737"/>
      <c r="P59" s="1119"/>
    </row>
    <row r="60" spans="1:16" s="1117" customFormat="1" x14ac:dyDescent="0.25">
      <c r="A60" s="1119" t="s">
        <v>4812</v>
      </c>
      <c r="B60" s="1651"/>
      <c r="C60" s="1814" t="s">
        <v>345</v>
      </c>
      <c r="D60" s="1121"/>
      <c r="E60" s="2206" t="s">
        <v>5340</v>
      </c>
      <c r="F60" s="2202"/>
      <c r="G60" s="2202"/>
      <c r="H60" s="2202"/>
      <c r="I60" s="2202"/>
      <c r="J60" s="2202"/>
      <c r="K60" s="2202"/>
      <c r="L60" s="2202"/>
      <c r="M60" s="2202"/>
      <c r="N60" s="2202"/>
      <c r="O60" s="2203"/>
      <c r="P60" s="1119"/>
    </row>
    <row r="61" spans="1:16" s="1117" customFormat="1" x14ac:dyDescent="0.25">
      <c r="A61" s="1119" t="s">
        <v>3984</v>
      </c>
      <c r="B61" s="1651"/>
      <c r="C61" s="1228" t="s">
        <v>345</v>
      </c>
      <c r="D61" s="1121" t="str">
        <f t="shared" si="0"/>
        <v/>
      </c>
      <c r="E61" s="2735" t="s">
        <v>4328</v>
      </c>
      <c r="F61" s="2736"/>
      <c r="G61" s="2736"/>
      <c r="H61" s="2736"/>
      <c r="I61" s="2736"/>
      <c r="J61" s="2736"/>
      <c r="K61" s="2736"/>
      <c r="L61" s="2736"/>
      <c r="M61" s="2736"/>
      <c r="N61" s="2736"/>
      <c r="O61" s="2737"/>
      <c r="P61" s="1119"/>
    </row>
    <row r="62" spans="1:16" s="1117" customFormat="1" x14ac:dyDescent="0.25">
      <c r="A62" s="1119" t="s">
        <v>3985</v>
      </c>
      <c r="B62" s="1651"/>
      <c r="C62" s="1228" t="s">
        <v>345</v>
      </c>
      <c r="D62" s="1121" t="str">
        <f>IF(B62="NA","",IF(Q62&lt;&gt;0,"E",""))</f>
        <v/>
      </c>
      <c r="E62" s="2735" t="s">
        <v>4329</v>
      </c>
      <c r="F62" s="2736"/>
      <c r="G62" s="2736"/>
      <c r="H62" s="2736"/>
      <c r="I62" s="2736"/>
      <c r="J62" s="2736"/>
      <c r="K62" s="2736"/>
      <c r="L62" s="2736"/>
      <c r="M62" s="2736"/>
      <c r="N62" s="2736"/>
      <c r="O62" s="2737"/>
      <c r="P62" s="1119"/>
    </row>
    <row r="63" spans="1:16" s="1117" customFormat="1" x14ac:dyDescent="0.25">
      <c r="A63" s="1119">
        <v>501</v>
      </c>
      <c r="B63" s="1651"/>
      <c r="C63" s="1228" t="s">
        <v>345</v>
      </c>
      <c r="D63" s="1121" t="str">
        <f t="shared" si="0"/>
        <v/>
      </c>
      <c r="E63" s="2702" t="s">
        <v>508</v>
      </c>
      <c r="F63" s="2703"/>
      <c r="G63" s="2703"/>
      <c r="H63" s="2703"/>
      <c r="I63" s="2703"/>
      <c r="J63" s="2703"/>
      <c r="K63" s="2703"/>
      <c r="L63" s="2703"/>
      <c r="M63" s="2703"/>
      <c r="N63" s="2703"/>
      <c r="O63" s="2704"/>
      <c r="P63" s="1119"/>
    </row>
    <row r="64" spans="1:16" s="1117" customFormat="1" x14ac:dyDescent="0.25">
      <c r="A64" s="1119">
        <v>505</v>
      </c>
      <c r="B64" s="1122"/>
      <c r="C64" s="1228" t="s">
        <v>345</v>
      </c>
      <c r="D64" s="1121" t="str">
        <f t="shared" si="0"/>
        <v/>
      </c>
      <c r="E64" s="2702" t="s">
        <v>265</v>
      </c>
      <c r="F64" s="2703"/>
      <c r="G64" s="2703"/>
      <c r="H64" s="2703"/>
      <c r="I64" s="2703"/>
      <c r="J64" s="2703"/>
      <c r="K64" s="2703"/>
      <c r="L64" s="2703"/>
      <c r="M64" s="2703"/>
      <c r="N64" s="2703"/>
      <c r="O64" s="2704"/>
      <c r="P64" s="1119"/>
    </row>
    <row r="65" spans="1:16" s="1117" customFormat="1" x14ac:dyDescent="0.25">
      <c r="A65" s="1119">
        <v>510</v>
      </c>
      <c r="B65" s="1122"/>
      <c r="C65" s="1228" t="s">
        <v>345</v>
      </c>
      <c r="D65" s="1121" t="str">
        <f t="shared" si="0"/>
        <v/>
      </c>
      <c r="E65" s="2702" t="s">
        <v>266</v>
      </c>
      <c r="F65" s="2703"/>
      <c r="G65" s="2703"/>
      <c r="H65" s="2703"/>
      <c r="I65" s="2703"/>
      <c r="J65" s="2703"/>
      <c r="K65" s="2703"/>
      <c r="L65" s="2703"/>
      <c r="M65" s="2703"/>
      <c r="N65" s="2703"/>
      <c r="O65" s="2704"/>
      <c r="P65" s="1119"/>
    </row>
    <row r="66" spans="1:16" s="1117" customFormat="1" x14ac:dyDescent="0.25">
      <c r="A66" s="1119">
        <v>515</v>
      </c>
      <c r="B66" s="1122"/>
      <c r="C66" s="1228" t="s">
        <v>345</v>
      </c>
      <c r="D66" s="1121" t="str">
        <f t="shared" si="0"/>
        <v/>
      </c>
      <c r="E66" s="2702" t="s">
        <v>436</v>
      </c>
      <c r="F66" s="2703"/>
      <c r="G66" s="2703"/>
      <c r="H66" s="2703"/>
      <c r="I66" s="2703"/>
      <c r="J66" s="2703"/>
      <c r="K66" s="2703"/>
      <c r="L66" s="2703"/>
      <c r="M66" s="2703"/>
      <c r="N66" s="2703"/>
      <c r="O66" s="2704"/>
      <c r="P66" s="1119"/>
    </row>
    <row r="67" spans="1:16" s="1117" customFormat="1" x14ac:dyDescent="0.25">
      <c r="A67" s="1119">
        <v>520</v>
      </c>
      <c r="B67" s="1122"/>
      <c r="C67" s="1228" t="s">
        <v>345</v>
      </c>
      <c r="D67" s="1121" t="str">
        <f t="shared" si="0"/>
        <v/>
      </c>
      <c r="E67" s="2702" t="s">
        <v>267</v>
      </c>
      <c r="F67" s="2703"/>
      <c r="G67" s="2703"/>
      <c r="H67" s="2703"/>
      <c r="I67" s="2703"/>
      <c r="J67" s="2703"/>
      <c r="K67" s="2703"/>
      <c r="L67" s="2703"/>
      <c r="M67" s="2703"/>
      <c r="N67" s="2703"/>
      <c r="O67" s="2704"/>
      <c r="P67" s="1119"/>
    </row>
    <row r="68" spans="1:16" s="1117" customFormat="1" x14ac:dyDescent="0.25">
      <c r="A68" s="1119">
        <v>525</v>
      </c>
      <c r="B68" s="1122"/>
      <c r="C68" s="1228" t="s">
        <v>345</v>
      </c>
      <c r="D68" s="1121" t="str">
        <f t="shared" si="0"/>
        <v/>
      </c>
      <c r="E68" s="2702" t="s">
        <v>1214</v>
      </c>
      <c r="F68" s="2703"/>
      <c r="G68" s="2703"/>
      <c r="H68" s="2703"/>
      <c r="I68" s="2703"/>
      <c r="J68" s="2703"/>
      <c r="K68" s="2703"/>
      <c r="L68" s="2703"/>
      <c r="M68" s="2703"/>
      <c r="N68" s="2703"/>
      <c r="O68" s="2704"/>
      <c r="P68" s="1119"/>
    </row>
    <row r="69" spans="1:16" s="1117" customFormat="1" x14ac:dyDescent="0.25">
      <c r="A69" s="1119">
        <v>530</v>
      </c>
      <c r="B69" s="1122"/>
      <c r="C69" s="1228" t="s">
        <v>345</v>
      </c>
      <c r="D69" s="1121" t="str">
        <f t="shared" si="0"/>
        <v/>
      </c>
      <c r="E69" s="2702" t="s">
        <v>258</v>
      </c>
      <c r="F69" s="2703"/>
      <c r="G69" s="2703"/>
      <c r="H69" s="2703"/>
      <c r="I69" s="2703"/>
      <c r="J69" s="2703"/>
      <c r="K69" s="2703"/>
      <c r="L69" s="2703"/>
      <c r="M69" s="2703"/>
      <c r="N69" s="2703"/>
      <c r="O69" s="2704"/>
      <c r="P69" s="1119"/>
    </row>
    <row r="70" spans="1:16" s="1117" customFormat="1" x14ac:dyDescent="0.25">
      <c r="A70" s="1119">
        <v>535</v>
      </c>
      <c r="B70" s="1122"/>
      <c r="C70" s="1228" t="s">
        <v>345</v>
      </c>
      <c r="D70" s="1121" t="str">
        <f t="shared" si="0"/>
        <v/>
      </c>
      <c r="E70" s="2702" t="s">
        <v>414</v>
      </c>
      <c r="F70" s="2703"/>
      <c r="G70" s="2703"/>
      <c r="H70" s="2703"/>
      <c r="I70" s="2703"/>
      <c r="J70" s="2703"/>
      <c r="K70" s="2703"/>
      <c r="L70" s="2703"/>
      <c r="M70" s="2703"/>
      <c r="N70" s="2703"/>
      <c r="O70" s="2704"/>
      <c r="P70" s="1119"/>
    </row>
    <row r="71" spans="1:16" s="1117" customFormat="1" x14ac:dyDescent="0.25">
      <c r="A71" s="1119">
        <v>540</v>
      </c>
      <c r="B71" s="1651"/>
      <c r="C71" s="1814" t="s">
        <v>345</v>
      </c>
      <c r="D71" s="1121"/>
      <c r="E71" s="2702" t="s">
        <v>4413</v>
      </c>
      <c r="F71" s="2703"/>
      <c r="G71" s="2703"/>
      <c r="H71" s="2703"/>
      <c r="I71" s="2703"/>
      <c r="J71" s="2703"/>
      <c r="K71" s="2703"/>
      <c r="L71" s="2703"/>
      <c r="M71" s="2703"/>
      <c r="N71" s="2703"/>
      <c r="O71" s="2704"/>
      <c r="P71" s="1119"/>
    </row>
    <row r="72" spans="1:16" s="1117" customFormat="1" x14ac:dyDescent="0.25">
      <c r="A72" s="1119">
        <v>545</v>
      </c>
      <c r="B72" s="1651"/>
      <c r="C72" s="1814" t="s">
        <v>345</v>
      </c>
      <c r="D72" s="1121"/>
      <c r="E72" s="2702" t="s">
        <v>4914</v>
      </c>
      <c r="F72" s="2703"/>
      <c r="G72" s="2703"/>
      <c r="H72" s="2703"/>
      <c r="I72" s="2703"/>
      <c r="J72" s="2703"/>
      <c r="K72" s="2703"/>
      <c r="L72" s="2703"/>
      <c r="M72" s="2703"/>
      <c r="N72" s="2703"/>
      <c r="O72" s="2704"/>
      <c r="P72" s="1119"/>
    </row>
    <row r="73" spans="1:16" s="1117" customFormat="1" x14ac:dyDescent="0.25">
      <c r="A73" s="1119">
        <v>550</v>
      </c>
      <c r="B73" s="1651"/>
      <c r="C73" s="1814" t="s">
        <v>345</v>
      </c>
      <c r="D73" s="1121"/>
      <c r="E73" s="2702" t="s">
        <v>4412</v>
      </c>
      <c r="F73" s="2703"/>
      <c r="G73" s="2703"/>
      <c r="H73" s="2703"/>
      <c r="I73" s="2703"/>
      <c r="J73" s="2703"/>
      <c r="K73" s="2703"/>
      <c r="L73" s="2703"/>
      <c r="M73" s="2703"/>
      <c r="N73" s="2703"/>
      <c r="O73" s="2704"/>
      <c r="P73" s="1119"/>
    </row>
    <row r="74" spans="1:16" s="1117" customFormat="1" x14ac:dyDescent="0.25">
      <c r="A74" s="1119">
        <v>555</v>
      </c>
      <c r="B74" s="1651"/>
      <c r="C74" s="1814" t="s">
        <v>345</v>
      </c>
      <c r="D74" s="1121"/>
      <c r="E74" s="2702" t="s">
        <v>4411</v>
      </c>
      <c r="F74" s="2703"/>
      <c r="G74" s="2703"/>
      <c r="H74" s="2703"/>
      <c r="I74" s="2703"/>
      <c r="J74" s="2703"/>
      <c r="K74" s="2703"/>
      <c r="L74" s="2703"/>
      <c r="M74" s="2703"/>
      <c r="N74" s="2703"/>
      <c r="O74" s="2704"/>
      <c r="P74" s="1119"/>
    </row>
    <row r="75" spans="1:16" s="1117" customFormat="1" x14ac:dyDescent="0.25">
      <c r="A75" s="1119">
        <v>560</v>
      </c>
      <c r="B75" s="1651"/>
      <c r="C75" s="1814" t="s">
        <v>345</v>
      </c>
      <c r="D75" s="1121"/>
      <c r="E75" s="2702" t="s">
        <v>4410</v>
      </c>
      <c r="F75" s="2703"/>
      <c r="G75" s="2703"/>
      <c r="H75" s="2703"/>
      <c r="I75" s="2703"/>
      <c r="J75" s="2703"/>
      <c r="K75" s="2703"/>
      <c r="L75" s="2703"/>
      <c r="M75" s="2703"/>
      <c r="N75" s="2703"/>
      <c r="O75" s="2704"/>
      <c r="P75" s="1119"/>
    </row>
    <row r="76" spans="1:16" s="1117" customFormat="1" x14ac:dyDescent="0.25">
      <c r="A76" s="1119">
        <v>565</v>
      </c>
      <c r="B76" s="1122"/>
      <c r="C76" s="1228" t="s">
        <v>345</v>
      </c>
      <c r="D76" s="1121" t="str">
        <f t="shared" si="0"/>
        <v/>
      </c>
      <c r="E76" s="2702" t="s">
        <v>1036</v>
      </c>
      <c r="F76" s="2703"/>
      <c r="G76" s="2703"/>
      <c r="H76" s="2703"/>
      <c r="I76" s="2703"/>
      <c r="J76" s="2703"/>
      <c r="K76" s="2703"/>
      <c r="L76" s="2703"/>
      <c r="M76" s="2703"/>
      <c r="N76" s="2703"/>
      <c r="O76" s="2704"/>
      <c r="P76" s="1119"/>
    </row>
    <row r="77" spans="1:16" s="1117" customFormat="1" x14ac:dyDescent="0.25">
      <c r="A77" s="1119">
        <v>570</v>
      </c>
      <c r="B77" s="1651"/>
      <c r="C77" s="1228" t="s">
        <v>345</v>
      </c>
      <c r="D77" s="1121" t="str">
        <f t="shared" si="0"/>
        <v/>
      </c>
      <c r="E77" s="2702" t="s">
        <v>558</v>
      </c>
      <c r="F77" s="2703"/>
      <c r="G77" s="2703"/>
      <c r="H77" s="2703"/>
      <c r="I77" s="2703"/>
      <c r="J77" s="2703"/>
      <c r="K77" s="2703"/>
      <c r="L77" s="2703"/>
      <c r="M77" s="2703"/>
      <c r="N77" s="2703"/>
      <c r="O77" s="2704"/>
      <c r="P77" s="1119"/>
    </row>
    <row r="78" spans="1:16" s="1117" customFormat="1" x14ac:dyDescent="0.25">
      <c r="A78" s="1119">
        <v>602</v>
      </c>
      <c r="B78" s="1651"/>
      <c r="C78" s="1814" t="s">
        <v>345</v>
      </c>
      <c r="D78" s="1121"/>
      <c r="E78" s="2714" t="s">
        <v>4814</v>
      </c>
      <c r="F78" s="2715"/>
      <c r="G78" s="2715"/>
      <c r="H78" s="2715"/>
      <c r="I78" s="2715"/>
      <c r="J78" s="2715"/>
      <c r="K78" s="2715"/>
      <c r="L78" s="2715"/>
      <c r="M78" s="2715"/>
      <c r="N78" s="2715"/>
      <c r="O78" s="2716"/>
      <c r="P78" s="1119"/>
    </row>
    <row r="79" spans="1:16" s="1117" customFormat="1" x14ac:dyDescent="0.25">
      <c r="A79" s="1119">
        <v>605</v>
      </c>
      <c r="B79" s="1651"/>
      <c r="C79" s="1228" t="s">
        <v>345</v>
      </c>
      <c r="D79" s="1121" t="str">
        <f t="shared" si="0"/>
        <v/>
      </c>
      <c r="E79" s="2746" t="s">
        <v>4240</v>
      </c>
      <c r="F79" s="2747"/>
      <c r="G79" s="2747"/>
      <c r="H79" s="2747"/>
      <c r="I79" s="2747"/>
      <c r="J79" s="2747"/>
      <c r="K79" s="2747"/>
      <c r="L79" s="2747"/>
      <c r="M79" s="2747"/>
      <c r="N79" s="2747"/>
      <c r="O79" s="2748"/>
      <c r="P79" s="1119"/>
    </row>
    <row r="80" spans="1:16" s="1117" customFormat="1" x14ac:dyDescent="0.25">
      <c r="A80" s="1119">
        <v>610</v>
      </c>
      <c r="B80" s="1651"/>
      <c r="C80" s="1228" t="s">
        <v>345</v>
      </c>
      <c r="D80" s="1121" t="str">
        <f t="shared" si="0"/>
        <v/>
      </c>
      <c r="E80" s="2702" t="s">
        <v>3736</v>
      </c>
      <c r="F80" s="2703"/>
      <c r="G80" s="2703"/>
      <c r="H80" s="2703"/>
      <c r="I80" s="2703"/>
      <c r="J80" s="2703"/>
      <c r="K80" s="2703"/>
      <c r="L80" s="2703"/>
      <c r="M80" s="2703"/>
      <c r="N80" s="2703"/>
      <c r="O80" s="2704"/>
      <c r="P80" s="1119"/>
    </row>
    <row r="81" spans="1:16" s="1117" customFormat="1" x14ac:dyDescent="0.25">
      <c r="A81" s="1119">
        <v>615</v>
      </c>
      <c r="B81" s="1651"/>
      <c r="C81" s="1228" t="s">
        <v>345</v>
      </c>
      <c r="D81" s="1121" t="str">
        <f t="shared" si="0"/>
        <v/>
      </c>
      <c r="E81" s="2702" t="s">
        <v>4274</v>
      </c>
      <c r="F81" s="2703"/>
      <c r="G81" s="2703"/>
      <c r="H81" s="2703"/>
      <c r="I81" s="2703"/>
      <c r="J81" s="2703"/>
      <c r="K81" s="2703"/>
      <c r="L81" s="2703"/>
      <c r="M81" s="2703"/>
      <c r="N81" s="2703"/>
      <c r="O81" s="2704"/>
      <c r="P81" s="1119"/>
    </row>
    <row r="82" spans="1:16" s="1117" customFormat="1" x14ac:dyDescent="0.25">
      <c r="A82" s="1119">
        <v>616</v>
      </c>
      <c r="B82" s="1651"/>
      <c r="C82" s="1228" t="s">
        <v>345</v>
      </c>
      <c r="D82" s="1121" t="str">
        <f>IF(B82="NA","",IF(Q82&lt;&gt;0,"E",""))</f>
        <v/>
      </c>
      <c r="E82" s="2702" t="s">
        <v>4409</v>
      </c>
      <c r="F82" s="2703"/>
      <c r="G82" s="2703"/>
      <c r="H82" s="2703"/>
      <c r="I82" s="2703"/>
      <c r="J82" s="2703"/>
      <c r="K82" s="2703"/>
      <c r="L82" s="2703"/>
      <c r="M82" s="2703"/>
      <c r="N82" s="2703"/>
      <c r="O82" s="2704"/>
      <c r="P82" s="1119"/>
    </row>
    <row r="83" spans="1:16" s="1117" customFormat="1" x14ac:dyDescent="0.25">
      <c r="A83" s="1119">
        <v>620</v>
      </c>
      <c r="B83" s="1122"/>
      <c r="C83" s="1228" t="s">
        <v>345</v>
      </c>
      <c r="D83" s="1121" t="str">
        <f t="shared" si="0"/>
        <v/>
      </c>
      <c r="E83" s="2702" t="s">
        <v>3597</v>
      </c>
      <c r="F83" s="2703"/>
      <c r="G83" s="2703"/>
      <c r="H83" s="2703"/>
      <c r="I83" s="2703"/>
      <c r="J83" s="2703"/>
      <c r="K83" s="2703"/>
      <c r="L83" s="2703"/>
      <c r="M83" s="2703"/>
      <c r="N83" s="2703"/>
      <c r="O83" s="2704"/>
      <c r="P83" s="1119"/>
    </row>
    <row r="84" spans="1:16" s="1117" customFormat="1" x14ac:dyDescent="0.25">
      <c r="A84" s="1119">
        <v>625</v>
      </c>
      <c r="B84" s="1651"/>
      <c r="C84" s="1669"/>
      <c r="D84" s="1121" t="str">
        <f t="shared" si="0"/>
        <v/>
      </c>
      <c r="E84" s="2702" t="s">
        <v>100</v>
      </c>
      <c r="F84" s="2703"/>
      <c r="G84" s="2703"/>
      <c r="H84" s="2703"/>
      <c r="I84" s="2703"/>
      <c r="J84" s="2703"/>
      <c r="K84" s="2703"/>
      <c r="L84" s="2703"/>
      <c r="M84" s="2703"/>
      <c r="N84" s="2703"/>
      <c r="O84" s="2704"/>
      <c r="P84" s="1119" t="s">
        <v>929</v>
      </c>
    </row>
    <row r="85" spans="1:16" s="1117" customFormat="1" x14ac:dyDescent="0.25">
      <c r="A85" s="1119">
        <v>635</v>
      </c>
      <c r="B85" s="1651"/>
      <c r="C85" s="1228" t="s">
        <v>345</v>
      </c>
      <c r="D85" s="1121" t="str">
        <f t="shared" si="0"/>
        <v/>
      </c>
      <c r="E85" s="2702" t="s">
        <v>1015</v>
      </c>
      <c r="F85" s="2703"/>
      <c r="G85" s="2703"/>
      <c r="H85" s="2703"/>
      <c r="I85" s="2703"/>
      <c r="J85" s="2703"/>
      <c r="K85" s="2703"/>
      <c r="L85" s="2703"/>
      <c r="M85" s="2703"/>
      <c r="N85" s="2703"/>
      <c r="O85" s="2704"/>
      <c r="P85" s="1119"/>
    </row>
    <row r="86" spans="1:16" s="1117" customFormat="1" x14ac:dyDescent="0.25">
      <c r="A86" s="1694">
        <v>640</v>
      </c>
      <c r="B86" s="1651"/>
      <c r="C86" s="1669"/>
      <c r="D86" s="1121"/>
      <c r="E86" s="2708" t="s">
        <v>4408</v>
      </c>
      <c r="F86" s="2709"/>
      <c r="G86" s="2709"/>
      <c r="H86" s="2709"/>
      <c r="I86" s="2709"/>
      <c r="J86" s="2709"/>
      <c r="K86" s="2709"/>
      <c r="L86" s="2709"/>
      <c r="M86" s="2709"/>
      <c r="N86" s="2709"/>
      <c r="O86" s="2710"/>
      <c r="P86" s="1119" t="s">
        <v>929</v>
      </c>
    </row>
    <row r="87" spans="1:16" s="1117" customFormat="1" x14ac:dyDescent="0.25">
      <c r="A87" s="1119">
        <v>705</v>
      </c>
      <c r="B87" s="1122"/>
      <c r="C87" s="1228" t="s">
        <v>345</v>
      </c>
      <c r="D87" s="1121" t="str">
        <f t="shared" si="0"/>
        <v/>
      </c>
      <c r="E87" s="2702" t="s">
        <v>658</v>
      </c>
      <c r="F87" s="2703"/>
      <c r="G87" s="2703"/>
      <c r="H87" s="2703"/>
      <c r="I87" s="2703"/>
      <c r="J87" s="2703"/>
      <c r="K87" s="2703"/>
      <c r="L87" s="2703"/>
      <c r="M87" s="2703"/>
      <c r="N87" s="2703"/>
      <c r="O87" s="2704"/>
      <c r="P87" s="1119"/>
    </row>
    <row r="88" spans="1:16" s="1117" customFormat="1" x14ac:dyDescent="0.25">
      <c r="A88" s="1119">
        <v>710</v>
      </c>
      <c r="B88" s="1651"/>
      <c r="C88" s="1228" t="s">
        <v>345</v>
      </c>
      <c r="D88" s="1121" t="str">
        <f t="shared" si="0"/>
        <v/>
      </c>
      <c r="E88" s="2702" t="s">
        <v>657</v>
      </c>
      <c r="F88" s="2703"/>
      <c r="G88" s="2703"/>
      <c r="H88" s="2703"/>
      <c r="I88" s="2703"/>
      <c r="J88" s="2703"/>
      <c r="K88" s="2703"/>
      <c r="L88" s="2703"/>
      <c r="M88" s="2703"/>
      <c r="N88" s="2703"/>
      <c r="O88" s="2704"/>
      <c r="P88" s="1119"/>
    </row>
    <row r="89" spans="1:16" s="1117" customFormat="1" x14ac:dyDescent="0.25">
      <c r="A89" s="1119">
        <v>715</v>
      </c>
      <c r="B89" s="1122"/>
      <c r="C89" s="1228" t="s">
        <v>345</v>
      </c>
      <c r="D89" s="1121" t="str">
        <f t="shared" si="0"/>
        <v/>
      </c>
      <c r="E89" s="2702" t="s">
        <v>656</v>
      </c>
      <c r="F89" s="2703"/>
      <c r="G89" s="2703"/>
      <c r="H89" s="2703"/>
      <c r="I89" s="2703"/>
      <c r="J89" s="2703"/>
      <c r="K89" s="2703"/>
      <c r="L89" s="2703"/>
      <c r="M89" s="2703"/>
      <c r="N89" s="2703"/>
      <c r="O89" s="2704"/>
      <c r="P89" s="1119"/>
    </row>
    <row r="90" spans="1:16" s="1117" customFormat="1" x14ac:dyDescent="0.25">
      <c r="A90" s="1119">
        <v>720</v>
      </c>
      <c r="B90" s="1651"/>
      <c r="C90" s="1228" t="s">
        <v>345</v>
      </c>
      <c r="D90" s="1121" t="str">
        <f t="shared" si="0"/>
        <v/>
      </c>
      <c r="E90" s="2702" t="s">
        <v>407</v>
      </c>
      <c r="F90" s="2703"/>
      <c r="G90" s="2703"/>
      <c r="H90" s="2703"/>
      <c r="I90" s="2703"/>
      <c r="J90" s="2703"/>
      <c r="K90" s="2703"/>
      <c r="L90" s="2703"/>
      <c r="M90" s="2703"/>
      <c r="N90" s="2703"/>
      <c r="O90" s="2704"/>
      <c r="P90" s="1119"/>
    </row>
    <row r="91" spans="1:16" s="1117" customFormat="1" x14ac:dyDescent="0.25">
      <c r="A91" s="1119">
        <v>725</v>
      </c>
      <c r="B91" s="1651"/>
      <c r="C91" s="1228" t="s">
        <v>345</v>
      </c>
      <c r="D91" s="1121" t="str">
        <f t="shared" si="0"/>
        <v/>
      </c>
      <c r="E91" s="2702" t="s">
        <v>1687</v>
      </c>
      <c r="F91" s="2703"/>
      <c r="G91" s="2703"/>
      <c r="H91" s="2703"/>
      <c r="I91" s="2703"/>
      <c r="J91" s="2703"/>
      <c r="K91" s="2703"/>
      <c r="L91" s="2703"/>
      <c r="M91" s="2703"/>
      <c r="N91" s="2703"/>
      <c r="O91" s="2704"/>
      <c r="P91" s="1119"/>
    </row>
    <row r="92" spans="1:16" s="1117" customFormat="1" x14ac:dyDescent="0.25">
      <c r="A92" s="1119">
        <v>730</v>
      </c>
      <c r="B92" s="1122"/>
      <c r="C92" s="1228" t="s">
        <v>345</v>
      </c>
      <c r="D92" s="1121" t="str">
        <f t="shared" si="0"/>
        <v/>
      </c>
      <c r="E92" s="2702" t="s">
        <v>54</v>
      </c>
      <c r="F92" s="2703"/>
      <c r="G92" s="2703"/>
      <c r="H92" s="2703"/>
      <c r="I92" s="2703"/>
      <c r="J92" s="2703"/>
      <c r="K92" s="2703"/>
      <c r="L92" s="2703"/>
      <c r="M92" s="2703"/>
      <c r="N92" s="2703"/>
      <c r="O92" s="2704"/>
      <c r="P92" s="1119"/>
    </row>
    <row r="93" spans="1:16" s="1117" customFormat="1" x14ac:dyDescent="0.25">
      <c r="A93" s="1119">
        <v>735</v>
      </c>
      <c r="B93" s="1122"/>
      <c r="C93" s="1228" t="s">
        <v>345</v>
      </c>
      <c r="D93" s="1121" t="str">
        <f t="shared" si="0"/>
        <v/>
      </c>
      <c r="E93" s="2702" t="s">
        <v>55</v>
      </c>
      <c r="F93" s="2703"/>
      <c r="G93" s="2703"/>
      <c r="H93" s="2703"/>
      <c r="I93" s="2703"/>
      <c r="J93" s="2703"/>
      <c r="K93" s="2703"/>
      <c r="L93" s="2703"/>
      <c r="M93" s="2703"/>
      <c r="N93" s="2703"/>
      <c r="O93" s="2704"/>
      <c r="P93" s="1119"/>
    </row>
    <row r="94" spans="1:16" s="1117" customFormat="1" x14ac:dyDescent="0.25">
      <c r="A94" s="1119">
        <v>740</v>
      </c>
      <c r="B94" s="1122"/>
      <c r="C94" s="1228" t="s">
        <v>345</v>
      </c>
      <c r="D94" s="1121" t="str">
        <f t="shared" si="0"/>
        <v/>
      </c>
      <c r="E94" s="2702" t="s">
        <v>3605</v>
      </c>
      <c r="F94" s="2703"/>
      <c r="G94" s="2703"/>
      <c r="H94" s="2703"/>
      <c r="I94" s="2703"/>
      <c r="J94" s="2703"/>
      <c r="K94" s="2703"/>
      <c r="L94" s="2703"/>
      <c r="M94" s="2703"/>
      <c r="N94" s="2703"/>
      <c r="O94" s="2704"/>
      <c r="P94" s="1119"/>
    </row>
    <row r="95" spans="1:16" s="1117" customFormat="1" x14ac:dyDescent="0.25">
      <c r="A95" s="1119">
        <v>745</v>
      </c>
      <c r="B95" s="1122"/>
      <c r="C95" s="1172"/>
      <c r="D95" s="1121" t="str">
        <f t="shared" si="0"/>
        <v/>
      </c>
      <c r="E95" s="2702" t="s">
        <v>1962</v>
      </c>
      <c r="F95" s="2703"/>
      <c r="G95" s="2703"/>
      <c r="H95" s="2703"/>
      <c r="I95" s="2703"/>
      <c r="J95" s="2703"/>
      <c r="K95" s="2703"/>
      <c r="L95" s="2703"/>
      <c r="M95" s="2703"/>
      <c r="N95" s="2703"/>
      <c r="O95" s="2704"/>
      <c r="P95" s="1119" t="s">
        <v>929</v>
      </c>
    </row>
    <row r="96" spans="1:16" s="1117" customFormat="1" x14ac:dyDescent="0.25">
      <c r="A96" s="198">
        <v>750</v>
      </c>
      <c r="B96" s="1226" t="s">
        <v>345</v>
      </c>
      <c r="C96" s="1172"/>
      <c r="D96" s="1121" t="str">
        <f t="shared" si="0"/>
        <v/>
      </c>
      <c r="E96" s="2745" t="s">
        <v>1714</v>
      </c>
      <c r="F96" s="2720"/>
      <c r="G96" s="2720"/>
      <c r="H96" s="2720"/>
      <c r="I96" s="2720"/>
      <c r="J96" s="2720"/>
      <c r="K96" s="2720"/>
      <c r="L96" s="2720"/>
      <c r="M96" s="2720"/>
      <c r="N96" s="2720"/>
      <c r="O96" s="2733"/>
      <c r="P96" s="1119" t="s">
        <v>929</v>
      </c>
    </row>
    <row r="97" spans="1:17" s="1117" customFormat="1" x14ac:dyDescent="0.25">
      <c r="A97" s="1119">
        <v>755</v>
      </c>
      <c r="B97" s="1651"/>
      <c r="C97" s="1669"/>
      <c r="D97" s="1121"/>
      <c r="E97" s="2702" t="s">
        <v>4294</v>
      </c>
      <c r="F97" s="2703"/>
      <c r="G97" s="2703"/>
      <c r="H97" s="2703"/>
      <c r="I97" s="2703"/>
      <c r="J97" s="2703"/>
      <c r="K97" s="2703"/>
      <c r="L97" s="2703"/>
      <c r="M97" s="2703"/>
      <c r="N97" s="2703"/>
      <c r="O97" s="2704"/>
      <c r="P97" s="1119" t="s">
        <v>929</v>
      </c>
    </row>
    <row r="98" spans="1:17" s="1117" customFormat="1" x14ac:dyDescent="0.25">
      <c r="A98" s="1119">
        <v>756</v>
      </c>
      <c r="B98" s="1651"/>
      <c r="C98" s="1656" t="s">
        <v>345</v>
      </c>
      <c r="D98" s="1121" t="str">
        <f>IF(B98="NA","",IF(Q98&lt;&gt;0,"E",""))</f>
        <v/>
      </c>
      <c r="E98" s="2702" t="s">
        <v>4370</v>
      </c>
      <c r="F98" s="2703"/>
      <c r="G98" s="2703"/>
      <c r="H98" s="2703"/>
      <c r="I98" s="2703"/>
      <c r="J98" s="2703"/>
      <c r="K98" s="2703"/>
      <c r="L98" s="2703"/>
      <c r="M98" s="2703"/>
      <c r="N98" s="2703"/>
      <c r="O98" s="2704"/>
      <c r="P98" s="1119"/>
    </row>
    <row r="99" spans="1:17" s="1117" customFormat="1" x14ac:dyDescent="0.25">
      <c r="A99" s="1119">
        <v>760</v>
      </c>
      <c r="B99" s="1651"/>
      <c r="C99" s="1669"/>
      <c r="D99" s="1121"/>
      <c r="E99" s="2702" t="s">
        <v>4295</v>
      </c>
      <c r="F99" s="2703"/>
      <c r="G99" s="2703"/>
      <c r="H99" s="2703"/>
      <c r="I99" s="2703"/>
      <c r="J99" s="2703"/>
      <c r="K99" s="2703"/>
      <c r="L99" s="2703"/>
      <c r="M99" s="2703"/>
      <c r="N99" s="2703"/>
      <c r="O99" s="2704"/>
      <c r="P99" s="1119" t="s">
        <v>929</v>
      </c>
    </row>
    <row r="100" spans="1:17" s="1659" customFormat="1" ht="15" customHeight="1" x14ac:dyDescent="0.2">
      <c r="A100" s="1660">
        <v>765</v>
      </c>
      <c r="B100" s="1668"/>
      <c r="C100" s="1670"/>
      <c r="D100" s="1658"/>
      <c r="E100" s="2705" t="s">
        <v>4296</v>
      </c>
      <c r="F100" s="2706"/>
      <c r="G100" s="2706"/>
      <c r="H100" s="2706"/>
      <c r="I100" s="2706"/>
      <c r="J100" s="2706"/>
      <c r="K100" s="2706"/>
      <c r="L100" s="2706"/>
      <c r="M100" s="2706"/>
      <c r="N100" s="2706"/>
      <c r="O100" s="2707"/>
      <c r="P100" s="1660" t="s">
        <v>929</v>
      </c>
    </row>
    <row r="101" spans="1:17" s="1117" customFormat="1" ht="29.1" customHeight="1" x14ac:dyDescent="0.25">
      <c r="A101" s="1661">
        <v>905</v>
      </c>
      <c r="B101" s="1651"/>
      <c r="C101" s="1228" t="s">
        <v>345</v>
      </c>
      <c r="D101" s="1121" t="str">
        <f>IF(B101="NA","",IF(Q101&lt;&gt;0,"E",""))</f>
        <v/>
      </c>
      <c r="E101" s="2711" t="s">
        <v>3533</v>
      </c>
      <c r="F101" s="2712"/>
      <c r="G101" s="2712"/>
      <c r="H101" s="2712"/>
      <c r="I101" s="2712"/>
      <c r="J101" s="2712"/>
      <c r="K101" s="2712"/>
      <c r="L101" s="2712"/>
      <c r="M101" s="2712"/>
      <c r="N101" s="2712"/>
      <c r="O101" s="2713"/>
      <c r="P101" s="1119"/>
    </row>
    <row r="102" spans="1:17" s="1117" customFormat="1" ht="45" customHeight="1" x14ac:dyDescent="0.25">
      <c r="A102" s="1123" t="s">
        <v>1560</v>
      </c>
      <c r="B102" s="1481" t="s">
        <v>1352</v>
      </c>
      <c r="C102" s="1227" t="s">
        <v>345</v>
      </c>
      <c r="D102" s="1121"/>
      <c r="E102" s="2711" t="s">
        <v>4915</v>
      </c>
      <c r="F102" s="2712"/>
      <c r="G102" s="2712"/>
      <c r="H102" s="2712"/>
      <c r="I102" s="2712"/>
      <c r="J102" s="2712"/>
      <c r="K102" s="2712"/>
      <c r="L102" s="2712"/>
      <c r="M102" s="2712"/>
      <c r="N102" s="2712"/>
      <c r="O102" s="2713"/>
      <c r="P102" s="1119"/>
    </row>
    <row r="103" spans="1:17" s="1117" customFormat="1" ht="33" customHeight="1" x14ac:dyDescent="0.25">
      <c r="A103" s="1119" t="s">
        <v>1459</v>
      </c>
      <c r="B103" s="1651"/>
      <c r="C103" s="1228" t="s">
        <v>345</v>
      </c>
      <c r="D103" s="1121"/>
      <c r="E103" s="2711" t="s">
        <v>4085</v>
      </c>
      <c r="F103" s="2712"/>
      <c r="G103" s="2712"/>
      <c r="H103" s="2712"/>
      <c r="I103" s="2712"/>
      <c r="J103" s="2712"/>
      <c r="K103" s="2712"/>
      <c r="L103" s="2712"/>
      <c r="M103" s="2712"/>
      <c r="N103" s="2712"/>
      <c r="O103" s="2713"/>
      <c r="P103" s="1119"/>
    </row>
    <row r="104" spans="1:17" s="1117" customFormat="1" ht="15" customHeight="1" x14ac:dyDescent="0.25">
      <c r="A104" s="1119" t="s">
        <v>1940</v>
      </c>
      <c r="B104" s="1651"/>
      <c r="C104" s="1228" t="s">
        <v>345</v>
      </c>
      <c r="D104" s="1121"/>
      <c r="E104" s="2711" t="s">
        <v>4297</v>
      </c>
      <c r="F104" s="2712"/>
      <c r="G104" s="2712"/>
      <c r="H104" s="2712"/>
      <c r="I104" s="2712"/>
      <c r="J104" s="2712"/>
      <c r="K104" s="2712"/>
      <c r="L104" s="2712"/>
      <c r="M104" s="2712"/>
      <c r="N104" s="2712"/>
      <c r="O104" s="2713"/>
      <c r="P104" s="1119"/>
      <c r="Q104" s="1164"/>
    </row>
    <row r="105" spans="1:17" s="1117" customFormat="1" ht="15" customHeight="1" x14ac:dyDescent="0.25">
      <c r="A105" s="1119" t="s">
        <v>1941</v>
      </c>
      <c r="B105" s="1651"/>
      <c r="C105" s="1228" t="s">
        <v>345</v>
      </c>
      <c r="D105" s="1121"/>
      <c r="E105" s="2711" t="s">
        <v>3531</v>
      </c>
      <c r="F105" s="2712"/>
      <c r="G105" s="2712"/>
      <c r="H105" s="2712"/>
      <c r="I105" s="2712"/>
      <c r="J105" s="2712"/>
      <c r="K105" s="2712"/>
      <c r="L105" s="2712"/>
      <c r="M105" s="2712"/>
      <c r="N105" s="2712"/>
      <c r="O105" s="2713"/>
      <c r="P105" s="1119"/>
      <c r="Q105" s="1164"/>
    </row>
    <row r="106" spans="1:17" s="1117" customFormat="1" ht="18" customHeight="1" x14ac:dyDescent="0.25">
      <c r="A106" s="1119" t="s">
        <v>3517</v>
      </c>
      <c r="B106" s="1651"/>
      <c r="C106" s="1228" t="s">
        <v>345</v>
      </c>
      <c r="D106" s="1121"/>
      <c r="E106" s="2699" t="s">
        <v>3532</v>
      </c>
      <c r="F106" s="2700"/>
      <c r="G106" s="2700"/>
      <c r="H106" s="2700"/>
      <c r="I106" s="2700"/>
      <c r="J106" s="2700"/>
      <c r="K106" s="2700"/>
      <c r="L106" s="2700"/>
      <c r="M106" s="2700"/>
      <c r="N106" s="2700"/>
      <c r="O106" s="2701"/>
      <c r="P106" s="1119"/>
      <c r="Q106" s="1164"/>
    </row>
    <row r="107" spans="1:17" s="1117" customFormat="1" x14ac:dyDescent="0.25">
      <c r="A107" s="1119">
        <v>907</v>
      </c>
      <c r="B107" s="1122"/>
      <c r="C107" s="1228" t="s">
        <v>345</v>
      </c>
      <c r="D107" s="1121" t="str">
        <f t="shared" ref="D107:D113" si="1">IF(B107="NA","",IF(Q107&lt;&gt;0,"E",""))</f>
        <v/>
      </c>
      <c r="E107" s="2702" t="s">
        <v>4975</v>
      </c>
      <c r="F107" s="2703"/>
      <c r="G107" s="2703"/>
      <c r="H107" s="2703"/>
      <c r="I107" s="2703"/>
      <c r="J107" s="2703"/>
      <c r="K107" s="2703"/>
      <c r="L107" s="2703"/>
      <c r="M107" s="2703"/>
      <c r="N107" s="2703"/>
      <c r="O107" s="2704"/>
      <c r="P107" s="1119"/>
    </row>
    <row r="108" spans="1:17" s="1117" customFormat="1" x14ac:dyDescent="0.25">
      <c r="A108" s="1119">
        <v>910</v>
      </c>
      <c r="B108" s="1651"/>
      <c r="C108" s="1228" t="s">
        <v>345</v>
      </c>
      <c r="D108" s="1121" t="str">
        <f t="shared" si="1"/>
        <v/>
      </c>
      <c r="E108" s="2702" t="s">
        <v>632</v>
      </c>
      <c r="F108" s="2703"/>
      <c r="G108" s="2703"/>
      <c r="H108" s="2703"/>
      <c r="I108" s="2703"/>
      <c r="J108" s="2703"/>
      <c r="K108" s="2703"/>
      <c r="L108" s="2703"/>
      <c r="M108" s="2703"/>
      <c r="N108" s="2703"/>
      <c r="O108" s="2704"/>
      <c r="P108" s="1119"/>
    </row>
    <row r="109" spans="1:17" s="1117" customFormat="1" x14ac:dyDescent="0.25">
      <c r="A109" s="1119" t="s">
        <v>1565</v>
      </c>
      <c r="B109" s="1651"/>
      <c r="C109" s="1228" t="s">
        <v>345</v>
      </c>
      <c r="D109" s="1121" t="str">
        <f t="shared" si="1"/>
        <v/>
      </c>
      <c r="E109" s="2702" t="s">
        <v>1682</v>
      </c>
      <c r="F109" s="2703"/>
      <c r="G109" s="2703"/>
      <c r="H109" s="2703"/>
      <c r="I109" s="2703"/>
      <c r="J109" s="2703"/>
      <c r="K109" s="2703"/>
      <c r="L109" s="2703"/>
      <c r="M109" s="2703"/>
      <c r="N109" s="2703"/>
      <c r="O109" s="2704"/>
      <c r="P109" s="1119"/>
    </row>
    <row r="110" spans="1:17" s="1117" customFormat="1" x14ac:dyDescent="0.25">
      <c r="A110" s="1119" t="s">
        <v>1942</v>
      </c>
      <c r="B110" s="1651"/>
      <c r="C110" s="1228" t="s">
        <v>345</v>
      </c>
      <c r="D110" s="1121" t="str">
        <f t="shared" si="1"/>
        <v/>
      </c>
      <c r="E110" s="2702" t="s">
        <v>1945</v>
      </c>
      <c r="F110" s="2703"/>
      <c r="G110" s="2703"/>
      <c r="H110" s="2703"/>
      <c r="I110" s="2703"/>
      <c r="J110" s="2703"/>
      <c r="K110" s="2703"/>
      <c r="L110" s="2703"/>
      <c r="M110" s="2703"/>
      <c r="N110" s="2703"/>
      <c r="O110" s="2704"/>
      <c r="P110" s="1119"/>
    </row>
    <row r="111" spans="1:17" s="1117" customFormat="1" x14ac:dyDescent="0.25">
      <c r="A111" s="1119" t="s">
        <v>1943</v>
      </c>
      <c r="B111" s="1651"/>
      <c r="C111" s="1228" t="s">
        <v>345</v>
      </c>
      <c r="D111" s="1121" t="str">
        <f t="shared" si="1"/>
        <v/>
      </c>
      <c r="E111" s="2702" t="s">
        <v>1944</v>
      </c>
      <c r="F111" s="2703"/>
      <c r="G111" s="2703"/>
      <c r="H111" s="2703"/>
      <c r="I111" s="2703"/>
      <c r="J111" s="2703"/>
      <c r="K111" s="2703"/>
      <c r="L111" s="2703"/>
      <c r="M111" s="2703"/>
      <c r="N111" s="2703"/>
      <c r="O111" s="2704"/>
      <c r="P111" s="1119"/>
    </row>
    <row r="112" spans="1:17" s="1117" customFormat="1" x14ac:dyDescent="0.25">
      <c r="A112" s="1124" t="s">
        <v>437</v>
      </c>
      <c r="B112" s="1651"/>
      <c r="C112" s="1228" t="s">
        <v>345</v>
      </c>
      <c r="D112" s="1121" t="str">
        <f t="shared" si="1"/>
        <v/>
      </c>
      <c r="E112" s="2702" t="s">
        <v>441</v>
      </c>
      <c r="F112" s="2703"/>
      <c r="G112" s="2703"/>
      <c r="H112" s="2703"/>
      <c r="I112" s="2703"/>
      <c r="J112" s="2703"/>
      <c r="K112" s="2703"/>
      <c r="L112" s="2703"/>
      <c r="M112" s="2703"/>
      <c r="N112" s="2703"/>
      <c r="O112" s="2704"/>
      <c r="P112" s="1119"/>
    </row>
    <row r="113" spans="1:17" s="1117" customFormat="1" x14ac:dyDescent="0.25">
      <c r="A113" s="1124" t="s">
        <v>963</v>
      </c>
      <c r="B113" s="1651"/>
      <c r="C113" s="1228" t="s">
        <v>345</v>
      </c>
      <c r="D113" s="1121" t="str">
        <f t="shared" si="1"/>
        <v/>
      </c>
      <c r="E113" s="2702" t="s">
        <v>57</v>
      </c>
      <c r="F113" s="2703"/>
      <c r="G113" s="2703"/>
      <c r="H113" s="2703"/>
      <c r="I113" s="2703"/>
      <c r="J113" s="2703"/>
      <c r="K113" s="2703"/>
      <c r="L113" s="2703"/>
      <c r="M113" s="2703"/>
      <c r="N113" s="2703"/>
      <c r="O113" s="2704"/>
      <c r="P113" s="1119"/>
    </row>
    <row r="114" spans="1:17" s="1117" customFormat="1" ht="16.5" customHeight="1" x14ac:dyDescent="0.25">
      <c r="A114" s="1472" t="s">
        <v>3817</v>
      </c>
      <c r="B114" s="1481" t="s">
        <v>1352</v>
      </c>
      <c r="C114" s="1228" t="s">
        <v>345</v>
      </c>
      <c r="D114" s="1121"/>
      <c r="E114" s="2741" t="s">
        <v>1849</v>
      </c>
      <c r="F114" s="2742"/>
      <c r="G114" s="2742"/>
      <c r="H114" s="2742"/>
      <c r="I114" s="2742"/>
      <c r="J114" s="2742"/>
      <c r="K114" s="2742"/>
      <c r="L114" s="2742"/>
      <c r="M114" s="2742"/>
      <c r="N114" s="2742"/>
      <c r="O114" s="2743"/>
      <c r="P114" s="1119"/>
      <c r="Q114" s="1164"/>
    </row>
    <row r="115" spans="1:17" s="1117" customFormat="1" ht="16.5" customHeight="1" x14ac:dyDescent="0.25">
      <c r="A115" s="1472" t="s">
        <v>4383</v>
      </c>
      <c r="B115" s="1481" t="s">
        <v>1352</v>
      </c>
      <c r="C115" s="1228" t="s">
        <v>345</v>
      </c>
      <c r="D115" s="1121"/>
      <c r="E115" s="1835" t="s">
        <v>4384</v>
      </c>
      <c r="F115" s="1836"/>
      <c r="G115" s="1836"/>
      <c r="H115" s="1836"/>
      <c r="I115" s="1836"/>
      <c r="J115" s="1836"/>
      <c r="K115" s="1836"/>
      <c r="L115" s="1836"/>
      <c r="M115" s="1836"/>
      <c r="N115" s="1836"/>
      <c r="O115" s="1837"/>
      <c r="P115" s="1119"/>
      <c r="Q115" s="1164"/>
    </row>
    <row r="116" spans="1:17" s="1117" customFormat="1" ht="15.75" customHeight="1" x14ac:dyDescent="0.25">
      <c r="A116" s="1125" t="s">
        <v>843</v>
      </c>
      <c r="B116" s="1481" t="s">
        <v>1352</v>
      </c>
      <c r="C116" s="1228" t="s">
        <v>345</v>
      </c>
      <c r="D116" s="1121"/>
      <c r="E116" s="2702" t="s">
        <v>1723</v>
      </c>
      <c r="F116" s="2703"/>
      <c r="G116" s="2703"/>
      <c r="H116" s="2703"/>
      <c r="I116" s="2703"/>
      <c r="J116" s="2703"/>
      <c r="K116" s="2703"/>
      <c r="L116" s="2703"/>
      <c r="M116" s="2703"/>
      <c r="N116" s="2703"/>
      <c r="O116" s="2704"/>
      <c r="P116" s="1119"/>
    </row>
    <row r="117" spans="1:17" s="1117" customFormat="1" ht="16.5" customHeight="1" x14ac:dyDescent="0.25">
      <c r="A117" s="1471" t="s">
        <v>3815</v>
      </c>
      <c r="B117" s="1481" t="s">
        <v>1352</v>
      </c>
      <c r="C117" s="1228" t="s">
        <v>345</v>
      </c>
      <c r="D117" s="1121"/>
      <c r="E117" s="2741" t="s">
        <v>3816</v>
      </c>
      <c r="F117" s="2742"/>
      <c r="G117" s="2742"/>
      <c r="H117" s="2742"/>
      <c r="I117" s="2742"/>
      <c r="J117" s="2742"/>
      <c r="K117" s="2742"/>
      <c r="L117" s="2742"/>
      <c r="M117" s="2742"/>
      <c r="N117" s="2742"/>
      <c r="O117" s="2743"/>
      <c r="P117" s="1119"/>
      <c r="Q117" s="1164"/>
    </row>
    <row r="118" spans="1:17" s="1117" customFormat="1" ht="16.5" customHeight="1" x14ac:dyDescent="0.25">
      <c r="A118" s="1125" t="s">
        <v>1812</v>
      </c>
      <c r="B118" s="1481" t="s">
        <v>1352</v>
      </c>
      <c r="C118" s="1228" t="s">
        <v>345</v>
      </c>
      <c r="D118" s="1121"/>
      <c r="E118" s="2702" t="s">
        <v>1946</v>
      </c>
      <c r="F118" s="2703"/>
      <c r="G118" s="2703"/>
      <c r="H118" s="2703"/>
      <c r="I118" s="2703"/>
      <c r="J118" s="2703"/>
      <c r="K118" s="2703"/>
      <c r="L118" s="2703"/>
      <c r="M118" s="2703"/>
      <c r="N118" s="2703"/>
      <c r="O118" s="2704"/>
      <c r="P118" s="1119"/>
      <c r="Q118" s="1164"/>
    </row>
    <row r="119" spans="1:17" s="1117" customFormat="1" ht="16.5" customHeight="1" x14ac:dyDescent="0.25">
      <c r="A119" s="1125" t="s">
        <v>1813</v>
      </c>
      <c r="B119" s="1481" t="s">
        <v>1352</v>
      </c>
      <c r="C119" s="1228" t="s">
        <v>345</v>
      </c>
      <c r="D119" s="1121"/>
      <c r="E119" s="2702" t="s">
        <v>3823</v>
      </c>
      <c r="F119" s="2703"/>
      <c r="G119" s="2703"/>
      <c r="H119" s="2703"/>
      <c r="I119" s="2703"/>
      <c r="J119" s="2703"/>
      <c r="K119" s="2703"/>
      <c r="L119" s="2703"/>
      <c r="M119" s="2703"/>
      <c r="N119" s="2703"/>
      <c r="O119" s="2704"/>
      <c r="P119" s="1119"/>
      <c r="Q119" s="1164"/>
    </row>
    <row r="120" spans="1:17" ht="12.75" customHeight="1" x14ac:dyDescent="0.25">
      <c r="A120" s="1262" t="s">
        <v>1288</v>
      </c>
      <c r="B120" s="1102"/>
      <c r="C120" s="1102"/>
      <c r="D120" s="1102"/>
      <c r="E120" s="1102"/>
      <c r="F120" s="1126"/>
      <c r="G120" s="1126"/>
      <c r="H120" s="1102"/>
      <c r="I120" s="2744" t="str">
        <f>CONCATENATE(E10," ",E11)</f>
        <v>01 North Carolina General Assembly</v>
      </c>
      <c r="J120" s="2744"/>
      <c r="K120" s="2744"/>
      <c r="L120" s="2744"/>
      <c r="M120" s="2744"/>
      <c r="N120" s="2744"/>
      <c r="O120" s="2744"/>
    </row>
    <row r="121" spans="1:17" s="1117" customFormat="1" x14ac:dyDescent="0.25">
      <c r="A121" s="2740" t="s">
        <v>4916</v>
      </c>
      <c r="B121" s="2739"/>
      <c r="C121" s="2739"/>
      <c r="D121" s="2739"/>
      <c r="E121" s="2739"/>
      <c r="F121" s="2739"/>
      <c r="G121" s="2739"/>
      <c r="H121" s="2739"/>
      <c r="I121" s="2739"/>
      <c r="J121" s="2739"/>
      <c r="K121" s="2739"/>
      <c r="L121" s="2739"/>
      <c r="M121" s="2739"/>
      <c r="N121" s="2739"/>
      <c r="O121" s="2739"/>
      <c r="P121" s="2739"/>
    </row>
    <row r="122" spans="1:17" x14ac:dyDescent="0.25">
      <c r="A122" s="2738" t="s">
        <v>1290</v>
      </c>
      <c r="B122" s="2739"/>
      <c r="C122" s="2739"/>
      <c r="D122" s="2739"/>
      <c r="E122" s="2739"/>
      <c r="F122" s="2739"/>
      <c r="G122" s="2739"/>
      <c r="H122" s="2739"/>
      <c r="I122" s="2739"/>
      <c r="J122" s="2739"/>
      <c r="K122" s="2739"/>
      <c r="L122" s="2739"/>
      <c r="M122" s="2739"/>
      <c r="N122" s="2739"/>
      <c r="O122" s="2739"/>
      <c r="P122" s="2739"/>
    </row>
    <row r="126" spans="1:17" x14ac:dyDescent="0.25">
      <c r="F126" s="1102"/>
      <c r="G126" s="1102"/>
    </row>
    <row r="127" spans="1:17" x14ac:dyDescent="0.25">
      <c r="F127" s="1102"/>
      <c r="G127" s="1102"/>
    </row>
    <row r="128" spans="1:17" x14ac:dyDescent="0.25">
      <c r="F128" s="1102"/>
      <c r="G128" s="1102"/>
    </row>
    <row r="129" spans="6:7" x14ac:dyDescent="0.25">
      <c r="F129" s="1102"/>
      <c r="G129" s="1102"/>
    </row>
    <row r="130" spans="6:7" x14ac:dyDescent="0.25">
      <c r="F130" s="1102"/>
      <c r="G130" s="1102"/>
    </row>
    <row r="131" spans="6:7" x14ac:dyDescent="0.25">
      <c r="F131" s="1102"/>
      <c r="G131" s="1102"/>
    </row>
    <row r="1288" spans="1:4" s="1102" customFormat="1" x14ac:dyDescent="0.25">
      <c r="A1288" s="1127"/>
    </row>
    <row r="1289" spans="1:4" s="1102" customFormat="1" x14ac:dyDescent="0.25">
      <c r="A1289" s="1127"/>
      <c r="B1289" s="1127"/>
      <c r="C1289" s="1127"/>
      <c r="D1289" s="1127"/>
    </row>
    <row r="1290" spans="1:4" s="1102" customFormat="1" x14ac:dyDescent="0.25">
      <c r="A1290" s="1127"/>
      <c r="B1290" s="1127"/>
      <c r="C1290" s="1127"/>
      <c r="D1290" s="1127"/>
    </row>
    <row r="1291" spans="1:4" s="1102" customFormat="1" x14ac:dyDescent="0.25">
      <c r="A1291" s="1127"/>
      <c r="B1291" s="1127"/>
      <c r="C1291" s="1127"/>
      <c r="D1291" s="1127"/>
    </row>
    <row r="1292" spans="1:4" s="1102" customFormat="1" x14ac:dyDescent="0.25">
      <c r="A1292" s="1127"/>
      <c r="B1292" s="1127"/>
      <c r="C1292" s="1127"/>
      <c r="D1292" s="1127"/>
    </row>
    <row r="1293" spans="1:4" s="1102" customFormat="1" x14ac:dyDescent="0.25">
      <c r="A1293" s="1127"/>
      <c r="B1293" s="1127"/>
      <c r="C1293" s="1127"/>
      <c r="D1293" s="1127"/>
    </row>
    <row r="1294" spans="1:4" s="1102" customFormat="1" x14ac:dyDescent="0.25">
      <c r="A1294" s="1127"/>
      <c r="B1294" s="1127"/>
      <c r="C1294" s="1127"/>
      <c r="D1294" s="1127"/>
    </row>
    <row r="1295" spans="1:4" s="1102" customFormat="1" x14ac:dyDescent="0.25">
      <c r="A1295" s="1127"/>
      <c r="B1295" s="1127"/>
      <c r="C1295" s="1127"/>
      <c r="D1295" s="1127"/>
    </row>
    <row r="1296" spans="1:4" s="1102" customFormat="1" x14ac:dyDescent="0.25">
      <c r="A1296" s="1127"/>
      <c r="B1296" s="1127"/>
      <c r="C1296" s="1127"/>
      <c r="D1296" s="1127"/>
    </row>
    <row r="1297" spans="1:4" s="1102" customFormat="1" x14ac:dyDescent="0.25">
      <c r="A1297" s="1127"/>
      <c r="B1297" s="1127"/>
      <c r="C1297" s="1127"/>
      <c r="D1297" s="1127"/>
    </row>
    <row r="1298" spans="1:4" s="1102" customFormat="1" x14ac:dyDescent="0.25">
      <c r="A1298" s="1127"/>
      <c r="B1298" s="1127"/>
      <c r="C1298" s="1127"/>
      <c r="D1298" s="1127"/>
    </row>
    <row r="1299" spans="1:4" s="1102" customFormat="1" x14ac:dyDescent="0.25">
      <c r="A1299" s="1127"/>
      <c r="B1299" s="1127"/>
      <c r="C1299" s="1127"/>
      <c r="D1299" s="1127"/>
    </row>
    <row r="1300" spans="1:4" s="1102" customFormat="1" x14ac:dyDescent="0.25">
      <c r="A1300" s="1127"/>
      <c r="B1300" s="1127"/>
      <c r="C1300" s="1127"/>
      <c r="D1300" s="1127"/>
    </row>
    <row r="1301" spans="1:4" s="1102" customFormat="1" x14ac:dyDescent="0.25">
      <c r="A1301" s="1127"/>
      <c r="B1301" s="1127"/>
      <c r="C1301" s="1127"/>
      <c r="D1301" s="1127"/>
    </row>
    <row r="1302" spans="1:4" s="1102" customFormat="1" x14ac:dyDescent="0.25">
      <c r="A1302" s="1127"/>
      <c r="B1302" s="1127"/>
      <c r="C1302" s="1127"/>
      <c r="D1302" s="1127"/>
    </row>
    <row r="1303" spans="1:4" s="1102" customFormat="1" x14ac:dyDescent="0.25">
      <c r="A1303" s="1127"/>
      <c r="B1303" s="1127"/>
      <c r="C1303" s="1127"/>
      <c r="D1303" s="1127"/>
    </row>
    <row r="1304" spans="1:4" s="1102" customFormat="1" x14ac:dyDescent="0.25">
      <c r="A1304" s="1127"/>
      <c r="B1304" s="1127"/>
      <c r="C1304" s="1127"/>
      <c r="D1304" s="1127"/>
    </row>
    <row r="1305" spans="1:4" s="1102" customFormat="1" x14ac:dyDescent="0.25">
      <c r="A1305" s="1127"/>
      <c r="B1305" s="1127"/>
      <c r="C1305" s="1127"/>
      <c r="D1305" s="1127"/>
    </row>
    <row r="1306" spans="1:4" s="1102" customFormat="1" x14ac:dyDescent="0.25">
      <c r="A1306" s="1127"/>
      <c r="B1306" s="1127"/>
      <c r="C1306" s="1127"/>
      <c r="D1306" s="1127"/>
    </row>
    <row r="1307" spans="1:4" s="1102" customFormat="1" x14ac:dyDescent="0.25">
      <c r="A1307" s="1127"/>
      <c r="B1307" s="1127"/>
      <c r="C1307" s="1127"/>
      <c r="D1307" s="1127"/>
    </row>
    <row r="1308" spans="1:4" s="1102" customFormat="1" x14ac:dyDescent="0.25">
      <c r="A1308" s="1127"/>
      <c r="B1308" s="1127"/>
      <c r="C1308" s="1127"/>
      <c r="D1308" s="1127"/>
    </row>
    <row r="1309" spans="1:4" s="1102" customFormat="1" x14ac:dyDescent="0.25">
      <c r="A1309" s="1127"/>
      <c r="B1309" s="1127"/>
      <c r="C1309" s="1127"/>
      <c r="D1309" s="1127"/>
    </row>
    <row r="1310" spans="1:4" s="1102" customFormat="1" x14ac:dyDescent="0.25">
      <c r="A1310" s="1127"/>
      <c r="B1310" s="1127"/>
      <c r="C1310" s="1127"/>
      <c r="D1310" s="1127"/>
    </row>
    <row r="1311" spans="1:4" s="1102" customFormat="1" x14ac:dyDescent="0.25">
      <c r="A1311" s="1127"/>
      <c r="B1311" s="1127"/>
      <c r="C1311" s="1127"/>
      <c r="D1311" s="1127"/>
    </row>
    <row r="1312" spans="1:4" s="1102" customFormat="1" x14ac:dyDescent="0.25">
      <c r="A1312" s="1127"/>
      <c r="B1312" s="1127"/>
      <c r="C1312" s="1127"/>
      <c r="D1312" s="1127"/>
    </row>
    <row r="1313" spans="1:4" s="1102" customFormat="1" x14ac:dyDescent="0.25">
      <c r="A1313" s="1127"/>
      <c r="B1313" s="1127"/>
      <c r="C1313" s="1127"/>
      <c r="D1313" s="1127"/>
    </row>
    <row r="1314" spans="1:4" s="1102" customFormat="1" x14ac:dyDescent="0.25">
      <c r="A1314" s="1127"/>
      <c r="B1314" s="1127"/>
      <c r="C1314" s="1127"/>
      <c r="D1314" s="1127"/>
    </row>
    <row r="1315" spans="1:4" s="1102" customFormat="1" x14ac:dyDescent="0.25">
      <c r="A1315" s="1127"/>
      <c r="B1315" s="1127"/>
      <c r="C1315" s="1127"/>
      <c r="D1315" s="1127"/>
    </row>
    <row r="1316" spans="1:4" s="1102" customFormat="1" x14ac:dyDescent="0.25">
      <c r="A1316" s="1127"/>
      <c r="B1316" s="1127"/>
      <c r="C1316" s="1127"/>
      <c r="D1316" s="1127"/>
    </row>
    <row r="1317" spans="1:4" s="1102" customFormat="1" x14ac:dyDescent="0.25">
      <c r="A1317" s="1127"/>
      <c r="B1317" s="1127"/>
      <c r="C1317" s="1127"/>
      <c r="D1317" s="1127"/>
    </row>
    <row r="1318" spans="1:4" s="1102" customFormat="1" x14ac:dyDescent="0.25">
      <c r="A1318" s="1127"/>
      <c r="B1318" s="1127"/>
      <c r="C1318" s="1127"/>
      <c r="D1318" s="1127"/>
    </row>
    <row r="1319" spans="1:4" s="1102" customFormat="1" x14ac:dyDescent="0.25">
      <c r="A1319" s="1127"/>
      <c r="B1319" s="1127"/>
      <c r="C1319" s="1127"/>
      <c r="D1319" s="1127"/>
    </row>
    <row r="1320" spans="1:4" s="1102" customFormat="1" x14ac:dyDescent="0.25">
      <c r="A1320" s="1127"/>
      <c r="B1320" s="1127"/>
      <c r="C1320" s="1127"/>
      <c r="D1320" s="1127"/>
    </row>
    <row r="1321" spans="1:4" s="1102" customFormat="1" x14ac:dyDescent="0.25">
      <c r="A1321" s="1127"/>
      <c r="B1321" s="1127"/>
      <c r="C1321" s="1127"/>
      <c r="D1321" s="1127"/>
    </row>
    <row r="1322" spans="1:4" s="1102" customFormat="1" x14ac:dyDescent="0.25">
      <c r="A1322" s="1127"/>
      <c r="B1322" s="1127"/>
      <c r="C1322" s="1127"/>
      <c r="D1322" s="1127"/>
    </row>
    <row r="1323" spans="1:4" s="1102" customFormat="1" x14ac:dyDescent="0.25">
      <c r="A1323" s="1127"/>
      <c r="B1323" s="1127"/>
      <c r="C1323" s="1127"/>
      <c r="D1323" s="1127"/>
    </row>
    <row r="1324" spans="1:4" s="1102" customFormat="1" x14ac:dyDescent="0.25">
      <c r="A1324" s="1127"/>
      <c r="B1324" s="1127"/>
      <c r="C1324" s="1127"/>
      <c r="D1324" s="1127"/>
    </row>
    <row r="1325" spans="1:4" s="1102" customFormat="1" x14ac:dyDescent="0.25">
      <c r="A1325" s="1127"/>
      <c r="B1325" s="1127"/>
      <c r="C1325" s="1127"/>
      <c r="D1325" s="1127"/>
    </row>
    <row r="1326" spans="1:4" s="1102" customFormat="1" x14ac:dyDescent="0.25">
      <c r="A1326" s="1127"/>
      <c r="B1326" s="1127"/>
      <c r="C1326" s="1127"/>
      <c r="D1326" s="1127"/>
    </row>
    <row r="1327" spans="1:4" s="1102" customFormat="1" x14ac:dyDescent="0.25">
      <c r="A1327" s="1127"/>
      <c r="B1327" s="1127"/>
      <c r="C1327" s="1127"/>
      <c r="D1327" s="1127"/>
    </row>
    <row r="1328" spans="1:4" s="1102" customFormat="1" x14ac:dyDescent="0.25">
      <c r="A1328" s="1127"/>
      <c r="B1328" s="1127"/>
      <c r="C1328" s="1127"/>
      <c r="D1328" s="1127"/>
    </row>
    <row r="1329" spans="1:4" s="1102" customFormat="1" x14ac:dyDescent="0.25">
      <c r="A1329" s="1127"/>
      <c r="B1329" s="1127"/>
      <c r="C1329" s="1127"/>
      <c r="D1329" s="1127"/>
    </row>
    <row r="1330" spans="1:4" s="1102" customFormat="1" x14ac:dyDescent="0.25">
      <c r="A1330" s="1127"/>
      <c r="B1330" s="1127"/>
      <c r="C1330" s="1127"/>
      <c r="D1330" s="1127"/>
    </row>
    <row r="1331" spans="1:4" s="1102" customFormat="1" x14ac:dyDescent="0.25">
      <c r="A1331" s="1127"/>
      <c r="B1331" s="1127"/>
      <c r="C1331" s="1127"/>
      <c r="D1331" s="1127"/>
    </row>
    <row r="1332" spans="1:4" s="1102" customFormat="1" x14ac:dyDescent="0.25">
      <c r="A1332" s="1127"/>
      <c r="B1332" s="1127"/>
      <c r="C1332" s="1127"/>
      <c r="D1332" s="1127"/>
    </row>
    <row r="1333" spans="1:4" s="1102" customFormat="1" x14ac:dyDescent="0.25">
      <c r="A1333" s="1127"/>
      <c r="B1333" s="1127"/>
      <c r="C1333" s="1127"/>
      <c r="D1333" s="1127"/>
    </row>
    <row r="1334" spans="1:4" s="1102" customFormat="1" x14ac:dyDescent="0.25">
      <c r="A1334" s="1127"/>
      <c r="B1334" s="1127"/>
      <c r="C1334" s="1127"/>
      <c r="D1334" s="1127"/>
    </row>
    <row r="1335" spans="1:4" s="1102" customFormat="1" x14ac:dyDescent="0.25">
      <c r="A1335" s="1127"/>
      <c r="B1335" s="1127"/>
      <c r="C1335" s="1127"/>
      <c r="D1335" s="1127"/>
    </row>
    <row r="1336" spans="1:4" s="1102" customFormat="1" x14ac:dyDescent="0.25">
      <c r="A1336" s="1127"/>
      <c r="B1336" s="1127"/>
      <c r="C1336" s="1127"/>
      <c r="D1336" s="1127"/>
    </row>
    <row r="1337" spans="1:4" s="1102" customFormat="1" x14ac:dyDescent="0.25">
      <c r="A1337" s="1127"/>
      <c r="B1337" s="1127"/>
      <c r="C1337" s="1127"/>
      <c r="D1337" s="1127"/>
    </row>
    <row r="1338" spans="1:4" s="1102" customFormat="1" x14ac:dyDescent="0.25">
      <c r="A1338" s="1127"/>
      <c r="B1338" s="1127"/>
      <c r="C1338" s="1127"/>
      <c r="D1338" s="1127"/>
    </row>
    <row r="1339" spans="1:4" s="1102" customFormat="1" x14ac:dyDescent="0.25">
      <c r="A1339" s="1127"/>
      <c r="B1339" s="1127"/>
      <c r="C1339" s="1127"/>
      <c r="D1339" s="1127"/>
    </row>
    <row r="1340" spans="1:4" s="1102" customFormat="1" x14ac:dyDescent="0.25">
      <c r="A1340" s="1127"/>
      <c r="B1340" s="1127"/>
      <c r="C1340" s="1127"/>
      <c r="D1340" s="1127"/>
    </row>
    <row r="1341" spans="1:4" s="1102" customFormat="1" x14ac:dyDescent="0.25">
      <c r="A1341" s="1127"/>
      <c r="B1341" s="1127"/>
      <c r="C1341" s="1127"/>
      <c r="D1341" s="1127"/>
    </row>
    <row r="1342" spans="1:4" s="1102" customFormat="1" x14ac:dyDescent="0.25">
      <c r="A1342" s="1127"/>
      <c r="B1342" s="1127"/>
      <c r="C1342" s="1127"/>
      <c r="D1342" s="1127"/>
    </row>
    <row r="1343" spans="1:4" s="1102" customFormat="1" x14ac:dyDescent="0.25">
      <c r="A1343" s="1127"/>
      <c r="B1343" s="1127"/>
      <c r="C1343" s="1127"/>
      <c r="D1343" s="1127"/>
    </row>
    <row r="1344" spans="1:4" s="1102" customFormat="1" x14ac:dyDescent="0.25">
      <c r="A1344" s="1127"/>
      <c r="B1344" s="1127"/>
      <c r="C1344" s="1127"/>
      <c r="D1344" s="1127"/>
    </row>
    <row r="1345" spans="1:4" s="1102" customFormat="1" x14ac:dyDescent="0.25">
      <c r="A1345" s="1127"/>
      <c r="B1345" s="1127"/>
      <c r="C1345" s="1127"/>
      <c r="D1345" s="1127"/>
    </row>
    <row r="1346" spans="1:4" s="1102" customFormat="1" x14ac:dyDescent="0.25">
      <c r="A1346" s="1127"/>
      <c r="B1346" s="1127"/>
      <c r="C1346" s="1127"/>
      <c r="D1346" s="1127"/>
    </row>
    <row r="1347" spans="1:4" s="1102" customFormat="1" x14ac:dyDescent="0.25">
      <c r="A1347" s="1127"/>
      <c r="B1347" s="1127"/>
      <c r="C1347" s="1127"/>
      <c r="D1347" s="1127"/>
    </row>
    <row r="1348" spans="1:4" s="1102" customFormat="1" x14ac:dyDescent="0.25">
      <c r="A1348" s="1127"/>
      <c r="B1348" s="1127"/>
      <c r="C1348" s="1127"/>
      <c r="D1348" s="1127"/>
    </row>
    <row r="1349" spans="1:4" s="1102" customFormat="1" x14ac:dyDescent="0.25">
      <c r="A1349" s="1127"/>
      <c r="B1349" s="1127"/>
      <c r="C1349" s="1127"/>
      <c r="D1349" s="1127"/>
    </row>
    <row r="1350" spans="1:4" s="1102" customFormat="1" x14ac:dyDescent="0.25">
      <c r="A1350" s="1127"/>
      <c r="B1350" s="1127"/>
      <c r="C1350" s="1127"/>
      <c r="D1350" s="1127"/>
    </row>
    <row r="1351" spans="1:4" s="1102" customFormat="1" x14ac:dyDescent="0.25">
      <c r="A1351" s="1127"/>
      <c r="B1351" s="1127"/>
      <c r="C1351" s="1127"/>
      <c r="D1351" s="1127"/>
    </row>
    <row r="1352" spans="1:4" s="1102" customFormat="1" x14ac:dyDescent="0.25">
      <c r="A1352" s="1127"/>
      <c r="B1352" s="1127"/>
      <c r="C1352" s="1127"/>
      <c r="D1352" s="1127"/>
    </row>
    <row r="1353" spans="1:4" s="1102" customFormat="1" x14ac:dyDescent="0.25">
      <c r="A1353" s="1127"/>
      <c r="B1353" s="1127"/>
      <c r="C1353" s="1127"/>
      <c r="D1353" s="1127"/>
    </row>
    <row r="1354" spans="1:4" s="1102" customFormat="1" x14ac:dyDescent="0.25">
      <c r="A1354" s="1127"/>
      <c r="B1354" s="1127"/>
      <c r="C1354" s="1127"/>
      <c r="D1354" s="1127"/>
    </row>
    <row r="1355" spans="1:4" x14ac:dyDescent="0.25">
      <c r="B1355" s="1128"/>
      <c r="C1355" s="1128"/>
      <c r="D1355" s="1128"/>
    </row>
    <row r="1356" spans="1:4" x14ac:dyDescent="0.25">
      <c r="B1356" s="1128"/>
      <c r="C1356" s="1128"/>
      <c r="D1356" s="1128"/>
    </row>
    <row r="1357" spans="1:4" x14ac:dyDescent="0.25">
      <c r="B1357" s="1128"/>
      <c r="C1357" s="1128"/>
      <c r="D1357" s="1128"/>
    </row>
    <row r="1358" spans="1:4" x14ac:dyDescent="0.25">
      <c r="B1358" s="1128"/>
      <c r="C1358" s="1128"/>
      <c r="D1358" s="1128"/>
    </row>
    <row r="1359" spans="1:4" x14ac:dyDescent="0.25">
      <c r="B1359" s="1128"/>
      <c r="C1359" s="1128"/>
      <c r="D1359" s="1128"/>
    </row>
    <row r="1360" spans="1:4" x14ac:dyDescent="0.25">
      <c r="B1360" s="1128"/>
      <c r="C1360" s="1128"/>
      <c r="D1360" s="1128"/>
    </row>
    <row r="1361" spans="2:4" x14ac:dyDescent="0.25">
      <c r="B1361" s="1128"/>
      <c r="C1361" s="1128"/>
      <c r="D1361" s="1128"/>
    </row>
    <row r="1362" spans="2:4" x14ac:dyDescent="0.25">
      <c r="B1362" s="1128"/>
      <c r="C1362" s="1128"/>
      <c r="D1362" s="1128"/>
    </row>
    <row r="1363" spans="2:4" x14ac:dyDescent="0.25">
      <c r="B1363" s="1128"/>
      <c r="C1363" s="1128"/>
      <c r="D1363" s="1128"/>
    </row>
    <row r="1364" spans="2:4" x14ac:dyDescent="0.25">
      <c r="B1364" s="1128"/>
      <c r="C1364" s="1128"/>
      <c r="D1364" s="1128"/>
    </row>
    <row r="1365" spans="2:4" x14ac:dyDescent="0.25">
      <c r="B1365" s="1128"/>
      <c r="C1365" s="1128"/>
      <c r="D1365" s="1128"/>
    </row>
    <row r="1366" spans="2:4" x14ac:dyDescent="0.25">
      <c r="B1366" s="1128"/>
      <c r="C1366" s="1128"/>
      <c r="D1366" s="1128"/>
    </row>
    <row r="1367" spans="2:4" x14ac:dyDescent="0.25">
      <c r="B1367" s="1128"/>
      <c r="C1367" s="1128"/>
      <c r="D1367" s="1128"/>
    </row>
    <row r="1368" spans="2:4" x14ac:dyDescent="0.25">
      <c r="B1368" s="1128"/>
      <c r="C1368" s="1128"/>
      <c r="D1368" s="1128"/>
    </row>
    <row r="1369" spans="2:4" x14ac:dyDescent="0.25">
      <c r="B1369" s="1128"/>
      <c r="C1369" s="1128"/>
      <c r="D1369" s="1128"/>
    </row>
    <row r="1370" spans="2:4" x14ac:dyDescent="0.25">
      <c r="B1370" s="1128"/>
      <c r="C1370" s="1128"/>
      <c r="D1370" s="1128"/>
    </row>
    <row r="1371" spans="2:4" x14ac:dyDescent="0.25">
      <c r="B1371" s="1128"/>
      <c r="C1371" s="1128"/>
      <c r="D1371" s="1128"/>
    </row>
    <row r="1372" spans="2:4" x14ac:dyDescent="0.25">
      <c r="B1372" s="1128"/>
      <c r="C1372" s="1128"/>
      <c r="D1372" s="1128"/>
    </row>
    <row r="1373" spans="2:4" x14ac:dyDescent="0.25">
      <c r="B1373" s="1128"/>
      <c r="C1373" s="1128"/>
      <c r="D1373" s="1128"/>
    </row>
    <row r="1374" spans="2:4" x14ac:dyDescent="0.25">
      <c r="B1374" s="1128"/>
      <c r="C1374" s="1128"/>
      <c r="D1374" s="1128"/>
    </row>
    <row r="1375" spans="2:4" x14ac:dyDescent="0.25">
      <c r="B1375" s="1128"/>
      <c r="C1375" s="1128"/>
      <c r="D1375" s="1128"/>
    </row>
    <row r="1376" spans="2:4" x14ac:dyDescent="0.25">
      <c r="B1376" s="1128"/>
      <c r="C1376" s="1128"/>
      <c r="D1376" s="1128"/>
    </row>
    <row r="1377" spans="2:4" x14ac:dyDescent="0.25">
      <c r="B1377" s="1128"/>
      <c r="C1377" s="1128"/>
      <c r="D1377" s="1128"/>
    </row>
    <row r="1378" spans="2:4" x14ac:dyDescent="0.25">
      <c r="B1378" s="1128"/>
      <c r="C1378" s="1128"/>
      <c r="D1378" s="1128"/>
    </row>
    <row r="1379" spans="2:4" x14ac:dyDescent="0.25">
      <c r="B1379" s="1128"/>
      <c r="C1379" s="1128"/>
      <c r="D1379" s="1128"/>
    </row>
    <row r="1380" spans="2:4" x14ac:dyDescent="0.25">
      <c r="B1380" s="1128"/>
      <c r="C1380" s="1128"/>
      <c r="D1380" s="1128"/>
    </row>
    <row r="1381" spans="2:4" x14ac:dyDescent="0.25">
      <c r="B1381" s="1128"/>
      <c r="C1381" s="1128"/>
      <c r="D1381" s="1128"/>
    </row>
    <row r="1382" spans="2:4" x14ac:dyDescent="0.25">
      <c r="B1382" s="1128"/>
      <c r="C1382" s="1128"/>
      <c r="D1382" s="1128"/>
    </row>
    <row r="1383" spans="2:4" x14ac:dyDescent="0.25">
      <c r="B1383" s="1128"/>
      <c r="C1383" s="1128"/>
      <c r="D1383" s="1128"/>
    </row>
    <row r="1384" spans="2:4" x14ac:dyDescent="0.25">
      <c r="B1384" s="1128"/>
      <c r="C1384" s="1128"/>
      <c r="D1384" s="1128"/>
    </row>
    <row r="1385" spans="2:4" x14ac:dyDescent="0.25">
      <c r="B1385" s="1128"/>
      <c r="C1385" s="1128"/>
      <c r="D1385" s="1128"/>
    </row>
    <row r="1386" spans="2:4" x14ac:dyDescent="0.25">
      <c r="B1386" s="1128"/>
      <c r="C1386" s="1128"/>
      <c r="D1386" s="1128"/>
    </row>
    <row r="1387" spans="2:4" x14ac:dyDescent="0.25">
      <c r="B1387" s="1128"/>
      <c r="C1387" s="1128"/>
      <c r="D1387" s="1128"/>
    </row>
    <row r="1388" spans="2:4" x14ac:dyDescent="0.25">
      <c r="B1388" s="1128"/>
      <c r="C1388" s="1128"/>
      <c r="D1388" s="1128"/>
    </row>
    <row r="1389" spans="2:4" x14ac:dyDescent="0.25">
      <c r="B1389" s="1128"/>
      <c r="C1389" s="1128"/>
      <c r="D1389" s="1128"/>
    </row>
    <row r="1390" spans="2:4" x14ac:dyDescent="0.25">
      <c r="B1390" s="1128"/>
      <c r="C1390" s="1128"/>
      <c r="D1390" s="1128"/>
    </row>
    <row r="1391" spans="2:4" x14ac:dyDescent="0.25">
      <c r="B1391" s="1128"/>
      <c r="C1391" s="1128"/>
      <c r="D1391" s="1128"/>
    </row>
    <row r="1392" spans="2:4" x14ac:dyDescent="0.25">
      <c r="B1392" s="1128"/>
      <c r="C1392" s="1128"/>
      <c r="D1392" s="1128"/>
    </row>
    <row r="1393" spans="2:4" x14ac:dyDescent="0.25">
      <c r="B1393" s="1128"/>
      <c r="C1393" s="1128"/>
      <c r="D1393" s="1128"/>
    </row>
    <row r="1394" spans="2:4" x14ac:dyDescent="0.25">
      <c r="B1394" s="1128"/>
      <c r="C1394" s="1128"/>
      <c r="D1394" s="1128"/>
    </row>
    <row r="1395" spans="2:4" x14ac:dyDescent="0.25">
      <c r="B1395" s="1128"/>
      <c r="C1395" s="1128"/>
      <c r="D1395" s="1128"/>
    </row>
    <row r="1396" spans="2:4" x14ac:dyDescent="0.25">
      <c r="B1396" s="1128"/>
      <c r="C1396" s="1128"/>
      <c r="D1396" s="1128"/>
    </row>
    <row r="1397" spans="2:4" x14ac:dyDescent="0.25">
      <c r="B1397" s="1128"/>
      <c r="C1397" s="1128"/>
      <c r="D1397" s="1128"/>
    </row>
    <row r="1398" spans="2:4" x14ac:dyDescent="0.25">
      <c r="B1398" s="1128"/>
      <c r="C1398" s="1128"/>
      <c r="D1398" s="1128"/>
    </row>
    <row r="1399" spans="2:4" x14ac:dyDescent="0.25">
      <c r="B1399" s="1128"/>
      <c r="C1399" s="1128"/>
      <c r="D1399" s="1128"/>
    </row>
    <row r="1400" spans="2:4" x14ac:dyDescent="0.25">
      <c r="B1400" s="1128"/>
      <c r="C1400" s="1128"/>
      <c r="D1400" s="1128"/>
    </row>
    <row r="1401" spans="2:4" x14ac:dyDescent="0.25">
      <c r="B1401" s="1128"/>
      <c r="C1401" s="1128"/>
      <c r="D1401" s="1128"/>
    </row>
    <row r="1402" spans="2:4" x14ac:dyDescent="0.25">
      <c r="B1402" s="1128"/>
      <c r="C1402" s="1128"/>
      <c r="D1402" s="1128"/>
    </row>
    <row r="1403" spans="2:4" x14ac:dyDescent="0.25">
      <c r="B1403" s="1128"/>
      <c r="C1403" s="1128"/>
      <c r="D1403" s="1128"/>
    </row>
    <row r="1404" spans="2:4" x14ac:dyDescent="0.25">
      <c r="B1404" s="1128"/>
      <c r="C1404" s="1128"/>
      <c r="D1404" s="1128"/>
    </row>
    <row r="1405" spans="2:4" x14ac:dyDescent="0.25">
      <c r="B1405" s="1128"/>
      <c r="C1405" s="1128"/>
      <c r="D1405" s="1128"/>
    </row>
    <row r="1406" spans="2:4" x14ac:dyDescent="0.25">
      <c r="B1406" s="1128"/>
      <c r="C1406" s="1128"/>
      <c r="D1406" s="1128"/>
    </row>
    <row r="1407" spans="2:4" x14ac:dyDescent="0.25">
      <c r="B1407" s="1128"/>
      <c r="C1407" s="1128"/>
      <c r="D1407" s="1128"/>
    </row>
    <row r="1408" spans="2:4" x14ac:dyDescent="0.25">
      <c r="B1408" s="1128"/>
      <c r="C1408" s="1128"/>
      <c r="D1408" s="1128"/>
    </row>
    <row r="1409" spans="2:4" x14ac:dyDescent="0.25">
      <c r="B1409" s="1128"/>
      <c r="C1409" s="1128"/>
      <c r="D1409" s="1128"/>
    </row>
    <row r="1410" spans="2:4" x14ac:dyDescent="0.25">
      <c r="B1410" s="1128"/>
      <c r="C1410" s="1128"/>
      <c r="D1410" s="1128"/>
    </row>
    <row r="1411" spans="2:4" x14ac:dyDescent="0.25">
      <c r="B1411" s="1128"/>
      <c r="C1411" s="1128"/>
      <c r="D1411" s="1128"/>
    </row>
    <row r="1412" spans="2:4" x14ac:dyDescent="0.25">
      <c r="B1412" s="1128"/>
      <c r="C1412" s="1128"/>
      <c r="D1412" s="1128"/>
    </row>
    <row r="1413" spans="2:4" x14ac:dyDescent="0.25">
      <c r="B1413" s="1128"/>
      <c r="C1413" s="1128"/>
      <c r="D1413" s="1128"/>
    </row>
    <row r="1414" spans="2:4" x14ac:dyDescent="0.25">
      <c r="B1414" s="1128"/>
      <c r="C1414" s="1128"/>
      <c r="D1414" s="1128"/>
    </row>
    <row r="1415" spans="2:4" x14ac:dyDescent="0.25">
      <c r="B1415" s="1128"/>
      <c r="C1415" s="1128"/>
      <c r="D1415" s="1128"/>
    </row>
    <row r="1416" spans="2:4" x14ac:dyDescent="0.25">
      <c r="B1416" s="1128"/>
      <c r="C1416" s="1128"/>
      <c r="D1416" s="1128"/>
    </row>
    <row r="1417" spans="2:4" x14ac:dyDescent="0.25">
      <c r="B1417" s="1128"/>
      <c r="C1417" s="1128"/>
      <c r="D1417" s="1128"/>
    </row>
    <row r="1418" spans="2:4" x14ac:dyDescent="0.25">
      <c r="B1418" s="1128"/>
      <c r="C1418" s="1128"/>
      <c r="D1418" s="1128"/>
    </row>
    <row r="1419" spans="2:4" x14ac:dyDescent="0.25">
      <c r="B1419" s="1128"/>
      <c r="C1419" s="1128"/>
      <c r="D1419" s="1128"/>
    </row>
    <row r="1420" spans="2:4" x14ac:dyDescent="0.25">
      <c r="B1420" s="1128"/>
      <c r="C1420" s="1128"/>
      <c r="D1420" s="1128"/>
    </row>
    <row r="1421" spans="2:4" x14ac:dyDescent="0.25">
      <c r="B1421" s="1128"/>
      <c r="C1421" s="1128"/>
      <c r="D1421" s="1128"/>
    </row>
    <row r="1422" spans="2:4" x14ac:dyDescent="0.25">
      <c r="B1422" s="1128"/>
      <c r="C1422" s="1128"/>
      <c r="D1422" s="1128"/>
    </row>
    <row r="1423" spans="2:4" x14ac:dyDescent="0.25">
      <c r="B1423" s="1128"/>
      <c r="C1423" s="1128"/>
      <c r="D1423" s="1128"/>
    </row>
    <row r="1424" spans="2:4" x14ac:dyDescent="0.25">
      <c r="B1424" s="1128"/>
      <c r="C1424" s="1128"/>
      <c r="D1424" s="1128"/>
    </row>
    <row r="1425" spans="2:4" x14ac:dyDescent="0.25">
      <c r="B1425" s="1128"/>
      <c r="C1425" s="1128"/>
      <c r="D1425" s="1128"/>
    </row>
    <row r="1426" spans="2:4" x14ac:dyDescent="0.25">
      <c r="B1426" s="1128"/>
      <c r="C1426" s="1128"/>
      <c r="D1426" s="1128"/>
    </row>
    <row r="1427" spans="2:4" x14ac:dyDescent="0.25">
      <c r="B1427" s="1128"/>
      <c r="C1427" s="1128"/>
      <c r="D1427" s="1128"/>
    </row>
    <row r="1428" spans="2:4" x14ac:dyDescent="0.25">
      <c r="B1428" s="1128"/>
      <c r="C1428" s="1128"/>
      <c r="D1428" s="1128"/>
    </row>
    <row r="1429" spans="2:4" x14ac:dyDescent="0.25">
      <c r="B1429" s="1128"/>
      <c r="C1429" s="1128"/>
      <c r="D1429" s="1128"/>
    </row>
    <row r="1430" spans="2:4" x14ac:dyDescent="0.25">
      <c r="B1430" s="1128"/>
      <c r="C1430" s="1128"/>
      <c r="D1430" s="1128"/>
    </row>
    <row r="1431" spans="2:4" x14ac:dyDescent="0.25">
      <c r="B1431" s="1128"/>
      <c r="C1431" s="1128"/>
      <c r="D1431" s="1128"/>
    </row>
    <row r="1432" spans="2:4" x14ac:dyDescent="0.25">
      <c r="B1432" s="1128"/>
      <c r="C1432" s="1128"/>
      <c r="D1432" s="1128"/>
    </row>
    <row r="1433" spans="2:4" x14ac:dyDescent="0.25">
      <c r="B1433" s="1128"/>
      <c r="C1433" s="1128"/>
      <c r="D1433" s="1128"/>
    </row>
    <row r="1434" spans="2:4" x14ac:dyDescent="0.25">
      <c r="B1434" s="1128"/>
      <c r="C1434" s="1128"/>
      <c r="D1434" s="1128"/>
    </row>
    <row r="1435" spans="2:4" x14ac:dyDescent="0.25">
      <c r="B1435" s="1128"/>
      <c r="C1435" s="1128"/>
      <c r="D1435" s="1128"/>
    </row>
    <row r="1436" spans="2:4" x14ac:dyDescent="0.25">
      <c r="B1436" s="1128"/>
      <c r="C1436" s="1128"/>
      <c r="D1436" s="1128"/>
    </row>
    <row r="1437" spans="2:4" x14ac:dyDescent="0.25">
      <c r="B1437" s="1128"/>
      <c r="C1437" s="1128"/>
      <c r="D1437" s="1128"/>
    </row>
    <row r="1438" spans="2:4" x14ac:dyDescent="0.25">
      <c r="B1438" s="1128"/>
      <c r="C1438" s="1128"/>
      <c r="D1438" s="1128"/>
    </row>
    <row r="1439" spans="2:4" x14ac:dyDescent="0.25">
      <c r="B1439" s="1128"/>
      <c r="C1439" s="1128"/>
      <c r="D1439" s="1128"/>
    </row>
    <row r="1440" spans="2:4" x14ac:dyDescent="0.25">
      <c r="B1440" s="1128"/>
      <c r="C1440" s="1128"/>
      <c r="D1440" s="1128"/>
    </row>
    <row r="1441" spans="2:4" x14ac:dyDescent="0.25">
      <c r="B1441" s="1128"/>
      <c r="C1441" s="1128"/>
      <c r="D1441" s="1128"/>
    </row>
    <row r="1442" spans="2:4" x14ac:dyDescent="0.25">
      <c r="B1442" s="1128"/>
      <c r="C1442" s="1128"/>
      <c r="D1442" s="1128"/>
    </row>
    <row r="1443" spans="2:4" x14ac:dyDescent="0.25">
      <c r="B1443" s="1128"/>
      <c r="C1443" s="1128"/>
      <c r="D1443" s="1128"/>
    </row>
    <row r="1444" spans="2:4" x14ac:dyDescent="0.25">
      <c r="B1444" s="1128"/>
      <c r="C1444" s="1128"/>
      <c r="D1444" s="1128"/>
    </row>
  </sheetData>
  <sheetProtection algorithmName="SHA-512" hashValue="BmGOA66WTFfZOCUaRvHX8dQOAUKUFLH7SVl4eRPNdL7Wb007cfi4807So6jTAXEmnbb8kxfTfrW6zUWfiJWhsQ==" saltValue="w90Qx69XmRcdkGcl8mDgIg==" spinCount="100000" sheet="1" objects="1" scenarios="1" autoFilter="0"/>
  <customSheetViews>
    <customSheetView guid="{B08879A4-635B-4C39-9937-AC7883D562FC}" showPageBreaks="1" showGridLines="0" fitToPage="1" printArea="1" hiddenColumns="1">
      <pane ySplit="4" topLeftCell="A5" activePane="bottomLeft" state="frozen"/>
      <selection pane="bottomLeft" sqref="A1:O1"/>
      <pageMargins left="0.6" right="0.6" top="0.5" bottom="0.5" header="0.3" footer="0.3"/>
      <pageSetup scale="68" fitToHeight="2" orientation="portrait" r:id="rId1"/>
    </customSheetView>
    <customSheetView guid="{1250FD07-FF56-4A9D-AF9E-C27124A7EBE9}" showGridLines="0" fitToPage="1" hiddenRows="1" showRuler="0">
      <selection sqref="A1:J1"/>
      <pageMargins left="0.75" right="0.5" top="0.5" bottom="0.5" header="0.5" footer="0.5"/>
      <pageSetup scale="80" fitToHeight="2" orientation="portrait" r:id="rId2"/>
      <headerFooter alignWithMargins="0"/>
    </customSheetView>
    <customSheetView guid="{BEA4BE86-04D1-4C96-9358-7A260B9D2B2D}" showGridLines="0" fitToPage="1" hiddenRows="1" showRuler="0">
      <selection sqref="A1:J1"/>
      <pageMargins left="0.75" right="0.5" top="0.5" bottom="0.5" header="0.5" footer="0.5"/>
      <pageSetup scale="80" fitToHeight="2" orientation="portrait" r:id="rId3"/>
      <headerFooter alignWithMargins="0"/>
    </customSheetView>
    <customSheetView guid="{9FCFC836-1CA5-48BF-958D-24D2EA94B219}" showGridLines="0" fitToPage="1" hiddenColumns="1">
      <pane ySplit="4" topLeftCell="A5" activePane="bottomLeft" state="frozen"/>
      <selection pane="bottomLeft" sqref="A1:O1"/>
      <pageMargins left="0.6" right="0.6" top="0.5" bottom="0.5" header="0.3" footer="0.3"/>
      <pageSetup scale="69" fitToHeight="2" orientation="portrait" r:id="rId4"/>
    </customSheetView>
  </customSheetViews>
  <mergeCells count="120">
    <mergeCell ref="E111:O111"/>
    <mergeCell ref="E113:O113"/>
    <mergeCell ref="E107:O107"/>
    <mergeCell ref="E104:O104"/>
    <mergeCell ref="E20:O20"/>
    <mergeCell ref="E44:O44"/>
    <mergeCell ref="E42:O42"/>
    <mergeCell ref="E33:O33"/>
    <mergeCell ref="E41:O41"/>
    <mergeCell ref="E32:O32"/>
    <mergeCell ref="E53:O53"/>
    <mergeCell ref="E40:O40"/>
    <mergeCell ref="E43:O43"/>
    <mergeCell ref="E34:O34"/>
    <mergeCell ref="E39:O39"/>
    <mergeCell ref="E88:O88"/>
    <mergeCell ref="E66:O66"/>
    <mergeCell ref="E47:O47"/>
    <mergeCell ref="E37:O37"/>
    <mergeCell ref="E36:O36"/>
    <mergeCell ref="E38:O38"/>
    <mergeCell ref="E84:O84"/>
    <mergeCell ref="E110:O110"/>
    <mergeCell ref="E112:O112"/>
    <mergeCell ref="E67:O67"/>
    <mergeCell ref="E76:O76"/>
    <mergeCell ref="A122:P122"/>
    <mergeCell ref="A121:P121"/>
    <mergeCell ref="E109:O109"/>
    <mergeCell ref="E117:O117"/>
    <mergeCell ref="E116:O116"/>
    <mergeCell ref="E102:O102"/>
    <mergeCell ref="E77:O77"/>
    <mergeCell ref="I120:O120"/>
    <mergeCell ref="E114:O114"/>
    <mergeCell ref="E118:O118"/>
    <mergeCell ref="E119:O119"/>
    <mergeCell ref="E101:O101"/>
    <mergeCell ref="E96:O96"/>
    <mergeCell ref="E83:O83"/>
    <mergeCell ref="E81:O81"/>
    <mergeCell ref="E90:O90"/>
    <mergeCell ref="E85:O85"/>
    <mergeCell ref="E91:O91"/>
    <mergeCell ref="E95:O95"/>
    <mergeCell ref="E79:O79"/>
    <mergeCell ref="E80:O80"/>
    <mergeCell ref="E94:O94"/>
    <mergeCell ref="E57:O57"/>
    <mergeCell ref="E64:O64"/>
    <mergeCell ref="E65:O65"/>
    <mergeCell ref="E61:O61"/>
    <mergeCell ref="E62:O62"/>
    <mergeCell ref="E56:O56"/>
    <mergeCell ref="E54:O54"/>
    <mergeCell ref="E58:O58"/>
    <mergeCell ref="E59:O59"/>
    <mergeCell ref="E63:O63"/>
    <mergeCell ref="K11:N11"/>
    <mergeCell ref="E13:I13"/>
    <mergeCell ref="B12:D12"/>
    <mergeCell ref="E12:I12"/>
    <mergeCell ref="B11:D11"/>
    <mergeCell ref="B14:D14"/>
    <mergeCell ref="E11:I11"/>
    <mergeCell ref="E14:I14"/>
    <mergeCell ref="E55:O55"/>
    <mergeCell ref="E18:O18"/>
    <mergeCell ref="E23:O23"/>
    <mergeCell ref="E22:O22"/>
    <mergeCell ref="E29:O29"/>
    <mergeCell ref="E31:O31"/>
    <mergeCell ref="E35:O35"/>
    <mergeCell ref="E50:O50"/>
    <mergeCell ref="E51:O51"/>
    <mergeCell ref="E108:O108"/>
    <mergeCell ref="E103:O103"/>
    <mergeCell ref="A1:O1"/>
    <mergeCell ref="A2:O2"/>
    <mergeCell ref="A3:O3"/>
    <mergeCell ref="B10:D10"/>
    <mergeCell ref="E6:J6"/>
    <mergeCell ref="E10:I10"/>
    <mergeCell ref="L4:O4"/>
    <mergeCell ref="E45:O45"/>
    <mergeCell ref="E52:O52"/>
    <mergeCell ref="E48:O48"/>
    <mergeCell ref="E46:O46"/>
    <mergeCell ref="E49:O49"/>
    <mergeCell ref="E16:O16"/>
    <mergeCell ref="E21:O21"/>
    <mergeCell ref="E27:O27"/>
    <mergeCell ref="E26:O26"/>
    <mergeCell ref="E24:O24"/>
    <mergeCell ref="E28:O28"/>
    <mergeCell ref="E30:O30"/>
    <mergeCell ref="E19:O19"/>
    <mergeCell ref="E25:O25"/>
    <mergeCell ref="E17:O17"/>
    <mergeCell ref="E106:O106"/>
    <mergeCell ref="E87:O87"/>
    <mergeCell ref="E89:O89"/>
    <mergeCell ref="E69:O69"/>
    <mergeCell ref="E70:O70"/>
    <mergeCell ref="E68:O68"/>
    <mergeCell ref="E100:O100"/>
    <mergeCell ref="E97:O97"/>
    <mergeCell ref="E82:O82"/>
    <mergeCell ref="E71:O71"/>
    <mergeCell ref="E72:O72"/>
    <mergeCell ref="E73:O73"/>
    <mergeCell ref="E74:O74"/>
    <mergeCell ref="E75:O75"/>
    <mergeCell ref="E86:O86"/>
    <mergeCell ref="E98:O98"/>
    <mergeCell ref="E105:O105"/>
    <mergeCell ref="E99:O99"/>
    <mergeCell ref="E93:O93"/>
    <mergeCell ref="E92:O92"/>
    <mergeCell ref="E78:O78"/>
  </mergeCells>
  <phoneticPr fontId="15" type="noConversion"/>
  <conditionalFormatting sqref="E12:E14 F12:I12 F14:I14">
    <cfRule type="expression" dxfId="272" priority="1" stopIfTrue="1">
      <formula>ISBLANK(E12)</formula>
    </cfRule>
  </conditionalFormatting>
  <dataValidations disablePrompts="1" count="5">
    <dataValidation type="textLength" operator="equal" allowBlank="1" showInputMessage="1" showErrorMessage="1" errorTitle="Input Error!" error="Leave blank or enter NA." prompt="Leave blank or enter NA." sqref="B103:B113 C103:C119 B97:B101 B58:B95 B45 C39:C40 C34:C35 C31 C27:C29 C25 C22:C23 C19:C20 B40:B43 B38:C38 B30:C30 C43:C48 B18 B22:B28 B32:B36 B21:C21 C52:C101 B48:B56" xr:uid="{00000000-0002-0000-0200-000000000000}">
      <formula1>2</formula1>
    </dataValidation>
    <dataValidation type="list" allowBlank="1" showInputMessage="1" showErrorMessage="1" sqref="F7:J7 E6:J6" xr:uid="{00000000-0002-0000-0200-000001000000}">
      <formula1>ConcNum</formula1>
    </dataValidation>
    <dataValidation type="textLength" operator="equal" allowBlank="1" showInputMessage="1" showErrorMessage="1" errorTitle="Input Error!" error="Leave blank or enter NA." prompt="Leave blank or enter NA._x000a_" sqref="C41:C42" xr:uid="{FC4B8B0B-5495-4CE5-AE64-968550E81B3C}">
      <formula1>2</formula1>
    </dataValidation>
    <dataValidation type="textLength" operator="equal" allowBlank="1" showInputMessage="1" showErrorMessage="1" errorTitle="Input Error" error="Leave blank or enter NA." prompt="Leave blank or enter NA." sqref="C37" xr:uid="{43CF070E-E170-4313-9461-8F2560C11FEB}">
      <formula1>2</formula1>
    </dataValidation>
    <dataValidation operator="equal" allowBlank="1" showErrorMessage="1" sqref="B96 C49:C51" xr:uid="{86C8FC96-CF18-406A-AC01-5DA3D3D785EF}"/>
  </dataValidations>
  <hyperlinks>
    <hyperlink ref="A24" location="'210'!A1" display="'210'!A1" xr:uid="{00000000-0004-0000-0200-000000000000}"/>
    <hyperlink ref="A17" location="'101'!A1" display="'101'!A1" xr:uid="{00000000-0004-0000-0200-000001000000}"/>
    <hyperlink ref="A28" location="'305'!A1" display="'305'!A1" xr:uid="{00000000-0004-0000-0200-000002000000}"/>
    <hyperlink ref="A56" location="'420'!A1" display="'420'!A1" xr:uid="{00000000-0004-0000-0200-000003000000}"/>
    <hyperlink ref="A88" location="'710'!A1" display="'710'!A1" xr:uid="{00000000-0004-0000-0200-000004000000}"/>
    <hyperlink ref="A89" location="'715'!A1" display="'715'!A1" xr:uid="{00000000-0004-0000-0200-000005000000}"/>
    <hyperlink ref="A90" location="'720'!A1" display="'720'!A1" xr:uid="{00000000-0004-0000-0200-000006000000}"/>
    <hyperlink ref="A41" location="'340'!A1" display="'340'!A1" xr:uid="{00000000-0004-0000-0200-000007000000}"/>
    <hyperlink ref="A57" location="'425'!A1" display="'425'!A1" xr:uid="{00000000-0004-0000-0200-000008000000}"/>
    <hyperlink ref="A44" location="'345'!A1" display="'345'!A1" xr:uid="{00000000-0004-0000-0200-000009000000}"/>
    <hyperlink ref="A45" location="'350'!A1" display="'350'!A1" xr:uid="{00000000-0004-0000-0200-00000A000000}"/>
    <hyperlink ref="A46" location="'355'!A1" display="'355'!A1" xr:uid="{00000000-0004-0000-0200-00000B000000}"/>
    <hyperlink ref="A36" location="'325'!A1" display="'325'!A1" xr:uid="{00000000-0004-0000-0200-00000C000000}"/>
    <hyperlink ref="A38" location="'330'!A1" display="'330'!A1" xr:uid="{00000000-0004-0000-0200-00000D000000}"/>
    <hyperlink ref="A64" location="'505'!A1" display="'505'!A1" xr:uid="{00000000-0004-0000-0200-00000E000000}"/>
    <hyperlink ref="A65" location="'510'!A1" display="'510'!A1" xr:uid="{00000000-0004-0000-0200-00000F000000}"/>
    <hyperlink ref="A66" location="'515'!A1" display="'515'!A1" xr:uid="{00000000-0004-0000-0200-000010000000}"/>
    <hyperlink ref="A67" location="'520'!A1" display="'520'!A1" xr:uid="{00000000-0004-0000-0200-000011000000}"/>
    <hyperlink ref="A68" location="'525'!A1" display="'525'!A1" xr:uid="{00000000-0004-0000-0200-000012000000}"/>
    <hyperlink ref="A69" location="'530'!A1" display="'530'!A1" xr:uid="{00000000-0004-0000-0200-000013000000}"/>
    <hyperlink ref="A84" location="'625'!A1" display="'625'!A1" xr:uid="{00000000-0004-0000-0200-000014000000}"/>
    <hyperlink ref="E17:L17" location="'101'!A1" display="Summary of Significant Accounting Policies" xr:uid="{00000000-0004-0000-0200-000015000000}"/>
    <hyperlink ref="E57:L57" location="'425'!A1" display="Net Assets/Fund Balance Deficit" xr:uid="{00000000-0004-0000-0200-000016000000}"/>
    <hyperlink ref="E21:L21" location="'201'!A1" display="Changes in Capital Assets" xr:uid="{00000000-0004-0000-0200-000017000000}"/>
    <hyperlink ref="E24:L24" location="'210'!A1" display="Accumulated Depreciation" xr:uid="{00000000-0004-0000-0200-000018000000}"/>
    <hyperlink ref="E27:L27" location="'301'!A1" display="Leases - Operating and Capital" xr:uid="{00000000-0004-0000-0200-000019000000}"/>
    <hyperlink ref="E28:L28" location="'305'!A1" display="Changes in Long-Term Liabilities and Short-Term Debt (Governmental)" xr:uid="{00000000-0004-0000-0200-00001A000000}"/>
    <hyperlink ref="A52" location="'401'!A1" display="'401'!A1" xr:uid="{00000000-0004-0000-0200-00001B000000}"/>
    <hyperlink ref="E52:L52" location="'401'!A1" display="General Fund" xr:uid="{00000000-0004-0000-0200-00001C000000}"/>
    <hyperlink ref="A53" location="'405'!A1" display="'405'!A1" xr:uid="{00000000-0004-0000-0200-00001D000000}"/>
    <hyperlink ref="E53:L53" location="'405'!A1" display="Special Revenue Fund" xr:uid="{00000000-0004-0000-0200-00001E000000}"/>
    <hyperlink ref="A54" location="'410'!A1" display="'410'!A1" xr:uid="{00000000-0004-0000-0200-00001F000000}"/>
    <hyperlink ref="E54:L54" location="'410'!A1" display="Capital Projects" xr:uid="{00000000-0004-0000-0200-000020000000}"/>
    <hyperlink ref="A55" location="'415'!A1" display="'415'!A1" xr:uid="{00000000-0004-0000-0200-000021000000}"/>
    <hyperlink ref="E55:L55" location="'415'!A1" display="Permanent Funds" xr:uid="{00000000-0004-0000-0200-000022000000}"/>
    <hyperlink ref="E56:L56" location="'420'!A1" display="Restricted and Unrestricted Net Assets - Business Type Activities" xr:uid="{00000000-0004-0000-0200-000023000000}"/>
    <hyperlink ref="E58:L58" location="'430'!A1" display="Fund Equity Restatement (Part 1 of 2)" xr:uid="{00000000-0004-0000-0200-000024000000}"/>
    <hyperlink ref="E44:L44" location="'345'!A1" display="Contingencies" xr:uid="{00000000-0004-0000-0200-000025000000}"/>
    <hyperlink ref="E45:L45" location="'350'!A1" display="Construction and Other Significant Commitments" xr:uid="{00000000-0004-0000-0200-000026000000}"/>
    <hyperlink ref="E46:L46" location="'355'!A1" display="Subsequent Events/Other Items" xr:uid="{00000000-0004-0000-0200-000027000000}"/>
    <hyperlink ref="E36:L36" location="'325'!A1" display="Revenue Bond Coverage" xr:uid="{00000000-0004-0000-0200-000028000000}"/>
    <hyperlink ref="E38:L38" location="'330'!A1" display="Debt Defeasances" xr:uid="{00000000-0004-0000-0200-000029000000}"/>
    <hyperlink ref="A79" location="'605'!A1" display="'605'!A1" xr:uid="{00000000-0004-0000-0200-00002A000000}"/>
    <hyperlink ref="E79:L79" location="'605'!A1" display="University Optional Retirement Program" xr:uid="{00000000-0004-0000-0200-00002B000000}"/>
    <hyperlink ref="A85" location="'635'!A1" display="'635'!A1" xr:uid="{00000000-0004-0000-0200-00002C000000}"/>
    <hyperlink ref="E85:L85" location="'635'!A1" display="Segments" xr:uid="{00000000-0004-0000-0200-00002D000000}"/>
    <hyperlink ref="A80" location="'610'!A1" display="'610'!A1" xr:uid="{00000000-0004-0000-0200-00002E000000}"/>
    <hyperlink ref="E80:L80" location="'610'!A1" display="Significant Transactions Between Component Units and Analysis of Federal Grants" xr:uid="{00000000-0004-0000-0200-00002F000000}"/>
    <hyperlink ref="E32:L32" location="'315'!A1" display="Annual Debt Svc Reqmts - Bonds, COPs, Notes Payable - Without Interest Rate Swaps" xr:uid="{00000000-0004-0000-0200-000030000000}"/>
    <hyperlink ref="A32" location="'315'!A1" display="'315'!A1" xr:uid="{00000000-0004-0000-0200-000031000000}"/>
    <hyperlink ref="E87:L87" location="'705'!A1" display="Cash and Cash Equivalents in Banks Outside the State Treasurer - Method of Collateralization" xr:uid="{00000000-0004-0000-0200-000032000000}"/>
    <hyperlink ref="E41:L41" location="'340'!A1" display="Derivatives Outstanding Not Reported at Fair Value" xr:uid="{00000000-0004-0000-0200-000033000000}"/>
    <hyperlink ref="A63" location="'501'!A1" display="'501'!A1" xr:uid="{00000000-0004-0000-0200-000034000000}"/>
    <hyperlink ref="E63:L63" location="'501'!A1" display="Schedule of Intra-Agency Receivables" xr:uid="{00000000-0004-0000-0200-000035000000}"/>
    <hyperlink ref="E64:L64" location="'505'!A1" display="Schedule of Inter-Agency Receivables" xr:uid="{00000000-0004-0000-0200-000036000000}"/>
    <hyperlink ref="E65:L65" location="'510'!A1" display="Schedule of Inter-Agency Payables" xr:uid="{00000000-0004-0000-0200-000037000000}"/>
    <hyperlink ref="E66:L66" location="'515'!A1" display="Schedule of Due From / Restricted Due From Primary Government" xr:uid="{00000000-0004-0000-0200-000038000000}"/>
    <hyperlink ref="E67:L67" location="'520'!A1" display="Schedule of Due To Primary Government" xr:uid="{00000000-0004-0000-0200-000039000000}"/>
    <hyperlink ref="E68:L68" location="'525'!A1" display="Schedule of Due from State of NC Component Units" xr:uid="{00000000-0004-0000-0200-00003A000000}"/>
    <hyperlink ref="E69:L69" location="'530'!A1" display="Schedule of Due to State of NC Component Units" xr:uid="{00000000-0004-0000-0200-00003B000000}"/>
    <hyperlink ref="A83" location="'620'!A1" display="'620'!A1" xr:uid="{00000000-0004-0000-0200-00003C000000}"/>
    <hyperlink ref="E83:L83" location="'620'!A1" display="Analysis of Deferred Revenues" xr:uid="{00000000-0004-0000-0200-00003D000000}"/>
    <hyperlink ref="E84:L84" location="'625'!A1" display="Management Discussion and Analysis Schedule" xr:uid="{00000000-0004-0000-0200-00003E000000}"/>
    <hyperlink ref="A76" location="'565'!A1" display="'565'!A1" xr:uid="{00000000-0004-0000-0200-00003F000000}"/>
    <hyperlink ref="A81" location="'615'!A1" display="'615'!A1" xr:uid="{00000000-0004-0000-0200-000040000000}"/>
    <hyperlink ref="E76:L76" location="'565'!A1" display="Schedule of Interinstitutional Transfers" xr:uid="{00000000-0004-0000-0200-000041000000}"/>
    <hyperlink ref="E81:L81" location="'615'!A1" display="Foundations Survey" xr:uid="{00000000-0004-0000-0200-000042000000}"/>
    <hyperlink ref="A27" location="'301'!A1" display="'301'!A1" xr:uid="{00000000-0004-0000-0200-000043000000}"/>
    <hyperlink ref="E77" location="a3p25!a1" display="a3p25!a1" xr:uid="{00000000-0004-0000-0200-000044000000}"/>
    <hyperlink ref="A77" location="'570'!A1" display="'570'!A1" xr:uid="{00000000-0004-0000-0200-000045000000}"/>
    <hyperlink ref="A70" location="'535'!A1" display="'535'!A1" xr:uid="{00000000-0004-0000-0200-000046000000}"/>
    <hyperlink ref="E70:L70" location="'535'!A1" display="Schedule of Advances" xr:uid="{00000000-0004-0000-0200-000047000000}"/>
    <hyperlink ref="A61" location="'431G'!A1" display="431G" xr:uid="{00000000-0004-0000-0200-000048000000}"/>
    <hyperlink ref="E61:L61" location="'431'!A1" display="Fund Equity Restatement (Part 2 of 2)" xr:uid="{00000000-0004-0000-0200-000049000000}"/>
    <hyperlink ref="A30" location="'310'!A1" display="'310'!A1" xr:uid="{00000000-0004-0000-0200-00004A000000}"/>
    <hyperlink ref="E30:L30" location="'310'!A1" display="Changes in Long-Term Liabilities and Short-Term Debt (Business-Type)" xr:uid="{00000000-0004-0000-0200-00004B000000}"/>
    <hyperlink ref="E77:L77" location="'570'!A1" display="Receivables" xr:uid="{00000000-0004-0000-0200-00004C000000}"/>
    <hyperlink ref="A113" location="Comments!A1" display="Comm" xr:uid="{00000000-0004-0000-0200-00004D000000}"/>
    <hyperlink ref="E113:L113" location="End!A1" display="Your Comments and Suggestions" xr:uid="{00000000-0004-0000-0200-00004E000000}"/>
    <hyperlink ref="E88:L88" location="'710'!A1" display="Investments Held Outside the State Treasurer - Custodial Credit Risk" xr:uid="{00000000-0004-0000-0200-00004F000000}"/>
    <hyperlink ref="E89:L89" location="'715'!A1" display="Investments Held Outside the State Treasurer - Custodial Credit Risk" xr:uid="{00000000-0004-0000-0200-000050000000}"/>
    <hyperlink ref="E90:L90" location="'720'!A1" display="Investments Held Outside the State Treasurer - Interest Rate Risk" xr:uid="{00000000-0004-0000-0200-000051000000}"/>
    <hyperlink ref="E91:L91" location="'725'!A1" display="Investments Held Outside the State Treasurer - Credit Risk (Part 1 of 2)" xr:uid="{00000000-0004-0000-0200-000052000000}"/>
    <hyperlink ref="E92:L92" location="'730'!A1" display="Investments Held Outside the State Treasurer - Additional Level of Detail" xr:uid="{00000000-0004-0000-0200-000053000000}"/>
    <hyperlink ref="A91" location="'725'!A1" display="'725'!A1" xr:uid="{00000000-0004-0000-0200-000054000000}"/>
    <hyperlink ref="A92" location="'730'!A1" display="'730'!A1" xr:uid="{00000000-0004-0000-0200-000055000000}"/>
    <hyperlink ref="A93" location="'735'!A1" display="'735'!A1" xr:uid="{00000000-0004-0000-0200-000056000000}"/>
    <hyperlink ref="A94" location="'740'!A1" display="'740'!A1" xr:uid="{00000000-0004-0000-0200-000057000000}"/>
    <hyperlink ref="A95" location="'745'!A1" display="'745'!A1" xr:uid="{00000000-0004-0000-0200-000058000000}"/>
    <hyperlink ref="E93:L93" location="'735'!A1" display="Investments Held Outside the State Treasurer - Concentration of Credit Risk" xr:uid="{00000000-0004-0000-0200-000059000000}"/>
    <hyperlink ref="E94:L94" location="'740'!A1" display="Investments Held Outside the State Treasurer - Foreign Currency Risk" xr:uid="{00000000-0004-0000-0200-00005A000000}"/>
    <hyperlink ref="E95:L95" location="'745'!A1" display="Investments Held Outside the State Treasurer - Investment Policies" xr:uid="{00000000-0004-0000-0200-00005B000000}"/>
    <hyperlink ref="A87" location="'705'!A1" display="'705'!A1" xr:uid="{00000000-0004-0000-0200-00005C000000}"/>
    <hyperlink ref="E112:O112" location="Explanations!A1" display="Worksheet Explanations" xr:uid="{00000000-0004-0000-0200-00005D000000}"/>
    <hyperlink ref="A112" location="Explanations!A1" display="Exp" xr:uid="{00000000-0004-0000-0200-00005E000000}"/>
    <hyperlink ref="A18" location="'105'!A1" display="'105'!A1" xr:uid="{00000000-0004-0000-0200-00005F000000}"/>
    <hyperlink ref="A25" location="'215'!A1" display="'215'!A1" xr:uid="{00000000-0004-0000-0200-000060000000}"/>
    <hyperlink ref="A26" location="'220'!A1" display="'220'!A1" xr:uid="{00000000-0004-0000-0200-000061000000}"/>
    <hyperlink ref="E25:O25" location="'215'!A1" display="Capital Asset Impairments *** Hyperlink, etc ***" xr:uid="{00000000-0004-0000-0200-000062000000}"/>
    <hyperlink ref="E26:O26" location="'220'!A1" display="Capital Asset Statistics ****NEW****" xr:uid="{00000000-0004-0000-0200-000063000000}"/>
    <hyperlink ref="A101" location="'905'!A1" display="'905'!A1" xr:uid="{00000000-0004-0000-0200-000064000000}"/>
    <hyperlink ref="A104" location="'906-6B'!A1" display="906-6B" xr:uid="{00000000-0004-0000-0200-000065000000}"/>
    <hyperlink ref="A107" location="'907'!A1" display="'907'!A1" xr:uid="{00000000-0004-0000-0200-000066000000}"/>
    <hyperlink ref="A108" location="'910'!A1" display="'910'!A1" xr:uid="{00000000-0004-0000-0200-000067000000}"/>
    <hyperlink ref="A110" location="'911-6B'!A1" display="911-6B" xr:uid="{00000000-0004-0000-0200-000068000000}"/>
    <hyperlink ref="E110:O110" location="'911-6B'!A1" display="Offline Fiduciary Analytical Review  - 6B -  Deferred Comp - Computed Variances" xr:uid="{00000000-0004-0000-0200-000069000000}"/>
    <hyperlink ref="E47:O47" location="'360'!A1" display="Related Party Transactions" xr:uid="{00000000-0004-0000-0200-00006A000000}"/>
    <hyperlink ref="E18:O18" location="'105'!A1" display="Operating Indicators By Function" xr:uid="{00000000-0004-0000-0200-00006B000000}"/>
    <hyperlink ref="E114:O114" location="'All Agencies'!C1" display="List of Agency Names and Numbers " xr:uid="{00000000-0004-0000-0200-00006C000000}"/>
    <hyperlink ref="A114" location="'All Agencies'!C1" display="Agencies" xr:uid="{00000000-0004-0000-0200-00006D000000}"/>
    <hyperlink ref="E113:O113" location="Comments!A1" display="Your Comments and Suggestions" xr:uid="{00000000-0004-0000-0200-00006E000000}"/>
    <hyperlink ref="A116" location="Functional!A1" display="Functional" xr:uid="{00000000-0004-0000-0200-00006F000000}"/>
    <hyperlink ref="E116:O116" location="Functional!A1" display="Functional Table to be used for worksheets 401, 405, and 415" xr:uid="{00000000-0004-0000-0200-000070000000}"/>
    <hyperlink ref="A48" location="'365'!A1" display="'365'!A1" xr:uid="{00000000-0004-0000-0200-000071000000}"/>
    <hyperlink ref="E48:O48" location="'365'!A1" display="Restricted Assets  (new for 2009)" xr:uid="{00000000-0004-0000-0200-000072000000}"/>
    <hyperlink ref="A34" location="'322'!A1" display="'322'!A1" xr:uid="{00000000-0004-0000-0200-000073000000}"/>
    <hyperlink ref="E34:O34" location="'322'!A1" display="Pollution Remediation Obligations (new for 2009)" xr:uid="{00000000-0004-0000-0200-000074000000}"/>
    <hyperlink ref="E33:L33" location="'320'!A1" display="Annual Debt Svc Reqmts - Bonds and COPs Payable - With Interest Rate Swaps" xr:uid="{00000000-0004-0000-0200-000075000000}"/>
    <hyperlink ref="A33" location="'320'!A1" display="'320'!A1" xr:uid="{00000000-0004-0000-0200-000076000000}"/>
    <hyperlink ref="A49" location="'370'!A1" display="'370'!A1" xr:uid="{00000000-0004-0000-0200-000077000000}"/>
    <hyperlink ref="E49:O49" location="'370'!A1" display="Government Wide - Special Indebtedness (new for 2009)" xr:uid="{00000000-0004-0000-0200-000078000000}"/>
    <hyperlink ref="A42" location="'341'!A1" display="'341'!A1" xr:uid="{00000000-0004-0000-0200-000079000000}"/>
    <hyperlink ref="E42:L42" location="'340'!A1" display="Derivatives Outstanding Not Reported at Fair Value" xr:uid="{00000000-0004-0000-0200-00007A000000}"/>
    <hyperlink ref="E42:O42" location="'341'!A1" display="Derivative Disclosures" xr:uid="{00000000-0004-0000-0200-00007B000000}"/>
    <hyperlink ref="A43" location="'342'!A1" display="'342'!A1" xr:uid="{00000000-0004-0000-0200-00007C000000}"/>
    <hyperlink ref="E43:L43" location="'340'!A1" display="Derivatives Outstanding Not Reported at Fair Value" xr:uid="{00000000-0004-0000-0200-00007D000000}"/>
    <hyperlink ref="E43:O43" location="'342'!A1" display="Investment Derivative Instruments Credit Risk" xr:uid="{00000000-0004-0000-0200-00007E000000}"/>
    <hyperlink ref="A103" location="'905Hosp'!A1" display="905Hosp" xr:uid="{00000000-0004-0000-0200-00007F000000}"/>
    <hyperlink ref="A117" location="NetPosition!A1" display="NetPosition" xr:uid="{00000000-0004-0000-0200-000080000000}"/>
    <hyperlink ref="E117:O117" location="NetPosition!A1" display="NetPosition and GASB Table for worksheets 905 &amp; 906" xr:uid="{00000000-0004-0000-0200-000081000000}"/>
    <hyperlink ref="A102" location="'For 905-NCAS Acct Roll-up'!A1" display="For 905-NCAS Acct Roll-up " xr:uid="{00000000-0004-0000-0200-000082000000}"/>
    <hyperlink ref="A109" location="'910Hosp'!A1" display="910Hosp" xr:uid="{00000000-0004-0000-0200-000083000000}"/>
    <hyperlink ref="E109:O109" location="'910Hosp'!A1" display="Offline Proprietary Analytical Review for UNC Health Care Reporting Unit Combined Pkg- Computed Variances" xr:uid="{00000000-0004-0000-0200-000084000000}"/>
    <hyperlink ref="A118" location="PriorYr905!A1" display="PriorYr905" xr:uid="{00000000-0004-0000-0200-000085000000}"/>
    <hyperlink ref="E118:O118" location="PriorYr905!A1" display="Prior Year Propietary Proforma - SNA &amp; SRECNA for Computed Variances 910 worksheet" xr:uid="{00000000-0004-0000-0200-000086000000}"/>
    <hyperlink ref="A119" location="PriorYr906!A1" display="PriorYr906" xr:uid="{00000000-0004-0000-0200-000087000000}"/>
    <hyperlink ref="E119:O119" location="PriorYr906!A1" display="Prior Year Fiduciary Proforma - SNA &amp; SRECNA for Computed Variances 911 worksheet" xr:uid="{00000000-0004-0000-0200-000088000000}"/>
    <hyperlink ref="A105" location="'906-6C'!A1" display="906-6C" xr:uid="{00000000-0004-0000-0200-000089000000}"/>
    <hyperlink ref="A106" location="'906-6BC'!A1" display="906-6B&amp;6C" xr:uid="{00000000-0004-0000-0200-00008A000000}"/>
    <hyperlink ref="A111" location="'911-6C'!A1" display="911-6C" xr:uid="{00000000-0004-0000-0200-00008B000000}"/>
    <hyperlink ref="E111:O111" location="'911-6C'!A1" display="Offline Fiduciary Analytical Review - 6C - 401(k) Computed Variances" xr:uid="{00000000-0004-0000-0200-00008C000000}"/>
    <hyperlink ref="A21"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0" location="'338'!A1" display="'338'!A1" xr:uid="{00000000-0004-0000-0200-000091000000}"/>
    <hyperlink ref="E40:L40" location="'340'!A1" display="Derivatives Outstanding Not Reported at Fair Value" xr:uid="{00000000-0004-0000-0200-000092000000}"/>
    <hyperlink ref="E40:O40" location="'338'!A1" display="Nonexchange Financial Guarantees" xr:uid="{00000000-0004-0000-0200-000093000000}"/>
    <hyperlink ref="A59" location="'430BTA'!A1" display="430BTA" xr:uid="{00000000-0004-0000-0200-000094000000}"/>
    <hyperlink ref="E59:L59" location="'430'!A1" display="Fund Equity Restatement (Part 1 of 2)" xr:uid="{00000000-0004-0000-0200-000095000000}"/>
    <hyperlink ref="A58" location="'430G'!A1" display="430G" xr:uid="{00000000-0004-0000-0200-000096000000}"/>
    <hyperlink ref="E58:O58" location="'430G'!A1" display="Fund Equity Restatement Governmental Funds (Part 1 of 2)" xr:uid="{00000000-0004-0000-0200-000097000000}"/>
    <hyperlink ref="E59:O59"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2" location="'431BTA'!A1" display="431BTA" xr:uid="{00000000-0004-0000-0200-00009B000000}"/>
    <hyperlink ref="E62:L62" location="'431'!A1" display="Fund Equity Restatement (Part 2 of 2)" xr:uid="{00000000-0004-0000-0200-00009C000000}"/>
    <hyperlink ref="E61:O61" location="'431G'!A1" display="Restatements Governmental Funds (Part 2 of 2)" xr:uid="{00000000-0004-0000-0200-00009D000000}"/>
    <hyperlink ref="E62:O62" location="'431BTA'!A1" display="Restatements Business Type Activities (Part 2 of 2)" xr:uid="{00000000-0004-0000-0200-00009E000000}"/>
    <hyperlink ref="A97" location="'755'!A1" display="'755'!A1" xr:uid="{00000000-0004-0000-0200-00009F000000}"/>
    <hyperlink ref="E97:O97" location="'755'!A1" display="Investments Held Outside the State Treasurer And Derivatives - Fair Value Measurements" xr:uid="{00000000-0004-0000-0200-0000A0000000}"/>
    <hyperlink ref="A99" location="'760'!A1" display="'760'!A1" xr:uid="{00000000-0004-0000-0200-0000A1000000}"/>
    <hyperlink ref="A100" location="'765'!A1" display="'765'!A1" xr:uid="{00000000-0004-0000-0200-0000A2000000}"/>
    <hyperlink ref="E79:O79" location="'605'!A1" display="University Optional Retirement Program " xr:uid="{00000000-0004-0000-0200-0000A3000000}"/>
    <hyperlink ref="A86" location="'640'!A1" display="'640'!A1" xr:uid="{00000000-0004-0000-0200-0000A4000000}"/>
    <hyperlink ref="E86" location="'640'!A1" display="Tax Abatement" xr:uid="{00000000-0004-0000-0200-0000A5000000}"/>
    <hyperlink ref="A82" location="'616'!A1" display="'616'!A1" xr:uid="{00000000-0004-0000-0200-0000A6000000}"/>
    <hyperlink ref="E82:L82" location="'620'!A1" display="Analysis of Deferred Revenues" xr:uid="{00000000-0004-0000-0200-0000A7000000}"/>
    <hyperlink ref="E82:O82" location="'616'!A1" display="Schedule of Due from / Due to University Component Units   NEW FY 2017" xr:uid="{00000000-0004-0000-0200-0000A8000000}"/>
    <hyperlink ref="A71" location="'540'!A1" display="'540'!A1" xr:uid="{00000000-0004-0000-0200-0000A9000000}"/>
    <hyperlink ref="A72" location="'545'!A1" display="'545'!A1" xr:uid="{00000000-0004-0000-0200-0000AA000000}"/>
    <hyperlink ref="A73" location="'550'!A1" display="'550'!A1" xr:uid="{00000000-0004-0000-0200-0000AB000000}"/>
    <hyperlink ref="A74" location="'555'!A1" display="'555'!A1" xr:uid="{00000000-0004-0000-0200-0000AC000000}"/>
    <hyperlink ref="A75" location="'560'!A1" display="'560'!A1" xr:uid="{00000000-0004-0000-0200-0000AD000000}"/>
    <hyperlink ref="E71" location="'540'!A1" display="Schedule of Intra-Agency Operating Transfers  NEW FY 2017" xr:uid="{00000000-0004-0000-0200-0000AE000000}"/>
    <hyperlink ref="E72:O72" location="'545'!A1" display="Schedule of Agency Inter-Company Operating Transfers to be Eliminated at CAFR Level  NEW FY 2017" xr:uid="{00000000-0004-0000-0200-0000AF000000}"/>
    <hyperlink ref="E73:O73" location="'550'!A1" display="Schedule of Inter-Agency Operating Transfers In  NEW FY 2017" xr:uid="{00000000-0004-0000-0200-0000B0000000}"/>
    <hyperlink ref="E74:O74" location="'555'!A1" display="Schedule of Inter-Agency Operating Transfers Out  NEW FY 2017" xr:uid="{00000000-0004-0000-0200-0000B1000000}"/>
    <hyperlink ref="E75:O75" location="'560'!A1" display="Schedule of Agency Nonroutine Transfers  NEW FY 2017" xr:uid="{00000000-0004-0000-0200-0000B2000000}"/>
    <hyperlink ref="E98:L98" location="'710'!A1" display="Investments Held Outside the State Treasurer - Custodial Credit Risk" xr:uid="{00000000-0004-0000-0200-0000B3000000}"/>
    <hyperlink ref="E98:O98" location="'756'!A1" display="Investments Held Outside the State Treasurer - Valuation of Investments " xr:uid="{00000000-0004-0000-0200-0000B4000000}"/>
    <hyperlink ref="E100" location="'765'!A1" display="Investments Held Outside the State Treasurer - External Investment Pools and Pool Participants" xr:uid="{00000000-0004-0000-0200-0000B5000000}"/>
    <hyperlink ref="E99" location="'760'!A1" display="Investments Held Outside the State Treasurer - Investments Measured at NAV" xr:uid="{00000000-0004-0000-0200-0000B6000000}"/>
    <hyperlink ref="E106:O106" location="'906-6BC'!A1" display="Offline Fiduciary - Stmt of Net Position &amp; Stmt of Chgs in Net position-Combined DefComp&amp;401(k)(new for 2013)" xr:uid="{00000000-0004-0000-0200-0000B7000000}"/>
    <hyperlink ref="E105:O105" location="'906-6C'!A1" display="Offline Fiduciary - Stmt of Net Position &amp; Stmt of Chgs in Net position NC 401(k)-6C (changes for 2013)" xr:uid="{00000000-0004-0000-0200-0000B8000000}"/>
    <hyperlink ref="E102:O102" location="'For 905-NCAS Acct Roll-up'!A1" display="Roll-up tables for the CAFR 11P Stmnt of Net assets &amp; CAFR 53P Stmnt of Rev, Exp and Changes in Net Assets showing NCAS  accts making  up each caption" xr:uid="{00000000-0004-0000-0200-0000B9000000}"/>
    <hyperlink ref="E103:O103" location="'905Hosp'!A1" display="'905Hosp'!A1" xr:uid="{00000000-0004-0000-0200-0000BA000000}"/>
    <hyperlink ref="E108:O108" location="'910'!A1" display="Offline Proprietary MD&amp;A - Computed Variances" xr:uid="{00000000-0004-0000-0200-0000BB000000}"/>
    <hyperlink ref="E107:O107" location="'907'!A1" display="Offline Agency Funds Proforma - Stmt of Chnages in Assets and Liabilities" xr:uid="{00000000-0004-0000-0200-0000BC000000}"/>
    <hyperlink ref="E104:O104" location="'906-6B'!A1" display="Offline Fiduciary - Stmt of Net Position &amp; Stmt of Chgs in Net position Deferred Comp-6B (changes for 2013)" xr:uid="{00000000-0004-0000-0200-0000BD000000}"/>
    <hyperlink ref="E101:O101" location="'905'!A1" display="Offline Proprietary Proforma - Stmt of Net Assets &amp; Stmt of Revs, Exps and Chgs in Net Assets and Certification of Data file for universities using 905 template (new for 2011)" xr:uid="{00000000-0004-0000-0200-0000BE000000}"/>
    <hyperlink ref="A98" location="'756'!A1" display="'756'!A1" xr:uid="{00000000-0004-0000-0200-0000BF000000}"/>
    <hyperlink ref="A115" location="'OSC Analysts'!A1" display="OSC Analysts" xr:uid="{00000000-0004-0000-0200-0000C0000000}"/>
    <hyperlink ref="E115" location="'OSC Analysts'!A1" display="List of OSC Statewide Accounting Financial Reporting Analyst Names and Numbers" xr:uid="{00000000-0004-0000-0200-0000C1000000}"/>
    <hyperlink ref="E23" location="'202'!A1" display="Governmental Fund Capital Assets" xr:uid="{6412FCA9-5AA5-48AA-90DA-17B6E4616697}"/>
    <hyperlink ref="E22" location="'202'!A1" display="Governmental Fund Capital Assets" xr:uid="{1C13EEC7-68B3-48C6-87DB-338DF7E3283F}"/>
    <hyperlink ref="A22" location="'202'!A1" display="'202'!A1" xr:uid="{FCE26A03-8923-4534-B3E3-493F70E792F1}"/>
    <hyperlink ref="A23" location="'203'!A1" display="'203'!A1" xr:uid="{DF04F2A4-861F-44FF-8947-1CA29D35EEAF}"/>
    <hyperlink ref="E32:O32" location="'315'!A1" display="Annual Debt Svc Reqmts - Bonds, Special Indebtedness, Notes Payable, Notes from Direct Borrowings &amp; Direct Placements - Without Interest Rate Swaps" xr:uid="{18034629-C2BA-4388-BDB3-3CC929647F2F}"/>
    <hyperlink ref="E33:O33" location="'320'!A1" display="Annual Debt Svc Reqmts - Bonds, Special Indebtedness, Notes Payable, Notes from Direct Borrowings &amp; Direct Placements - With Interest Rate Swaps" xr:uid="{41A45703-D09E-4BF4-9586-16FD88CA1170}"/>
    <hyperlink ref="A78" location="'602'!A1" display="'602'!A1" xr:uid="{F9552FBD-07BD-496F-A177-6321A98E298A}"/>
    <hyperlink ref="E78:O78" location="'602'!A1" display="Employer Contribution Amounts for TSERS and OPEB (New FY 2020 for Universities only)" xr:uid="{9FD2A0FA-EBD2-4D4E-83C4-345F7D0E133E}"/>
    <hyperlink ref="A35" location="'323'!A1" display="'323'!A1" xr:uid="{685A4699-5EAD-4116-92F2-D417D3DF4242}"/>
    <hyperlink ref="E35:O35" location="'323'!A1" display="Certain Asset Retirement Obligations" xr:uid="{99737A01-9111-4F4F-A3D7-1AB7647F715E}"/>
    <hyperlink ref="A50" location="'375-A'!A1" display="375-A" xr:uid="{65A527AF-815E-4ECF-B1AF-5A6D407B85AF}"/>
    <hyperlink ref="E50:O50" location="'375-A'!A1" display="Financial Reporting for Federal Coronavirus (COVID-19) Funds " xr:uid="{F100CA2B-2755-413A-9C52-0F8D91DDA760}"/>
    <hyperlink ref="E60" location="'430F'!A1" display="Restatements Fiduciary Activities (Part 1 of 2) (NEW for Fiscal Year 2021)" xr:uid="{27D27304-2A4E-4DA5-9348-E9AC0C0481E1}"/>
    <hyperlink ref="A60" location="'430F'!A1" display="430F" xr:uid="{D1298303-12F2-4E06-B257-5CF8A1C51A97}"/>
    <hyperlink ref="A51" location="'375-B'!A1" display="375-B" xr:uid="{4F400107-57EA-45FE-A61D-4743DCD7105D}"/>
    <hyperlink ref="E51:O51" location="'375-B'!A1" display="Budget Reporting for Federal Coronavirus (COVID-19) Funds " xr:uid="{06F749E1-5A07-48C9-A6C8-D85E58CD841D}"/>
  </hyperlinks>
  <pageMargins left="0.6" right="0.6" top="0.5" bottom="0.5" header="0.3" footer="0.3"/>
  <pageSetup scale="74" fitToHeight="0" orientation="portrait" r:id="rId5"/>
  <headerFooter>
    <oddFooter>&amp;L&amp;D &amp;T&amp;R&amp;A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workbookViewId="0">
      <selection activeCell="B31" sqref="B31"/>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130" customFormat="1" ht="15" customHeight="1" x14ac:dyDescent="0.25">
      <c r="B1" s="2767" t="str">
        <f>+Index!$A$1</f>
        <v xml:space="preserve">                                                               Office of the State Controller                                                                </v>
      </c>
      <c r="C1" s="2767"/>
      <c r="D1" s="2767"/>
      <c r="E1" s="2767"/>
      <c r="F1" s="2767"/>
      <c r="G1" s="2767"/>
      <c r="H1" s="2767"/>
      <c r="I1" s="2767"/>
      <c r="J1" s="2767"/>
      <c r="K1" s="2767"/>
      <c r="L1" s="2767"/>
      <c r="M1" s="2768" t="str">
        <f>IF(Index!$B$46="na","NA","")</f>
        <v/>
      </c>
    </row>
    <row r="2" spans="2:13" s="130" customFormat="1" ht="15" customHeight="1" x14ac:dyDescent="0.25">
      <c r="B2" s="2749" t="str">
        <f>+Index!$A$2</f>
        <v>2022 ACFR Worksheets</v>
      </c>
      <c r="C2" s="2946"/>
      <c r="D2" s="2946"/>
      <c r="E2" s="2946"/>
      <c r="F2" s="2946"/>
      <c r="G2" s="2946"/>
      <c r="H2" s="2946"/>
      <c r="I2" s="2946"/>
      <c r="J2" s="2946"/>
      <c r="K2" s="2946"/>
      <c r="L2" s="2946"/>
      <c r="M2" s="2768"/>
    </row>
    <row r="3" spans="2:13" s="130" customFormat="1" ht="15" customHeight="1" x14ac:dyDescent="0.25">
      <c r="B3" s="2749" t="s">
        <v>3567</v>
      </c>
      <c r="C3" s="2946"/>
      <c r="D3" s="2946"/>
      <c r="E3" s="2946"/>
      <c r="F3" s="2946"/>
      <c r="G3" s="2946"/>
      <c r="H3" s="2946"/>
      <c r="I3" s="2946"/>
      <c r="J3" s="2946"/>
      <c r="K3" s="2946"/>
      <c r="L3" s="2946"/>
      <c r="M3" s="2768"/>
    </row>
    <row r="4" spans="2:13" s="14" customFormat="1" ht="15" customHeight="1" x14ac:dyDescent="0.2">
      <c r="J4" s="2" t="s">
        <v>973</v>
      </c>
    </row>
    <row r="5" spans="2:13" s="14" customFormat="1" ht="15" customHeight="1" x14ac:dyDescent="0.2">
      <c r="B5" s="5"/>
      <c r="C5" s="121"/>
      <c r="D5" s="2930"/>
      <c r="E5" s="2930"/>
      <c r="F5" s="520"/>
      <c r="G5" s="520"/>
      <c r="I5" s="6" t="s">
        <v>327</v>
      </c>
      <c r="J5" s="2807" t="str">
        <f>+Index!$E$10</f>
        <v>01</v>
      </c>
      <c r="K5" s="2807"/>
      <c r="L5" s="2807"/>
    </row>
    <row r="6" spans="2:13" s="14" customFormat="1" ht="15" customHeight="1" x14ac:dyDescent="0.2">
      <c r="I6" s="6" t="s">
        <v>1154</v>
      </c>
      <c r="J6" s="2831" t="str">
        <f>+Index!$E$11</f>
        <v>North Carolina General Assembly</v>
      </c>
      <c r="K6" s="2831"/>
      <c r="L6" s="2831"/>
    </row>
    <row r="7" spans="2:13" s="14" customFormat="1" ht="15" customHeight="1" x14ac:dyDescent="0.2">
      <c r="B7" s="5" t="s">
        <v>477</v>
      </c>
      <c r="C7" s="121"/>
      <c r="D7" s="2928" t="s">
        <v>971</v>
      </c>
      <c r="E7" s="2928"/>
      <c r="F7" s="5"/>
      <c r="G7" s="5"/>
      <c r="I7" s="6" t="s">
        <v>972</v>
      </c>
      <c r="J7" s="2832" t="str">
        <f>CONCATENATE(Index!$E$12," ",Index!$E$14)</f>
        <v xml:space="preserve"> </v>
      </c>
      <c r="K7" s="2832"/>
      <c r="L7" s="2832"/>
    </row>
    <row r="8" spans="2:13" s="14" customFormat="1" ht="15" customHeight="1" x14ac:dyDescent="0.2">
      <c r="B8" s="5"/>
      <c r="C8" s="121"/>
      <c r="D8" s="520"/>
      <c r="E8" s="520"/>
      <c r="F8" s="5"/>
      <c r="G8" s="5"/>
      <c r="I8" s="6" t="s">
        <v>348</v>
      </c>
      <c r="J8" s="2832">
        <f>+Index!$E$13</f>
        <v>0</v>
      </c>
      <c r="K8" s="2832"/>
      <c r="L8" s="2832"/>
    </row>
    <row r="9" spans="2:13" s="14" customFormat="1" ht="6.75" customHeight="1" thickBot="1" x14ac:dyDescent="0.25">
      <c r="B9" s="521"/>
      <c r="C9" s="521"/>
      <c r="D9" s="521"/>
      <c r="E9" s="521"/>
      <c r="F9" s="521"/>
      <c r="G9" s="521"/>
      <c r="H9" s="522"/>
      <c r="I9" s="521"/>
      <c r="J9" s="521"/>
      <c r="K9" s="521"/>
      <c r="L9" s="521"/>
    </row>
    <row r="10" spans="2:13" s="14" customFormat="1" ht="12" customHeight="1" x14ac:dyDescent="0.2">
      <c r="B10" s="121"/>
      <c r="C10" s="121"/>
      <c r="D10" s="121"/>
      <c r="E10" s="121"/>
      <c r="F10" s="121"/>
      <c r="G10" s="121"/>
      <c r="I10" s="121"/>
      <c r="J10" s="121"/>
      <c r="K10" s="121"/>
      <c r="L10" s="121"/>
    </row>
    <row r="11" spans="2:13" s="14" customFormat="1" ht="15" customHeight="1" x14ac:dyDescent="0.25">
      <c r="B11" s="756" t="s">
        <v>563</v>
      </c>
    </row>
    <row r="12" spans="2:13" s="14" customFormat="1" ht="15" customHeight="1" x14ac:dyDescent="0.2">
      <c r="B12" s="272" t="s">
        <v>4252</v>
      </c>
    </row>
    <row r="13" spans="2:13" s="14" customFormat="1" ht="15" customHeight="1" x14ac:dyDescent="0.2">
      <c r="B13" s="272" t="s">
        <v>5397</v>
      </c>
    </row>
    <row r="14" spans="2:13" s="14" customFormat="1" ht="12" customHeight="1" x14ac:dyDescent="0.2"/>
    <row r="15" spans="2:13" s="14" customFormat="1" ht="15" customHeight="1" x14ac:dyDescent="0.2">
      <c r="B15" s="15" t="s">
        <v>5399</v>
      </c>
    </row>
    <row r="16" spans="2:13" s="14" customFormat="1" ht="15" customHeight="1" x14ac:dyDescent="0.2">
      <c r="B16" s="15" t="s">
        <v>4899</v>
      </c>
    </row>
    <row r="17" spans="2:9" s="14" customFormat="1" ht="15" customHeight="1" x14ac:dyDescent="0.2">
      <c r="B17" s="15" t="s">
        <v>4577</v>
      </c>
    </row>
    <row r="18" spans="2:9" s="14" customFormat="1" ht="12" customHeight="1" x14ac:dyDescent="0.2">
      <c r="B18" s="15"/>
    </row>
    <row r="19" spans="2:9" s="14" customFormat="1" ht="15" customHeight="1" x14ac:dyDescent="0.2">
      <c r="B19" s="14" t="s">
        <v>660</v>
      </c>
    </row>
    <row r="20" spans="2:9" s="14" customFormat="1" ht="15" customHeight="1" x14ac:dyDescent="0.2">
      <c r="B20" s="14" t="s">
        <v>209</v>
      </c>
    </row>
    <row r="21" spans="2:9" s="14" customFormat="1" ht="12" customHeight="1" x14ac:dyDescent="0.2"/>
    <row r="22" spans="2:9" s="14" customFormat="1" ht="15" customHeight="1" x14ac:dyDescent="0.2">
      <c r="B22" s="272" t="s">
        <v>4253</v>
      </c>
    </row>
    <row r="23" spans="2:9" s="14" customFormat="1" ht="15" customHeight="1" x14ac:dyDescent="0.2">
      <c r="B23" s="2" t="s">
        <v>4254</v>
      </c>
    </row>
    <row r="24" spans="2:9" s="14" customFormat="1" ht="12" customHeight="1" x14ac:dyDescent="0.2">
      <c r="B24" s="2"/>
    </row>
    <row r="25" spans="2:9" s="14" customFormat="1" ht="15" customHeight="1" x14ac:dyDescent="0.2">
      <c r="B25" s="2" t="s">
        <v>811</v>
      </c>
    </row>
    <row r="26" spans="2:9" s="14" customFormat="1" ht="15" customHeight="1" x14ac:dyDescent="0.2">
      <c r="B26" s="14" t="s">
        <v>1032</v>
      </c>
    </row>
    <row r="27" spans="2:9" s="14" customFormat="1" ht="15" customHeight="1" x14ac:dyDescent="0.2">
      <c r="B27" s="2257" t="s">
        <v>4900</v>
      </c>
    </row>
    <row r="28" spans="2:9" s="14" customFormat="1" ht="12" customHeight="1" x14ac:dyDescent="0.2"/>
    <row r="29" spans="2:9" s="14" customFormat="1" ht="15" customHeight="1" x14ac:dyDescent="0.2">
      <c r="B29" s="94" t="s">
        <v>85</v>
      </c>
      <c r="C29" s="2491"/>
      <c r="D29" s="94" t="s">
        <v>86</v>
      </c>
      <c r="E29" s="2491"/>
      <c r="G29" s="2762" t="str">
        <f>IF(AND(ISBLANK(C29),ISBLANK(E29))=TRUE,"Answer Missing"," ")</f>
        <v>Answer Missing</v>
      </c>
      <c r="H29" s="2696"/>
      <c r="I29" s="2696"/>
    </row>
    <row r="30" spans="2:9" s="14" customFormat="1" ht="12" customHeight="1" x14ac:dyDescent="0.2"/>
    <row r="31" spans="2:9" s="14" customFormat="1" ht="15" customHeight="1" x14ac:dyDescent="0.2">
      <c r="B31" s="2" t="s">
        <v>5398</v>
      </c>
      <c r="C31" s="2"/>
    </row>
    <row r="32" spans="2:9" s="14" customFormat="1" ht="15" customHeight="1" x14ac:dyDescent="0.2">
      <c r="B32" s="14" t="s">
        <v>1042</v>
      </c>
    </row>
    <row r="33" spans="2:12" s="14" customFormat="1" ht="15" customHeight="1" x14ac:dyDescent="0.2"/>
    <row r="34" spans="2:12" s="14" customFormat="1" ht="15" customHeight="1" x14ac:dyDescent="0.2"/>
    <row r="35" spans="2:12" s="14" customFormat="1" ht="15" customHeight="1" x14ac:dyDescent="0.25">
      <c r="B35" s="756" t="s">
        <v>1033</v>
      </c>
    </row>
    <row r="36" spans="2:12" s="14" customFormat="1" ht="15" customHeight="1" x14ac:dyDescent="0.2">
      <c r="B36" s="14" t="s">
        <v>97</v>
      </c>
    </row>
    <row r="37" spans="2:12" s="14" customFormat="1" ht="15" customHeight="1" x14ac:dyDescent="0.2">
      <c r="B37" s="3" t="s">
        <v>1006</v>
      </c>
    </row>
    <row r="38" spans="2:12" s="14" customFormat="1" ht="15" customHeight="1" x14ac:dyDescent="0.2">
      <c r="B38" s="14" t="s">
        <v>1034</v>
      </c>
    </row>
    <row r="39" spans="2:12" s="14" customFormat="1" ht="15" customHeight="1" x14ac:dyDescent="0.2">
      <c r="B39" s="14" t="s">
        <v>1035</v>
      </c>
    </row>
    <row r="40" spans="2:12" s="14" customFormat="1" ht="15" customHeight="1" x14ac:dyDescent="0.2">
      <c r="B40" s="2055" t="s">
        <v>4683</v>
      </c>
    </row>
    <row r="41" spans="2:12" s="14" customFormat="1" ht="15" customHeight="1" x14ac:dyDescent="0.2"/>
    <row r="42" spans="2:12" s="14" customFormat="1" ht="15" customHeight="1" x14ac:dyDescent="0.2">
      <c r="B42" s="2" t="s">
        <v>811</v>
      </c>
    </row>
    <row r="43" spans="2:12" s="14" customFormat="1" ht="15" customHeight="1" x14ac:dyDescent="0.2">
      <c r="B43" s="14" t="s">
        <v>96</v>
      </c>
      <c r="I43" s="94" t="s">
        <v>85</v>
      </c>
      <c r="J43" s="1403"/>
      <c r="K43" s="94" t="s">
        <v>86</v>
      </c>
      <c r="L43" s="1403"/>
    </row>
    <row r="44" spans="2:12" s="14" customFormat="1" ht="15" customHeight="1" x14ac:dyDescent="0.2">
      <c r="K44" s="2762" t="str">
        <f>IF(AND(ISBLANK(J43),ISBLANK(L43))=TRUE,"Answer Missing"," ")</f>
        <v>Answer Missing</v>
      </c>
      <c r="L44" s="2945"/>
    </row>
    <row r="45" spans="2:12" s="14" customFormat="1" ht="15" customHeight="1" x14ac:dyDescent="0.2">
      <c r="B45" s="2" t="s">
        <v>5398</v>
      </c>
      <c r="C45" s="2"/>
    </row>
    <row r="46" spans="2:12" s="14" customFormat="1" ht="15" customHeight="1" x14ac:dyDescent="0.2">
      <c r="B46" s="14" t="s">
        <v>1042</v>
      </c>
    </row>
    <row r="47" spans="2:12" s="14" customFormat="1" ht="15" customHeight="1" x14ac:dyDescent="0.2">
      <c r="B47" s="2875"/>
      <c r="C47" s="2875"/>
      <c r="D47" s="2875"/>
      <c r="E47" s="2875"/>
      <c r="F47" s="2875"/>
      <c r="G47" s="2875"/>
      <c r="H47" s="2875"/>
      <c r="I47" s="2875"/>
      <c r="J47" s="2875"/>
      <c r="K47" s="2875"/>
      <c r="L47" s="2875"/>
    </row>
    <row r="48" spans="2:12" s="14" customFormat="1" ht="15" customHeight="1" x14ac:dyDescent="0.2"/>
    <row r="49" spans="1:12" s="14" customFormat="1" ht="15" customHeight="1" x14ac:dyDescent="0.2"/>
    <row r="50" spans="1:12" s="14" customFormat="1" ht="15" customHeight="1" x14ac:dyDescent="0.2"/>
    <row r="51" spans="1:12" s="14" customFormat="1" ht="15" customHeight="1" x14ac:dyDescent="0.2">
      <c r="A51" s="440" t="str">
        <f ca="1">MID(CELL("filename",A1),FIND("]",CELL("filename",A1))+1,256)</f>
        <v>355</v>
      </c>
      <c r="B51" s="443" t="s">
        <v>449</v>
      </c>
      <c r="C51" s="440"/>
    </row>
    <row r="52" spans="1:12" s="14" customFormat="1" ht="15" customHeight="1" x14ac:dyDescent="0.2">
      <c r="A52" s="440" t="s">
        <v>446</v>
      </c>
      <c r="B52" s="443" t="str">
        <f ca="1">IF(ISNA(INDEX(ErrorTable,MATCH($A$51&amp;$A52&amp;FALSE,ErrorKey,0),6)),"",INDEX(ErrorTable,MATCH($A$51&amp;$A52&amp;FALSE,ErrorKey,0),6))</f>
        <v>All questions have not been answered.</v>
      </c>
      <c r="C52" s="440"/>
    </row>
    <row r="53" spans="1:12" s="14" customFormat="1" ht="15" customHeight="1" x14ac:dyDescent="0.2">
      <c r="A53" s="440" t="s">
        <v>447</v>
      </c>
      <c r="B53" s="443" t="str">
        <f t="shared" ref="B53:B61" ca="1" si="0">IF(ISNA(INDEX(ErrorTable,MATCH($A$51&amp;$A53&amp;FALSE,ErrorKey,0),6)),"",INDEX(ErrorTable,MATCH($A$51&amp;$A53&amp;FALSE,ErrorKey,0),6))</f>
        <v/>
      </c>
      <c r="C53" s="440"/>
    </row>
    <row r="54" spans="1:12" s="14" customFormat="1" ht="15" customHeight="1" x14ac:dyDescent="0.2">
      <c r="A54" s="440" t="s">
        <v>448</v>
      </c>
      <c r="B54" s="443" t="str">
        <f t="shared" ca="1" si="0"/>
        <v/>
      </c>
      <c r="C54" s="440"/>
    </row>
    <row r="55" spans="1:12" s="14" customFormat="1" ht="15" customHeight="1" x14ac:dyDescent="0.2">
      <c r="A55" s="440" t="s">
        <v>450</v>
      </c>
      <c r="B55" s="443" t="str">
        <f t="shared" ca="1" si="0"/>
        <v/>
      </c>
      <c r="C55" s="440"/>
    </row>
    <row r="56" spans="1:12" s="14" customFormat="1" ht="15" customHeight="1" x14ac:dyDescent="0.2">
      <c r="A56" s="440" t="s">
        <v>451</v>
      </c>
      <c r="B56" s="443" t="str">
        <f t="shared" ca="1" si="0"/>
        <v/>
      </c>
      <c r="C56" s="440"/>
    </row>
    <row r="57" spans="1:12" s="14" customFormat="1" ht="15" customHeight="1" x14ac:dyDescent="0.2">
      <c r="A57" s="440" t="s">
        <v>452</v>
      </c>
      <c r="B57" s="443" t="str">
        <f t="shared" ca="1" si="0"/>
        <v/>
      </c>
      <c r="C57" s="440"/>
    </row>
    <row r="58" spans="1:12" s="14" customFormat="1" ht="15" customHeight="1" x14ac:dyDescent="0.2">
      <c r="A58" s="440" t="s">
        <v>453</v>
      </c>
      <c r="B58" s="443" t="str">
        <f t="shared" ca="1" si="0"/>
        <v/>
      </c>
      <c r="C58" s="440"/>
    </row>
    <row r="59" spans="1:12" s="14" customFormat="1" ht="15" customHeight="1" x14ac:dyDescent="0.2">
      <c r="A59" s="440" t="s">
        <v>454</v>
      </c>
      <c r="B59" s="443" t="str">
        <f t="shared" ca="1" si="0"/>
        <v/>
      </c>
      <c r="C59" s="440"/>
    </row>
    <row r="60" spans="1:12" s="14" customFormat="1" ht="15" customHeight="1" x14ac:dyDescent="0.2">
      <c r="A60" s="440" t="s">
        <v>455</v>
      </c>
      <c r="B60" s="443" t="str">
        <f t="shared" ca="1" si="0"/>
        <v/>
      </c>
      <c r="C60" s="440"/>
    </row>
    <row r="61" spans="1:12" s="14" customFormat="1" ht="15" customHeight="1" x14ac:dyDescent="0.2">
      <c r="A61" s="440" t="s">
        <v>456</v>
      </c>
      <c r="B61" s="443" t="str">
        <f t="shared" ca="1" si="0"/>
        <v/>
      </c>
      <c r="C61" s="440"/>
      <c r="D61"/>
      <c r="E61"/>
      <c r="F61"/>
      <c r="G61"/>
      <c r="H61"/>
      <c r="I61"/>
      <c r="J61"/>
      <c r="K61"/>
      <c r="L61"/>
    </row>
    <row r="62" spans="1:12" s="14" customFormat="1" ht="15" customHeight="1" x14ac:dyDescent="0.2">
      <c r="A62"/>
      <c r="B62"/>
      <c r="C62"/>
      <c r="D62"/>
      <c r="E62"/>
      <c r="F62"/>
      <c r="G62"/>
      <c r="H62"/>
      <c r="I62"/>
      <c r="J62"/>
      <c r="K62"/>
      <c r="L62"/>
    </row>
    <row r="63" spans="1:12" s="14" customFormat="1" ht="15" customHeight="1" x14ac:dyDescent="0.2">
      <c r="A63"/>
      <c r="B63"/>
      <c r="C63"/>
      <c r="D63"/>
      <c r="E63"/>
      <c r="F63"/>
      <c r="G63"/>
      <c r="H63"/>
      <c r="I63"/>
      <c r="J63"/>
      <c r="K63"/>
      <c r="L63"/>
    </row>
    <row r="64" spans="1:12" s="14" customFormat="1" ht="15" customHeight="1" x14ac:dyDescent="0.2">
      <c r="A64"/>
      <c r="B64"/>
      <c r="C64"/>
      <c r="D64"/>
      <c r="E64"/>
      <c r="F64"/>
      <c r="G64"/>
      <c r="H64"/>
      <c r="I64"/>
      <c r="J64"/>
      <c r="K64"/>
      <c r="L64"/>
    </row>
    <row r="65" spans="1:12" s="14"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pCXn0sKHI6RUYIJcAOCPs1TlZys5nRpPBvE7JwoFQc9T5e+W2UYPEGvtMdcUMfJsxqECQUbvyYgT1BfLq+yGvg==" saltValue="M6zfDFDkf1IPnw/nOSdylg==" spinCount="100000" sheet="1" objects="1" scenarios="1" autoFilter="0"/>
  <customSheetViews>
    <customSheetView guid="{B08879A4-635B-4C39-9937-AC7883D562FC}" showGridLines="0" fitToPage="1" hiddenColumns="1" topLeftCell="B1">
      <selection activeCell="B12" sqref="B12"/>
      <rowBreaks count="1" manualBreakCount="1">
        <brk id="47" max="16383" man="1"/>
      </rowBreaks>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75" right="0.5" top="0.5" bottom="0.5" header="0.5" footer="0.5"/>
      <pageSetup orientation="portrait" r:id="rId3"/>
      <headerFooter alignWithMargins="0">
        <oddFooter>&amp;R&amp;A</oddFooter>
      </headerFooter>
    </customSheetView>
    <customSheetView guid="{9FCFC836-1CA5-48BF-958D-24D2EA94B219}" showGridLines="0" fitToPage="1" hiddenColumns="1" topLeftCell="B1">
      <selection activeCell="B12" sqref="B12"/>
      <rowBreaks count="1" manualBreakCount="1">
        <brk id="47" max="16383" man="1"/>
      </rowBreaks>
      <pageMargins left="0.75" right="0.5" top="0.5" bottom="0.5" header="0.5" footer="0.5"/>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5" type="noConversion"/>
  <conditionalFormatting sqref="M1:M3">
    <cfRule type="cellIs" dxfId="117" priority="3" stopIfTrue="1" operator="equal">
      <formula>"na"</formula>
    </cfRule>
  </conditionalFormatting>
  <conditionalFormatting sqref="K44:L44">
    <cfRule type="containsText" dxfId="116" priority="2" stopIfTrue="1" operator="containsText" text="Answer Missing">
      <formula>NOT(ISERROR(SEARCH("Answer Missing",K44)))</formula>
    </cfRule>
  </conditionalFormatting>
  <conditionalFormatting sqref="G29:I29">
    <cfRule type="containsText" dxfId="115" priority="1" stopIfTrue="1" operator="containsText" text="Answer Missing">
      <formula>NOT(ISERROR(SEARCH("Answer Missing",G29)))</formula>
    </cfRule>
  </conditionalFormatting>
  <hyperlinks>
    <hyperlink ref="B1:L1" location="Index!A1" display="Index!A1" xr:uid="{00000000-0004-0000-1900-000000000000}"/>
  </hyperlinks>
  <pageMargins left="0.75" right="0.5" top="0.5" bottom="0.5" header="0.5" footer="0.5"/>
  <pageSetup scale="97" orientation="portrait" r:id="rId5"/>
  <headerFooter alignWithMargins="0">
    <oddFooter>&amp;R&amp;A</oddFooter>
  </headerFooter>
  <rowBreaks count="1" manualBreakCount="1">
    <brk id="4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L39"/>
  <sheetViews>
    <sheetView showGridLines="0" zoomScaleNormal="100" workbookViewId="0">
      <selection activeCell="F34" sqref="F34"/>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6.5703125" customWidth="1"/>
    <col min="11" max="11" width="2.42578125" customWidth="1"/>
    <col min="12" max="12" width="22.5703125" customWidth="1"/>
  </cols>
  <sheetData>
    <row r="1" spans="1:12" ht="15.75" x14ac:dyDescent="0.25">
      <c r="A1" s="2767" t="str">
        <f>+Index!$A$1</f>
        <v xml:space="preserve">                                                               Office of the State Controller                                                                </v>
      </c>
      <c r="B1" s="2767"/>
      <c r="C1" s="2767"/>
      <c r="D1" s="2767"/>
      <c r="E1" s="2767"/>
      <c r="F1" s="2767"/>
      <c r="G1" s="2767"/>
      <c r="H1" s="2767"/>
      <c r="I1" s="2767"/>
      <c r="J1" s="2767"/>
      <c r="K1" s="2767"/>
      <c r="L1" s="2768" t="str">
        <f>IF(Index!$B$48="na","NA","")</f>
        <v/>
      </c>
    </row>
    <row r="2" spans="1:12" ht="15.75" x14ac:dyDescent="0.25">
      <c r="A2" s="2749" t="str">
        <f>+Index!$A$2</f>
        <v>2022 ACFR Worksheets</v>
      </c>
      <c r="B2" s="2696"/>
      <c r="C2" s="2696"/>
      <c r="D2" s="2696"/>
      <c r="E2" s="2696"/>
      <c r="F2" s="2696"/>
      <c r="G2" s="2696"/>
      <c r="H2" s="2696"/>
      <c r="I2" s="2696"/>
      <c r="J2" s="2696"/>
      <c r="K2" s="2696"/>
      <c r="L2" s="2768"/>
    </row>
    <row r="3" spans="1:12" ht="15.75" x14ac:dyDescent="0.25">
      <c r="A3" s="2749" t="s">
        <v>3557</v>
      </c>
      <c r="B3" s="2696"/>
      <c r="C3" s="2696"/>
      <c r="D3" s="2696"/>
      <c r="E3" s="2696"/>
      <c r="F3" s="2696"/>
      <c r="G3" s="2696"/>
      <c r="H3" s="2696"/>
      <c r="I3" s="2696"/>
      <c r="J3" s="2696"/>
      <c r="K3" s="2696"/>
      <c r="L3" s="2768"/>
    </row>
    <row r="4" spans="1:12" x14ac:dyDescent="0.2">
      <c r="A4" s="14"/>
      <c r="B4" s="14"/>
      <c r="C4" s="14"/>
      <c r="D4" s="14"/>
      <c r="E4" s="14"/>
      <c r="F4" s="14"/>
      <c r="G4" s="14"/>
      <c r="H4" s="14"/>
      <c r="I4" s="2951" t="s">
        <v>1281</v>
      </c>
      <c r="J4" s="2835"/>
      <c r="K4" s="2835"/>
      <c r="L4" s="2835"/>
    </row>
    <row r="5" spans="1:12" x14ac:dyDescent="0.2">
      <c r="A5" s="5"/>
      <c r="B5" s="121"/>
      <c r="C5" s="2930"/>
      <c r="D5" s="2930"/>
      <c r="E5" s="520"/>
      <c r="F5" s="520"/>
      <c r="G5" s="14"/>
      <c r="H5" s="6" t="s">
        <v>327</v>
      </c>
      <c r="J5" s="2928" t="str">
        <f>+Index!$E$10</f>
        <v>01</v>
      </c>
      <c r="K5" s="2867"/>
      <c r="L5" s="2867"/>
    </row>
    <row r="6" spans="1:12" x14ac:dyDescent="0.2">
      <c r="A6" s="14"/>
      <c r="B6" s="14"/>
      <c r="C6" s="14"/>
      <c r="D6" s="14"/>
      <c r="E6" s="14"/>
      <c r="F6" s="14"/>
      <c r="G6" s="14"/>
      <c r="H6" s="6" t="s">
        <v>1154</v>
      </c>
      <c r="J6" s="2947" t="str">
        <f>+Index!$E$11</f>
        <v>North Carolina General Assembly</v>
      </c>
      <c r="K6" s="2817"/>
      <c r="L6" s="2817"/>
    </row>
    <row r="7" spans="1:12" x14ac:dyDescent="0.2">
      <c r="A7" s="5" t="s">
        <v>477</v>
      </c>
      <c r="B7" s="121"/>
      <c r="C7" s="2948"/>
      <c r="D7" s="2948"/>
      <c r="E7" s="5"/>
      <c r="F7" s="5"/>
      <c r="G7" s="14"/>
      <c r="H7" s="6" t="s">
        <v>972</v>
      </c>
      <c r="J7" s="2949" t="str">
        <f>CONCATENATE(Index!$E$12, " ", Index!$E$14)</f>
        <v xml:space="preserve"> </v>
      </c>
      <c r="K7" s="2817"/>
      <c r="L7" s="2817"/>
    </row>
    <row r="8" spans="1:12" x14ac:dyDescent="0.2">
      <c r="A8" s="5"/>
      <c r="B8" s="121"/>
      <c r="C8" s="520"/>
      <c r="D8" s="520"/>
      <c r="E8" s="5"/>
      <c r="F8" s="5"/>
      <c r="G8" s="14"/>
      <c r="H8" s="6" t="s">
        <v>348</v>
      </c>
      <c r="J8" s="2950">
        <f>+Index!$E$13</f>
        <v>0</v>
      </c>
      <c r="K8" s="2867"/>
      <c r="L8" s="2867"/>
    </row>
    <row r="9" spans="1:12" ht="13.5" thickBot="1" x14ac:dyDescent="0.25">
      <c r="A9" s="521"/>
      <c r="B9" s="521"/>
      <c r="C9" s="521"/>
      <c r="D9" s="521"/>
      <c r="E9" s="521"/>
      <c r="F9" s="521"/>
      <c r="G9" s="522"/>
      <c r="H9" s="521"/>
      <c r="I9" s="521"/>
      <c r="J9" s="521"/>
      <c r="K9" s="521"/>
      <c r="L9" s="521"/>
    </row>
    <row r="10" spans="1:12" ht="6" customHeight="1" x14ac:dyDescent="0.2">
      <c r="A10" s="121"/>
      <c r="B10" s="121"/>
      <c r="C10" s="121"/>
      <c r="D10" s="121"/>
      <c r="E10" s="121"/>
      <c r="F10" s="121"/>
      <c r="G10" s="14"/>
      <c r="H10" s="121"/>
      <c r="I10" s="121"/>
      <c r="J10" s="121"/>
      <c r="K10" s="121"/>
      <c r="L10" s="14"/>
    </row>
    <row r="11" spans="1:12" ht="14.1" customHeight="1" x14ac:dyDescent="0.2">
      <c r="A11" s="14" t="s">
        <v>1283</v>
      </c>
    </row>
    <row r="12" spans="1:12" ht="14.1" customHeight="1" x14ac:dyDescent="0.2">
      <c r="A12" s="14" t="s">
        <v>1278</v>
      </c>
    </row>
    <row r="13" spans="1:12" ht="14.1" customHeight="1" x14ac:dyDescent="0.2">
      <c r="A13" s="14" t="s">
        <v>1279</v>
      </c>
    </row>
    <row r="14" spans="1:12" ht="14.1" customHeight="1" x14ac:dyDescent="0.2">
      <c r="A14" s="14" t="s">
        <v>1280</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4" t="s">
        <v>1274</v>
      </c>
    </row>
    <row r="19" spans="1:12" ht="14.1" customHeight="1" x14ac:dyDescent="0.2">
      <c r="A19" t="str">
        <f>"-    Temporarily  invested debt proceeds"</f>
        <v>-    Temporarily  invested debt proceeds</v>
      </c>
      <c r="J19" s="1161"/>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5" t="s">
        <v>1282</v>
      </c>
      <c r="H22" s="942" t="s">
        <v>4249</v>
      </c>
      <c r="J22" s="1161" t="s">
        <v>4250</v>
      </c>
    </row>
    <row r="23" spans="1:12" ht="6" customHeight="1" thickBot="1" x14ac:dyDescent="0.25">
      <c r="A23" s="837"/>
      <c r="B23" s="838"/>
      <c r="C23" s="838"/>
      <c r="D23" s="838"/>
      <c r="E23" s="838"/>
      <c r="F23" s="838"/>
      <c r="G23" s="838"/>
      <c r="H23" s="838"/>
      <c r="I23" s="838"/>
      <c r="J23" s="838"/>
      <c r="K23" s="838"/>
      <c r="L23" s="838"/>
    </row>
    <row r="24" spans="1:12" ht="8.1" customHeight="1" x14ac:dyDescent="0.2"/>
    <row r="25" spans="1:12" ht="15" customHeight="1" x14ac:dyDescent="0.2">
      <c r="A25" s="665" t="s">
        <v>3568</v>
      </c>
      <c r="B25" s="330"/>
      <c r="C25" s="330"/>
      <c r="D25" s="330"/>
      <c r="E25" s="330"/>
      <c r="F25" s="330"/>
      <c r="G25" s="330"/>
      <c r="H25" s="330"/>
      <c r="I25" s="330"/>
      <c r="J25" s="330"/>
      <c r="K25" s="330"/>
      <c r="L25" s="330"/>
    </row>
    <row r="26" spans="1:12" ht="15" customHeight="1" x14ac:dyDescent="0.2">
      <c r="A26" s="665" t="s">
        <v>4892</v>
      </c>
      <c r="B26" s="330"/>
      <c r="C26" s="330"/>
      <c r="D26" s="330"/>
      <c r="E26" s="330"/>
      <c r="F26" s="330"/>
      <c r="G26" s="330"/>
      <c r="H26" s="330"/>
      <c r="I26" s="330"/>
      <c r="J26" s="330"/>
      <c r="K26" s="330"/>
      <c r="L26" s="330"/>
    </row>
    <row r="27" spans="1:12" ht="12.75" customHeight="1" x14ac:dyDescent="0.2">
      <c r="A27" s="1865" t="s">
        <v>4405</v>
      </c>
      <c r="B27" s="1866"/>
      <c r="C27" s="1866"/>
      <c r="D27" s="1866"/>
      <c r="E27" s="1866"/>
      <c r="F27" s="1866"/>
      <c r="G27" s="1866"/>
      <c r="H27" s="1866"/>
      <c r="I27" s="1866"/>
      <c r="J27" s="1866"/>
    </row>
    <row r="28" spans="1:12" ht="15" customHeight="1" x14ac:dyDescent="0.2">
      <c r="A28" s="889" t="s">
        <v>1305</v>
      </c>
    </row>
    <row r="29" spans="1:12" ht="8.1" customHeight="1" x14ac:dyDescent="0.2">
      <c r="A29" s="839"/>
    </row>
    <row r="30" spans="1:12" ht="15" customHeight="1" x14ac:dyDescent="0.2">
      <c r="A30" s="839" t="s">
        <v>4678</v>
      </c>
    </row>
    <row r="31" spans="1:12" ht="8.1" customHeight="1" x14ac:dyDescent="0.2">
      <c r="A31" s="839"/>
    </row>
    <row r="32" spans="1:12" ht="39" customHeight="1" x14ac:dyDescent="0.2">
      <c r="F32" s="638" t="s">
        <v>1270</v>
      </c>
      <c r="H32" s="638" t="s">
        <v>1271</v>
      </c>
      <c r="J32" s="638" t="s">
        <v>1272</v>
      </c>
      <c r="L32" s="638" t="s">
        <v>1273</v>
      </c>
    </row>
    <row r="33" spans="1:12" ht="18" customHeight="1" x14ac:dyDescent="0.2">
      <c r="A33" s="2" t="s">
        <v>557</v>
      </c>
      <c r="F33" s="861"/>
      <c r="H33" s="861"/>
      <c r="J33" s="861"/>
      <c r="L33" s="861"/>
    </row>
    <row r="34" spans="1:12" ht="18" customHeight="1" x14ac:dyDescent="0.2">
      <c r="A34" s="2" t="s">
        <v>270</v>
      </c>
      <c r="F34" s="861"/>
      <c r="H34" s="861"/>
      <c r="J34" s="861"/>
      <c r="L34" s="861"/>
    </row>
    <row r="35" spans="1:12" ht="18" customHeight="1" x14ac:dyDescent="0.2">
      <c r="A35" s="2" t="s">
        <v>548</v>
      </c>
      <c r="F35" s="861"/>
      <c r="H35" s="861"/>
      <c r="J35" s="861"/>
      <c r="L35" s="861"/>
    </row>
    <row r="36" spans="1:12" ht="18" customHeight="1" x14ac:dyDescent="0.2">
      <c r="A36" s="2" t="s">
        <v>1276</v>
      </c>
      <c r="F36" s="861"/>
      <c r="H36" s="861"/>
      <c r="J36" s="861"/>
      <c r="L36" s="861"/>
    </row>
    <row r="37" spans="1:12" ht="18" customHeight="1" x14ac:dyDescent="0.2">
      <c r="A37" s="2" t="s">
        <v>1455</v>
      </c>
      <c r="F37" s="861"/>
      <c r="H37" s="861"/>
      <c r="J37" s="861"/>
      <c r="L37" s="861"/>
    </row>
    <row r="38" spans="1:12" ht="18" customHeight="1" x14ac:dyDescent="0.2">
      <c r="A38" s="2" t="s">
        <v>1277</v>
      </c>
    </row>
    <row r="39" spans="1:12" ht="15" customHeight="1" x14ac:dyDescent="0.2">
      <c r="A39" s="435"/>
      <c r="B39" s="862"/>
      <c r="C39" s="862"/>
      <c r="D39" s="862"/>
      <c r="F39" s="861"/>
      <c r="H39" s="861"/>
      <c r="J39" s="861"/>
      <c r="L39" s="861"/>
    </row>
  </sheetData>
  <sheetProtection algorithmName="SHA-512" hashValue="RBNuBu2qenqJxNXDSsOuQgiy25yYMuOfnVK0KPuCeJAMksWUHLAGGlCn6UOIX7nu3CgpKdKwsQsOG9z70A7OLg==" saltValue="kFnSoiiaVbe6r8IwTqT9nA==" spinCount="100000" sheet="1" objects="1" scenarios="1" autoFilter="0"/>
  <customSheetViews>
    <customSheetView guid="{B08879A4-635B-4C39-9937-AC7883D562FC}" showGridLines="0">
      <selection sqref="A1:K1"/>
      <pageMargins left="0.5" right="0.5" top="0.5" bottom="0.5" header="0.3" footer="0.3"/>
      <pageSetup orientation="landscape" r:id="rId1"/>
      <headerFooter>
        <oddFooter>&amp;R&amp;A</oddFooter>
      </headerFooter>
    </customSheetView>
    <customSheetView guid="{9FCFC836-1CA5-48BF-958D-24D2EA94B219}" showGridLines="0">
      <selection sqref="A1:K1"/>
      <pageMargins left="0.5" right="0.5" top="0.5" bottom="0.5" header="0.3" footer="0.3"/>
      <pageSetup orientation="landscape" r:id="rId2"/>
      <headerFooter>
        <oddFooter>&amp;R&amp;A</oddFooter>
      </headerFooter>
    </customSheetView>
  </customSheetViews>
  <mergeCells count="11">
    <mergeCell ref="A1:K1"/>
    <mergeCell ref="L1:L3"/>
    <mergeCell ref="A2:K2"/>
    <mergeCell ref="A3:K3"/>
    <mergeCell ref="I4:L4"/>
    <mergeCell ref="J5:L5"/>
    <mergeCell ref="J6:L6"/>
    <mergeCell ref="C7:D7"/>
    <mergeCell ref="J7:L7"/>
    <mergeCell ref="J8:L8"/>
    <mergeCell ref="C5:D5"/>
  </mergeCells>
  <conditionalFormatting sqref="L1:L3">
    <cfRule type="cellIs" dxfId="114" priority="3" stopIfTrue="1" operator="equal">
      <formula>"na"</formula>
    </cfRule>
  </conditionalFormatting>
  <hyperlinks>
    <hyperlink ref="A1:K1" location="Index!A1" display="Index!A1" xr:uid="{00000000-0004-0000-1A00-000000000000}"/>
    <hyperlink ref="J22" r:id="rId3" xr:uid="{00000000-0004-0000-1A00-000001000000}"/>
  </hyperlinks>
  <pageMargins left="0.5" right="0.5" top="0.5" bottom="0.5" header="0.3" footer="0.3"/>
  <pageSetup orientation="landscape" r:id="rId4"/>
  <headerFoot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workbookViewId="0">
      <selection activeCell="T32" sqref="T32"/>
    </sheetView>
  </sheetViews>
  <sheetFormatPr defaultColWidth="9.42578125" defaultRowHeight="10.5" x14ac:dyDescent="0.15"/>
  <cols>
    <col min="1" max="1" width="21.42578125" style="21" customWidth="1"/>
    <col min="2" max="2" width="1.42578125" style="21" customWidth="1"/>
    <col min="3" max="3" width="19.5703125" style="21" bestFit="1" customWidth="1"/>
    <col min="4" max="4" width="1.5703125" style="21" customWidth="1"/>
    <col min="5" max="5" width="19.5703125" style="21" customWidth="1"/>
    <col min="6" max="6" width="1.5703125" style="21" customWidth="1"/>
    <col min="7" max="7" width="20" style="21" customWidth="1"/>
    <col min="8" max="8" width="4" style="21" customWidth="1"/>
    <col min="9" max="9" width="17.5703125" style="21" customWidth="1"/>
    <col min="10" max="10" width="4.5703125" style="21" customWidth="1"/>
    <col min="11" max="11" width="3.42578125" style="21" customWidth="1"/>
    <col min="12" max="14" width="1.5703125" style="21" customWidth="1"/>
    <col min="15" max="15" width="4.5703125" style="21" customWidth="1"/>
    <col min="16" max="17" width="1.5703125" style="21" customWidth="1"/>
    <col min="18" max="16384" width="9.42578125" style="21"/>
  </cols>
  <sheetData>
    <row r="1" spans="1:15" s="20" customFormat="1" ht="25.15" customHeight="1" x14ac:dyDescent="0.25">
      <c r="A1" s="2767" t="str">
        <f>+Index!$A$1</f>
        <v xml:space="preserve">                                                               Office of the State Controller                                                                </v>
      </c>
      <c r="B1" s="2767"/>
      <c r="C1" s="2767"/>
      <c r="D1" s="2767"/>
      <c r="E1" s="2767"/>
      <c r="F1" s="2767"/>
      <c r="G1" s="2767"/>
      <c r="H1" s="2767"/>
      <c r="I1" s="2767"/>
      <c r="J1" s="1424" t="str">
        <f>IF(Index!$B$49="na","NA","")</f>
        <v/>
      </c>
    </row>
    <row r="2" spans="1:15" s="20" customFormat="1" ht="15" customHeight="1" x14ac:dyDescent="0.25">
      <c r="A2" s="2953" t="str">
        <f>+Index!$A$2</f>
        <v>2022 ACFR Worksheets</v>
      </c>
      <c r="B2" s="2953"/>
      <c r="C2" s="2953"/>
      <c r="D2" s="2953"/>
      <c r="E2" s="2953"/>
      <c r="F2" s="2953"/>
      <c r="G2" s="2953"/>
      <c r="H2" s="2953"/>
      <c r="I2" s="2953"/>
      <c r="J2" s="1424"/>
    </row>
    <row r="3" spans="1:15" s="20" customFormat="1" ht="15" customHeight="1" x14ac:dyDescent="0.25">
      <c r="A3" s="2954" t="s">
        <v>3595</v>
      </c>
      <c r="B3" s="2954"/>
      <c r="C3" s="2954"/>
      <c r="D3" s="2954"/>
      <c r="E3" s="2954"/>
      <c r="F3" s="2954"/>
      <c r="G3" s="2954"/>
      <c r="H3" s="2954"/>
      <c r="I3" s="2954"/>
      <c r="J3" s="1424"/>
    </row>
    <row r="4" spans="1:15" s="22" customFormat="1" ht="15" customHeight="1" x14ac:dyDescent="0.2">
      <c r="E4" s="795" t="s">
        <v>3734</v>
      </c>
      <c r="G4" s="795"/>
      <c r="H4" s="795"/>
    </row>
    <row r="5" spans="1:15" s="22" customFormat="1" ht="6" customHeight="1" x14ac:dyDescent="0.2">
      <c r="D5" s="253"/>
      <c r="E5" s="253"/>
      <c r="G5" s="2955"/>
      <c r="H5" s="2955"/>
      <c r="I5" s="2955"/>
    </row>
    <row r="6" spans="1:15" s="22" customFormat="1" ht="15" customHeight="1" x14ac:dyDescent="0.2">
      <c r="A6" s="796" t="s">
        <v>327</v>
      </c>
      <c r="B6" s="796"/>
      <c r="C6" s="797" t="str">
        <f>Index!$E$10</f>
        <v>01</v>
      </c>
      <c r="D6" s="253"/>
      <c r="E6" s="253"/>
      <c r="F6" s="23" t="s">
        <v>1154</v>
      </c>
      <c r="G6" s="2956" t="str">
        <f>+Index!$E$11</f>
        <v>North Carolina General Assembly</v>
      </c>
      <c r="H6" s="2956"/>
      <c r="I6" s="2956"/>
    </row>
    <row r="7" spans="1:15" s="22" customFormat="1" ht="15" customHeight="1" x14ac:dyDescent="0.2">
      <c r="D7" s="253"/>
      <c r="E7" s="253"/>
      <c r="F7" s="23" t="s">
        <v>972</v>
      </c>
      <c r="G7" s="2952" t="str">
        <f>CONCATENATE(Index!$E$12," ",Index!$E$14)</f>
        <v xml:space="preserve"> </v>
      </c>
      <c r="H7" s="2952"/>
      <c r="I7" s="2952"/>
    </row>
    <row r="8" spans="1:15" s="22" customFormat="1" ht="15" customHeight="1" x14ac:dyDescent="0.2">
      <c r="C8" s="793"/>
      <c r="D8" s="253"/>
      <c r="E8" s="253"/>
      <c r="F8" s="23" t="s">
        <v>348</v>
      </c>
      <c r="G8" s="2952">
        <f>+Index!$E$13</f>
        <v>0</v>
      </c>
      <c r="H8" s="2952"/>
      <c r="I8" s="2952"/>
    </row>
    <row r="9" spans="1:15" s="22" customFormat="1" ht="6" customHeight="1" thickBot="1" x14ac:dyDescent="0.25">
      <c r="A9" s="120"/>
      <c r="B9" s="120"/>
      <c r="C9" s="120"/>
      <c r="D9" s="120"/>
      <c r="E9" s="120"/>
      <c r="F9" s="120"/>
      <c r="G9" s="120"/>
      <c r="H9" s="120"/>
      <c r="I9" s="120"/>
    </row>
    <row r="10" spans="1:15" s="22" customFormat="1" ht="5.25" customHeight="1" x14ac:dyDescent="0.2"/>
    <row r="11" spans="1:15" s="22" customFormat="1" ht="15.75" customHeight="1" x14ac:dyDescent="0.2">
      <c r="A11" s="868" t="s">
        <v>4865</v>
      </c>
      <c r="B11" s="868"/>
      <c r="C11" s="869"/>
      <c r="D11" s="869"/>
      <c r="E11" s="869"/>
      <c r="F11" s="489"/>
      <c r="G11" s="489"/>
      <c r="H11" s="489"/>
      <c r="I11" s="870"/>
      <c r="J11" s="489"/>
      <c r="K11" s="489"/>
      <c r="L11" s="489"/>
      <c r="M11" s="489"/>
      <c r="N11" s="489"/>
      <c r="O11" s="489"/>
    </row>
    <row r="12" spans="1:15" s="22" customFormat="1" ht="15.75" customHeight="1" x14ac:dyDescent="0.2">
      <c r="A12" s="871"/>
      <c r="B12" s="871"/>
      <c r="C12" s="871"/>
      <c r="D12" s="871"/>
      <c r="E12" s="872" t="s">
        <v>409</v>
      </c>
      <c r="F12" s="873"/>
      <c r="G12" s="872" t="s">
        <v>410</v>
      </c>
      <c r="H12" s="874"/>
      <c r="I12" s="872" t="s">
        <v>84</v>
      </c>
      <c r="J12" s="874"/>
      <c r="K12" s="874"/>
      <c r="L12" s="874"/>
      <c r="M12" s="874"/>
      <c r="N12" s="874"/>
      <c r="O12" s="874"/>
    </row>
    <row r="13" spans="1:15" s="22" customFormat="1" ht="15.75" customHeight="1" x14ac:dyDescent="0.2">
      <c r="A13" s="871"/>
      <c r="B13" s="871"/>
      <c r="C13" s="871"/>
      <c r="D13" s="871"/>
      <c r="E13" s="870"/>
      <c r="F13" s="873"/>
      <c r="G13" s="870"/>
      <c r="H13" s="874"/>
      <c r="I13" s="874"/>
      <c r="J13" s="874"/>
      <c r="K13" s="874"/>
      <c r="L13" s="874"/>
      <c r="M13" s="874"/>
      <c r="N13" s="874"/>
      <c r="O13" s="874"/>
    </row>
    <row r="14" spans="1:15" s="22" customFormat="1" ht="15.75" customHeight="1" x14ac:dyDescent="0.2">
      <c r="A14" s="871" t="s">
        <v>1300</v>
      </c>
      <c r="B14" s="871"/>
      <c r="C14" s="871"/>
      <c r="D14" s="871"/>
      <c r="E14" s="875"/>
      <c r="F14" s="874"/>
      <c r="G14" s="875"/>
      <c r="H14" s="874"/>
      <c r="I14" s="876">
        <f>E14+G14</f>
        <v>0</v>
      </c>
      <c r="J14" s="251" t="s">
        <v>1299</v>
      </c>
    </row>
    <row r="15" spans="1:15" s="22" customFormat="1" ht="15.75" customHeight="1" x14ac:dyDescent="0.2">
      <c r="A15" s="871" t="s">
        <v>411</v>
      </c>
      <c r="B15" s="871"/>
      <c r="C15" s="871"/>
      <c r="D15" s="871"/>
      <c r="E15" s="877"/>
      <c r="F15" s="874"/>
      <c r="G15" s="877"/>
      <c r="H15" s="874"/>
      <c r="I15" s="885">
        <f>E15+G15</f>
        <v>0</v>
      </c>
      <c r="J15" s="874"/>
      <c r="K15" s="874"/>
      <c r="L15" s="874"/>
      <c r="M15" s="874"/>
      <c r="N15" s="874"/>
      <c r="O15" s="874"/>
    </row>
    <row r="16" spans="1:15" s="22" customFormat="1" ht="15.75" customHeight="1" x14ac:dyDescent="0.2">
      <c r="A16" s="871"/>
      <c r="B16" s="871"/>
      <c r="C16" s="871"/>
      <c r="D16" s="871"/>
      <c r="E16" s="878"/>
      <c r="F16" s="874"/>
      <c r="G16" s="878"/>
      <c r="H16" s="874"/>
      <c r="I16" s="874"/>
      <c r="J16" s="874"/>
      <c r="K16" s="874"/>
      <c r="L16" s="874"/>
      <c r="M16" s="874"/>
      <c r="N16" s="874"/>
      <c r="O16" s="874"/>
    </row>
    <row r="17" spans="1:12" s="22" customFormat="1" ht="15.75" customHeight="1" x14ac:dyDescent="0.2">
      <c r="A17" s="880" t="s">
        <v>4925</v>
      </c>
      <c r="B17" s="879"/>
      <c r="C17" s="880"/>
      <c r="D17" s="881"/>
      <c r="E17" s="880"/>
      <c r="F17" s="880"/>
      <c r="L17" s="881"/>
    </row>
    <row r="18" spans="1:12" s="22" customFormat="1" ht="15.75" customHeight="1" x14ac:dyDescent="0.2">
      <c r="A18" s="2092" t="s">
        <v>4866</v>
      </c>
      <c r="B18" s="879"/>
      <c r="C18" s="880"/>
      <c r="D18" s="881"/>
      <c r="E18" s="880"/>
      <c r="F18" s="880"/>
      <c r="G18" s="882" t="s">
        <v>969</v>
      </c>
      <c r="H18" s="883"/>
      <c r="I18" s="882" t="s">
        <v>970</v>
      </c>
      <c r="J18" s="883"/>
      <c r="L18" s="881"/>
    </row>
    <row r="19" spans="1:12" s="22" customFormat="1" ht="15.75" customHeight="1" x14ac:dyDescent="0.25">
      <c r="A19" s="866"/>
      <c r="B19" s="866"/>
      <c r="C19" s="736"/>
      <c r="D19" s="736"/>
      <c r="E19" s="736"/>
      <c r="F19" s="736"/>
      <c r="G19" s="867"/>
    </row>
    <row r="20" spans="1:12" s="22" customFormat="1" ht="15.75" customHeight="1" x14ac:dyDescent="0.2">
      <c r="A20" s="884" t="s">
        <v>1298</v>
      </c>
      <c r="B20" s="884"/>
      <c r="D20" s="874"/>
      <c r="E20" s="874"/>
      <c r="F20" s="874"/>
      <c r="G20" s="882" t="s">
        <v>969</v>
      </c>
      <c r="H20" s="883"/>
      <c r="I20" s="882" t="s">
        <v>970</v>
      </c>
      <c r="J20" s="883"/>
      <c r="L20" s="881"/>
    </row>
    <row r="21" spans="1:12" s="22" customFormat="1" ht="15.75" customHeight="1" x14ac:dyDescent="0.25">
      <c r="A21" s="866"/>
      <c r="B21" s="866"/>
      <c r="C21" s="736"/>
      <c r="D21" s="736"/>
      <c r="E21" s="736"/>
      <c r="F21" s="736"/>
      <c r="G21" s="736"/>
      <c r="H21" s="260"/>
      <c r="I21" s="867"/>
    </row>
  </sheetData>
  <sheetProtection algorithmName="SHA-512" hashValue="kqzcfGC8CQzPwZ6KwBpzKWCs48SBGdGXfM/vEj5QeautQy5fZMJWD+fJiJPKvSPORf3NsbsvksI7/92QirubiA==" saltValue="/KJ96psu0s0kyGc/SBWvrg==" spinCount="100000" sheet="1" objects="1" scenarios="1" autoFilter="0"/>
  <customSheetViews>
    <customSheetView guid="{B08879A4-635B-4C39-9937-AC7883D562FC}" showGridLines="0" fitToPage="1">
      <selection sqref="A1:I1"/>
      <pageMargins left="0.7" right="0.7" top="0.75" bottom="0.75" header="0.3" footer="0.3"/>
      <pageSetup orientation="landscape" r:id="rId1"/>
      <headerFooter>
        <oddFooter>&amp;R&amp;A</oddFooter>
      </headerFooter>
    </customSheetView>
    <customSheetView guid="{9FCFC836-1CA5-48BF-958D-24D2EA94B219}" showGridLines="0" fitToPage="1">
      <selection sqref="A1:I1"/>
      <pageMargins left="0.7" right="0.7" top="0.75" bottom="0.75" header="0.3" footer="0.3"/>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13" priority="1" stopIfTrue="1" operator="equal">
      <formula>"na"</formula>
    </cfRule>
  </conditionalFormatting>
  <hyperlinks>
    <hyperlink ref="A1:I1" location="Index!A1" display="Index!A1" xr:uid="{00000000-0004-0000-1B00-000000000000}"/>
  </hyperlinks>
  <pageMargins left="0.7" right="0.7" top="0.75" bottom="0.75" header="0.3" footer="0.3"/>
  <pageSetup orientation="landscape" r:id="rId3"/>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zoomScaleNormal="100" workbookViewId="0">
      <selection activeCell="L1" sqref="L1"/>
    </sheetView>
  </sheetViews>
  <sheetFormatPr defaultColWidth="9.140625" defaultRowHeight="10.5" x14ac:dyDescent="0.15"/>
  <cols>
    <col min="1" max="1" width="15.42578125" style="21" customWidth="1"/>
    <col min="2" max="2" width="1.140625" style="21" customWidth="1"/>
    <col min="3" max="3" width="17.5703125" style="21" customWidth="1"/>
    <col min="4" max="4" width="1.5703125" style="21" customWidth="1"/>
    <col min="5" max="5" width="22.5703125" style="21" customWidth="1"/>
    <col min="6" max="6" width="1.5703125" style="21" customWidth="1"/>
    <col min="7" max="7" width="24.5703125" style="21" bestFit="1" customWidth="1"/>
    <col min="8" max="8" width="1.5703125" style="21" customWidth="1"/>
    <col min="9" max="9" width="22.5703125" style="21" customWidth="1"/>
    <col min="10" max="10" width="1.5703125" style="21" customWidth="1"/>
    <col min="11" max="11" width="24.42578125" style="21" customWidth="1"/>
    <col min="12" max="12" width="7.5703125" style="21" customWidth="1"/>
    <col min="13" max="15" width="1.5703125" style="21" customWidth="1"/>
    <col min="16" max="16" width="4.85546875" style="21" customWidth="1"/>
    <col min="17" max="18" width="1.5703125" style="21" customWidth="1"/>
    <col min="19" max="257" width="9.140625" style="21"/>
    <col min="258" max="258" width="17.85546875" style="21" customWidth="1"/>
    <col min="259" max="259" width="1.140625" style="21" customWidth="1"/>
    <col min="260" max="260" width="30.140625" style="21" customWidth="1"/>
    <col min="261" max="261" width="1.5703125" style="21" customWidth="1"/>
    <col min="262" max="262" width="21.140625" style="21" customWidth="1"/>
    <col min="263" max="263" width="1.5703125" style="21" customWidth="1"/>
    <col min="264" max="264" width="22.140625" style="21" customWidth="1"/>
    <col min="265" max="265" width="5.85546875" style="21" customWidth="1"/>
    <col min="266" max="266" width="27.42578125" style="21" customWidth="1"/>
    <col min="267" max="267" width="4.5703125" style="21" customWidth="1"/>
    <col min="268" max="268" width="3.140625" style="21" customWidth="1"/>
    <col min="269" max="271" width="1.5703125" style="21" customWidth="1"/>
    <col min="272" max="272" width="4.85546875" style="21" customWidth="1"/>
    <col min="273" max="274" width="1.5703125" style="21" customWidth="1"/>
    <col min="275" max="513" width="9.140625" style="21"/>
    <col min="514" max="514" width="17.85546875" style="21" customWidth="1"/>
    <col min="515" max="515" width="1.140625" style="21" customWidth="1"/>
    <col min="516" max="516" width="30.140625" style="21" customWidth="1"/>
    <col min="517" max="517" width="1.5703125" style="21" customWidth="1"/>
    <col min="518" max="518" width="21.140625" style="21" customWidth="1"/>
    <col min="519" max="519" width="1.5703125" style="21" customWidth="1"/>
    <col min="520" max="520" width="22.140625" style="21" customWidth="1"/>
    <col min="521" max="521" width="5.85546875" style="21" customWidth="1"/>
    <col min="522" max="522" width="27.42578125" style="21" customWidth="1"/>
    <col min="523" max="523" width="4.5703125" style="21" customWidth="1"/>
    <col min="524" max="524" width="3.140625" style="21" customWidth="1"/>
    <col min="525" max="527" width="1.5703125" style="21" customWidth="1"/>
    <col min="528" max="528" width="4.85546875" style="21" customWidth="1"/>
    <col min="529" max="530" width="1.5703125" style="21" customWidth="1"/>
    <col min="531" max="769" width="9.140625" style="21"/>
    <col min="770" max="770" width="17.85546875" style="21" customWidth="1"/>
    <col min="771" max="771" width="1.140625" style="21" customWidth="1"/>
    <col min="772" max="772" width="30.140625" style="21" customWidth="1"/>
    <col min="773" max="773" width="1.5703125" style="21" customWidth="1"/>
    <col min="774" max="774" width="21.140625" style="21" customWidth="1"/>
    <col min="775" max="775" width="1.5703125" style="21" customWidth="1"/>
    <col min="776" max="776" width="22.140625" style="21" customWidth="1"/>
    <col min="777" max="777" width="5.85546875" style="21" customWidth="1"/>
    <col min="778" max="778" width="27.42578125" style="21" customWidth="1"/>
    <col min="779" max="779" width="4.5703125" style="21" customWidth="1"/>
    <col min="780" max="780" width="3.140625" style="21" customWidth="1"/>
    <col min="781" max="783" width="1.5703125" style="21" customWidth="1"/>
    <col min="784" max="784" width="4.85546875" style="21" customWidth="1"/>
    <col min="785" max="786" width="1.5703125" style="21" customWidth="1"/>
    <col min="787" max="1025" width="9.140625" style="21"/>
    <col min="1026" max="1026" width="17.85546875" style="21" customWidth="1"/>
    <col min="1027" max="1027" width="1.140625" style="21" customWidth="1"/>
    <col min="1028" max="1028" width="30.140625" style="21" customWidth="1"/>
    <col min="1029" max="1029" width="1.5703125" style="21" customWidth="1"/>
    <col min="1030" max="1030" width="21.140625" style="21" customWidth="1"/>
    <col min="1031" max="1031" width="1.5703125" style="21" customWidth="1"/>
    <col min="1032" max="1032" width="22.140625" style="21" customWidth="1"/>
    <col min="1033" max="1033" width="5.85546875" style="21" customWidth="1"/>
    <col min="1034" max="1034" width="27.42578125" style="21" customWidth="1"/>
    <col min="1035" max="1035" width="4.5703125" style="21" customWidth="1"/>
    <col min="1036" max="1036" width="3.140625" style="21" customWidth="1"/>
    <col min="1037" max="1039" width="1.5703125" style="21" customWidth="1"/>
    <col min="1040" max="1040" width="4.85546875" style="21" customWidth="1"/>
    <col min="1041" max="1042" width="1.5703125" style="21" customWidth="1"/>
    <col min="1043" max="1281" width="9.140625" style="21"/>
    <col min="1282" max="1282" width="17.85546875" style="21" customWidth="1"/>
    <col min="1283" max="1283" width="1.140625" style="21" customWidth="1"/>
    <col min="1284" max="1284" width="30.140625" style="21" customWidth="1"/>
    <col min="1285" max="1285" width="1.5703125" style="21" customWidth="1"/>
    <col min="1286" max="1286" width="21.140625" style="21" customWidth="1"/>
    <col min="1287" max="1287" width="1.5703125" style="21" customWidth="1"/>
    <col min="1288" max="1288" width="22.140625" style="21" customWidth="1"/>
    <col min="1289" max="1289" width="5.85546875" style="21" customWidth="1"/>
    <col min="1290" max="1290" width="27.42578125" style="21" customWidth="1"/>
    <col min="1291" max="1291" width="4.5703125" style="21" customWidth="1"/>
    <col min="1292" max="1292" width="3.140625" style="21" customWidth="1"/>
    <col min="1293" max="1295" width="1.5703125" style="21" customWidth="1"/>
    <col min="1296" max="1296" width="4.85546875" style="21" customWidth="1"/>
    <col min="1297" max="1298" width="1.5703125" style="21" customWidth="1"/>
    <col min="1299" max="1537" width="9.140625" style="21"/>
    <col min="1538" max="1538" width="17.85546875" style="21" customWidth="1"/>
    <col min="1539" max="1539" width="1.140625" style="21" customWidth="1"/>
    <col min="1540" max="1540" width="30.140625" style="21" customWidth="1"/>
    <col min="1541" max="1541" width="1.5703125" style="21" customWidth="1"/>
    <col min="1542" max="1542" width="21.140625" style="21" customWidth="1"/>
    <col min="1543" max="1543" width="1.5703125" style="21" customWidth="1"/>
    <col min="1544" max="1544" width="22.140625" style="21" customWidth="1"/>
    <col min="1545" max="1545" width="5.85546875" style="21" customWidth="1"/>
    <col min="1546" max="1546" width="27.42578125" style="21" customWidth="1"/>
    <col min="1547" max="1547" width="4.5703125" style="21" customWidth="1"/>
    <col min="1548" max="1548" width="3.140625" style="21" customWidth="1"/>
    <col min="1549" max="1551" width="1.5703125" style="21" customWidth="1"/>
    <col min="1552" max="1552" width="4.85546875" style="21" customWidth="1"/>
    <col min="1553" max="1554" width="1.5703125" style="21" customWidth="1"/>
    <col min="1555" max="1793" width="9.140625" style="21"/>
    <col min="1794" max="1794" width="17.85546875" style="21" customWidth="1"/>
    <col min="1795" max="1795" width="1.140625" style="21" customWidth="1"/>
    <col min="1796" max="1796" width="30.140625" style="21" customWidth="1"/>
    <col min="1797" max="1797" width="1.5703125" style="21" customWidth="1"/>
    <col min="1798" max="1798" width="21.140625" style="21" customWidth="1"/>
    <col min="1799" max="1799" width="1.5703125" style="21" customWidth="1"/>
    <col min="1800" max="1800" width="22.140625" style="21" customWidth="1"/>
    <col min="1801" max="1801" width="5.85546875" style="21" customWidth="1"/>
    <col min="1802" max="1802" width="27.42578125" style="21" customWidth="1"/>
    <col min="1803" max="1803" width="4.5703125" style="21" customWidth="1"/>
    <col min="1804" max="1804" width="3.140625" style="21" customWidth="1"/>
    <col min="1805" max="1807" width="1.5703125" style="21" customWidth="1"/>
    <col min="1808" max="1808" width="4.85546875" style="21" customWidth="1"/>
    <col min="1809" max="1810" width="1.5703125" style="21" customWidth="1"/>
    <col min="1811" max="2049" width="9.140625" style="21"/>
    <col min="2050" max="2050" width="17.85546875" style="21" customWidth="1"/>
    <col min="2051" max="2051" width="1.140625" style="21" customWidth="1"/>
    <col min="2052" max="2052" width="30.140625" style="21" customWidth="1"/>
    <col min="2053" max="2053" width="1.5703125" style="21" customWidth="1"/>
    <col min="2054" max="2054" width="21.140625" style="21" customWidth="1"/>
    <col min="2055" max="2055" width="1.5703125" style="21" customWidth="1"/>
    <col min="2056" max="2056" width="22.140625" style="21" customWidth="1"/>
    <col min="2057" max="2057" width="5.85546875" style="21" customWidth="1"/>
    <col min="2058" max="2058" width="27.42578125" style="21" customWidth="1"/>
    <col min="2059" max="2059" width="4.5703125" style="21" customWidth="1"/>
    <col min="2060" max="2060" width="3.140625" style="21" customWidth="1"/>
    <col min="2061" max="2063" width="1.5703125" style="21" customWidth="1"/>
    <col min="2064" max="2064" width="4.85546875" style="21" customWidth="1"/>
    <col min="2065" max="2066" width="1.5703125" style="21" customWidth="1"/>
    <col min="2067" max="2305" width="9.140625" style="21"/>
    <col min="2306" max="2306" width="17.85546875" style="21" customWidth="1"/>
    <col min="2307" max="2307" width="1.140625" style="21" customWidth="1"/>
    <col min="2308" max="2308" width="30.140625" style="21" customWidth="1"/>
    <col min="2309" max="2309" width="1.5703125" style="21" customWidth="1"/>
    <col min="2310" max="2310" width="21.140625" style="21" customWidth="1"/>
    <col min="2311" max="2311" width="1.5703125" style="21" customWidth="1"/>
    <col min="2312" max="2312" width="22.140625" style="21" customWidth="1"/>
    <col min="2313" max="2313" width="5.85546875" style="21" customWidth="1"/>
    <col min="2314" max="2314" width="27.42578125" style="21" customWidth="1"/>
    <col min="2315" max="2315" width="4.5703125" style="21" customWidth="1"/>
    <col min="2316" max="2316" width="3.140625" style="21" customWidth="1"/>
    <col min="2317" max="2319" width="1.5703125" style="21" customWidth="1"/>
    <col min="2320" max="2320" width="4.85546875" style="21" customWidth="1"/>
    <col min="2321" max="2322" width="1.5703125" style="21" customWidth="1"/>
    <col min="2323" max="2561" width="9.140625" style="21"/>
    <col min="2562" max="2562" width="17.85546875" style="21" customWidth="1"/>
    <col min="2563" max="2563" width="1.140625" style="21" customWidth="1"/>
    <col min="2564" max="2564" width="30.140625" style="21" customWidth="1"/>
    <col min="2565" max="2565" width="1.5703125" style="21" customWidth="1"/>
    <col min="2566" max="2566" width="21.140625" style="21" customWidth="1"/>
    <col min="2567" max="2567" width="1.5703125" style="21" customWidth="1"/>
    <col min="2568" max="2568" width="22.140625" style="21" customWidth="1"/>
    <col min="2569" max="2569" width="5.85546875" style="21" customWidth="1"/>
    <col min="2570" max="2570" width="27.42578125" style="21" customWidth="1"/>
    <col min="2571" max="2571" width="4.5703125" style="21" customWidth="1"/>
    <col min="2572" max="2572" width="3.140625" style="21" customWidth="1"/>
    <col min="2573" max="2575" width="1.5703125" style="21" customWidth="1"/>
    <col min="2576" max="2576" width="4.85546875" style="21" customWidth="1"/>
    <col min="2577" max="2578" width="1.5703125" style="21" customWidth="1"/>
    <col min="2579" max="2817" width="9.140625" style="21"/>
    <col min="2818" max="2818" width="17.85546875" style="21" customWidth="1"/>
    <col min="2819" max="2819" width="1.140625" style="21" customWidth="1"/>
    <col min="2820" max="2820" width="30.140625" style="21" customWidth="1"/>
    <col min="2821" max="2821" width="1.5703125" style="21" customWidth="1"/>
    <col min="2822" max="2822" width="21.140625" style="21" customWidth="1"/>
    <col min="2823" max="2823" width="1.5703125" style="21" customWidth="1"/>
    <col min="2824" max="2824" width="22.140625" style="21" customWidth="1"/>
    <col min="2825" max="2825" width="5.85546875" style="21" customWidth="1"/>
    <col min="2826" max="2826" width="27.42578125" style="21" customWidth="1"/>
    <col min="2827" max="2827" width="4.5703125" style="21" customWidth="1"/>
    <col min="2828" max="2828" width="3.140625" style="21" customWidth="1"/>
    <col min="2829" max="2831" width="1.5703125" style="21" customWidth="1"/>
    <col min="2832" max="2832" width="4.85546875" style="21" customWidth="1"/>
    <col min="2833" max="2834" width="1.5703125" style="21" customWidth="1"/>
    <col min="2835" max="3073" width="9.140625" style="21"/>
    <col min="3074" max="3074" width="17.85546875" style="21" customWidth="1"/>
    <col min="3075" max="3075" width="1.140625" style="21" customWidth="1"/>
    <col min="3076" max="3076" width="30.140625" style="21" customWidth="1"/>
    <col min="3077" max="3077" width="1.5703125" style="21" customWidth="1"/>
    <col min="3078" max="3078" width="21.140625" style="21" customWidth="1"/>
    <col min="3079" max="3079" width="1.5703125" style="21" customWidth="1"/>
    <col min="3080" max="3080" width="22.140625" style="21" customWidth="1"/>
    <col min="3081" max="3081" width="5.85546875" style="21" customWidth="1"/>
    <col min="3082" max="3082" width="27.42578125" style="21" customWidth="1"/>
    <col min="3083" max="3083" width="4.5703125" style="21" customWidth="1"/>
    <col min="3084" max="3084" width="3.140625" style="21" customWidth="1"/>
    <col min="3085" max="3087" width="1.5703125" style="21" customWidth="1"/>
    <col min="3088" max="3088" width="4.85546875" style="21" customWidth="1"/>
    <col min="3089" max="3090" width="1.5703125" style="21" customWidth="1"/>
    <col min="3091" max="3329" width="9.140625" style="21"/>
    <col min="3330" max="3330" width="17.85546875" style="21" customWidth="1"/>
    <col min="3331" max="3331" width="1.140625" style="21" customWidth="1"/>
    <col min="3332" max="3332" width="30.140625" style="21" customWidth="1"/>
    <col min="3333" max="3333" width="1.5703125" style="21" customWidth="1"/>
    <col min="3334" max="3334" width="21.140625" style="21" customWidth="1"/>
    <col min="3335" max="3335" width="1.5703125" style="21" customWidth="1"/>
    <col min="3336" max="3336" width="22.140625" style="21" customWidth="1"/>
    <col min="3337" max="3337" width="5.85546875" style="21" customWidth="1"/>
    <col min="3338" max="3338" width="27.42578125" style="21" customWidth="1"/>
    <col min="3339" max="3339" width="4.5703125" style="21" customWidth="1"/>
    <col min="3340" max="3340" width="3.140625" style="21" customWidth="1"/>
    <col min="3341" max="3343" width="1.5703125" style="21" customWidth="1"/>
    <col min="3344" max="3344" width="4.85546875" style="21" customWidth="1"/>
    <col min="3345" max="3346" width="1.5703125" style="21" customWidth="1"/>
    <col min="3347" max="3585" width="9.140625" style="21"/>
    <col min="3586" max="3586" width="17.85546875" style="21" customWidth="1"/>
    <col min="3587" max="3587" width="1.140625" style="21" customWidth="1"/>
    <col min="3588" max="3588" width="30.140625" style="21" customWidth="1"/>
    <col min="3589" max="3589" width="1.5703125" style="21" customWidth="1"/>
    <col min="3590" max="3590" width="21.140625" style="21" customWidth="1"/>
    <col min="3591" max="3591" width="1.5703125" style="21" customWidth="1"/>
    <col min="3592" max="3592" width="22.140625" style="21" customWidth="1"/>
    <col min="3593" max="3593" width="5.85546875" style="21" customWidth="1"/>
    <col min="3594" max="3594" width="27.42578125" style="21" customWidth="1"/>
    <col min="3595" max="3595" width="4.5703125" style="21" customWidth="1"/>
    <col min="3596" max="3596" width="3.140625" style="21" customWidth="1"/>
    <col min="3597" max="3599" width="1.5703125" style="21" customWidth="1"/>
    <col min="3600" max="3600" width="4.85546875" style="21" customWidth="1"/>
    <col min="3601" max="3602" width="1.5703125" style="21" customWidth="1"/>
    <col min="3603" max="3841" width="9.140625" style="21"/>
    <col min="3842" max="3842" width="17.85546875" style="21" customWidth="1"/>
    <col min="3843" max="3843" width="1.140625" style="21" customWidth="1"/>
    <col min="3844" max="3844" width="30.140625" style="21" customWidth="1"/>
    <col min="3845" max="3845" width="1.5703125" style="21" customWidth="1"/>
    <col min="3846" max="3846" width="21.140625" style="21" customWidth="1"/>
    <col min="3847" max="3847" width="1.5703125" style="21" customWidth="1"/>
    <col min="3848" max="3848" width="22.140625" style="21" customWidth="1"/>
    <col min="3849" max="3849" width="5.85546875" style="21" customWidth="1"/>
    <col min="3850" max="3850" width="27.42578125" style="21" customWidth="1"/>
    <col min="3851" max="3851" width="4.5703125" style="21" customWidth="1"/>
    <col min="3852" max="3852" width="3.140625" style="21" customWidth="1"/>
    <col min="3853" max="3855" width="1.5703125" style="21" customWidth="1"/>
    <col min="3856" max="3856" width="4.85546875" style="21" customWidth="1"/>
    <col min="3857" max="3858" width="1.5703125" style="21" customWidth="1"/>
    <col min="3859" max="4097" width="9.140625" style="21"/>
    <col min="4098" max="4098" width="17.85546875" style="21" customWidth="1"/>
    <col min="4099" max="4099" width="1.140625" style="21" customWidth="1"/>
    <col min="4100" max="4100" width="30.140625" style="21" customWidth="1"/>
    <col min="4101" max="4101" width="1.5703125" style="21" customWidth="1"/>
    <col min="4102" max="4102" width="21.140625" style="21" customWidth="1"/>
    <col min="4103" max="4103" width="1.5703125" style="21" customWidth="1"/>
    <col min="4104" max="4104" width="22.140625" style="21" customWidth="1"/>
    <col min="4105" max="4105" width="5.85546875" style="21" customWidth="1"/>
    <col min="4106" max="4106" width="27.42578125" style="21" customWidth="1"/>
    <col min="4107" max="4107" width="4.5703125" style="21" customWidth="1"/>
    <col min="4108" max="4108" width="3.140625" style="21" customWidth="1"/>
    <col min="4109" max="4111" width="1.5703125" style="21" customWidth="1"/>
    <col min="4112" max="4112" width="4.85546875" style="21" customWidth="1"/>
    <col min="4113" max="4114" width="1.5703125" style="21" customWidth="1"/>
    <col min="4115" max="4353" width="9.140625" style="21"/>
    <col min="4354" max="4354" width="17.85546875" style="21" customWidth="1"/>
    <col min="4355" max="4355" width="1.140625" style="21" customWidth="1"/>
    <col min="4356" max="4356" width="30.140625" style="21" customWidth="1"/>
    <col min="4357" max="4357" width="1.5703125" style="21" customWidth="1"/>
    <col min="4358" max="4358" width="21.140625" style="21" customWidth="1"/>
    <col min="4359" max="4359" width="1.5703125" style="21" customWidth="1"/>
    <col min="4360" max="4360" width="22.140625" style="21" customWidth="1"/>
    <col min="4361" max="4361" width="5.85546875" style="21" customWidth="1"/>
    <col min="4362" max="4362" width="27.42578125" style="21" customWidth="1"/>
    <col min="4363" max="4363" width="4.5703125" style="21" customWidth="1"/>
    <col min="4364" max="4364" width="3.140625" style="21" customWidth="1"/>
    <col min="4365" max="4367" width="1.5703125" style="21" customWidth="1"/>
    <col min="4368" max="4368" width="4.85546875" style="21" customWidth="1"/>
    <col min="4369" max="4370" width="1.5703125" style="21" customWidth="1"/>
    <col min="4371" max="4609" width="9.140625" style="21"/>
    <col min="4610" max="4610" width="17.85546875" style="21" customWidth="1"/>
    <col min="4611" max="4611" width="1.140625" style="21" customWidth="1"/>
    <col min="4612" max="4612" width="30.140625" style="21" customWidth="1"/>
    <col min="4613" max="4613" width="1.5703125" style="21" customWidth="1"/>
    <col min="4614" max="4614" width="21.140625" style="21" customWidth="1"/>
    <col min="4615" max="4615" width="1.5703125" style="21" customWidth="1"/>
    <col min="4616" max="4616" width="22.140625" style="21" customWidth="1"/>
    <col min="4617" max="4617" width="5.85546875" style="21" customWidth="1"/>
    <col min="4618" max="4618" width="27.42578125" style="21" customWidth="1"/>
    <col min="4619" max="4619" width="4.5703125" style="21" customWidth="1"/>
    <col min="4620" max="4620" width="3.140625" style="21" customWidth="1"/>
    <col min="4621" max="4623" width="1.5703125" style="21" customWidth="1"/>
    <col min="4624" max="4624" width="4.85546875" style="21" customWidth="1"/>
    <col min="4625" max="4626" width="1.5703125" style="21" customWidth="1"/>
    <col min="4627" max="4865" width="9.140625" style="21"/>
    <col min="4866" max="4866" width="17.85546875" style="21" customWidth="1"/>
    <col min="4867" max="4867" width="1.140625" style="21" customWidth="1"/>
    <col min="4868" max="4868" width="30.140625" style="21" customWidth="1"/>
    <col min="4869" max="4869" width="1.5703125" style="21" customWidth="1"/>
    <col min="4870" max="4870" width="21.140625" style="21" customWidth="1"/>
    <col min="4871" max="4871" width="1.5703125" style="21" customWidth="1"/>
    <col min="4872" max="4872" width="22.140625" style="21" customWidth="1"/>
    <col min="4873" max="4873" width="5.85546875" style="21" customWidth="1"/>
    <col min="4874" max="4874" width="27.42578125" style="21" customWidth="1"/>
    <col min="4875" max="4875" width="4.5703125" style="21" customWidth="1"/>
    <col min="4876" max="4876" width="3.140625" style="21" customWidth="1"/>
    <col min="4877" max="4879" width="1.5703125" style="21" customWidth="1"/>
    <col min="4880" max="4880" width="4.85546875" style="21" customWidth="1"/>
    <col min="4881" max="4882" width="1.5703125" style="21" customWidth="1"/>
    <col min="4883" max="5121" width="9.140625" style="21"/>
    <col min="5122" max="5122" width="17.85546875" style="21" customWidth="1"/>
    <col min="5123" max="5123" width="1.140625" style="21" customWidth="1"/>
    <col min="5124" max="5124" width="30.140625" style="21" customWidth="1"/>
    <col min="5125" max="5125" width="1.5703125" style="21" customWidth="1"/>
    <col min="5126" max="5126" width="21.140625" style="21" customWidth="1"/>
    <col min="5127" max="5127" width="1.5703125" style="21" customWidth="1"/>
    <col min="5128" max="5128" width="22.140625" style="21" customWidth="1"/>
    <col min="5129" max="5129" width="5.85546875" style="21" customWidth="1"/>
    <col min="5130" max="5130" width="27.42578125" style="21" customWidth="1"/>
    <col min="5131" max="5131" width="4.5703125" style="21" customWidth="1"/>
    <col min="5132" max="5132" width="3.140625" style="21" customWidth="1"/>
    <col min="5133" max="5135" width="1.5703125" style="21" customWidth="1"/>
    <col min="5136" max="5136" width="4.85546875" style="21" customWidth="1"/>
    <col min="5137" max="5138" width="1.5703125" style="21" customWidth="1"/>
    <col min="5139" max="5377" width="9.140625" style="21"/>
    <col min="5378" max="5378" width="17.85546875" style="21" customWidth="1"/>
    <col min="5379" max="5379" width="1.140625" style="21" customWidth="1"/>
    <col min="5380" max="5380" width="30.140625" style="21" customWidth="1"/>
    <col min="5381" max="5381" width="1.5703125" style="21" customWidth="1"/>
    <col min="5382" max="5382" width="21.140625" style="21" customWidth="1"/>
    <col min="5383" max="5383" width="1.5703125" style="21" customWidth="1"/>
    <col min="5384" max="5384" width="22.140625" style="21" customWidth="1"/>
    <col min="5385" max="5385" width="5.85546875" style="21" customWidth="1"/>
    <col min="5386" max="5386" width="27.42578125" style="21" customWidth="1"/>
    <col min="5387" max="5387" width="4.5703125" style="21" customWidth="1"/>
    <col min="5388" max="5388" width="3.140625" style="21" customWidth="1"/>
    <col min="5389" max="5391" width="1.5703125" style="21" customWidth="1"/>
    <col min="5392" max="5392" width="4.85546875" style="21" customWidth="1"/>
    <col min="5393" max="5394" width="1.5703125" style="21" customWidth="1"/>
    <col min="5395" max="5633" width="9.140625" style="21"/>
    <col min="5634" max="5634" width="17.85546875" style="21" customWidth="1"/>
    <col min="5635" max="5635" width="1.140625" style="21" customWidth="1"/>
    <col min="5636" max="5636" width="30.140625" style="21" customWidth="1"/>
    <col min="5637" max="5637" width="1.5703125" style="21" customWidth="1"/>
    <col min="5638" max="5638" width="21.140625" style="21" customWidth="1"/>
    <col min="5639" max="5639" width="1.5703125" style="21" customWidth="1"/>
    <col min="5640" max="5640" width="22.140625" style="21" customWidth="1"/>
    <col min="5641" max="5641" width="5.85546875" style="21" customWidth="1"/>
    <col min="5642" max="5642" width="27.42578125" style="21" customWidth="1"/>
    <col min="5643" max="5643" width="4.5703125" style="21" customWidth="1"/>
    <col min="5644" max="5644" width="3.140625" style="21" customWidth="1"/>
    <col min="5645" max="5647" width="1.5703125" style="21" customWidth="1"/>
    <col min="5648" max="5648" width="4.85546875" style="21" customWidth="1"/>
    <col min="5649" max="5650" width="1.5703125" style="21" customWidth="1"/>
    <col min="5651" max="5889" width="9.140625" style="21"/>
    <col min="5890" max="5890" width="17.85546875" style="21" customWidth="1"/>
    <col min="5891" max="5891" width="1.140625" style="21" customWidth="1"/>
    <col min="5892" max="5892" width="30.140625" style="21" customWidth="1"/>
    <col min="5893" max="5893" width="1.5703125" style="21" customWidth="1"/>
    <col min="5894" max="5894" width="21.140625" style="21" customWidth="1"/>
    <col min="5895" max="5895" width="1.5703125" style="21" customWidth="1"/>
    <col min="5896" max="5896" width="22.140625" style="21" customWidth="1"/>
    <col min="5897" max="5897" width="5.85546875" style="21" customWidth="1"/>
    <col min="5898" max="5898" width="27.42578125" style="21" customWidth="1"/>
    <col min="5899" max="5899" width="4.5703125" style="21" customWidth="1"/>
    <col min="5900" max="5900" width="3.140625" style="21" customWidth="1"/>
    <col min="5901" max="5903" width="1.5703125" style="21" customWidth="1"/>
    <col min="5904" max="5904" width="4.85546875" style="21" customWidth="1"/>
    <col min="5905" max="5906" width="1.5703125" style="21" customWidth="1"/>
    <col min="5907" max="6145" width="9.140625" style="21"/>
    <col min="6146" max="6146" width="17.85546875" style="21" customWidth="1"/>
    <col min="6147" max="6147" width="1.140625" style="21" customWidth="1"/>
    <col min="6148" max="6148" width="30.140625" style="21" customWidth="1"/>
    <col min="6149" max="6149" width="1.5703125" style="21" customWidth="1"/>
    <col min="6150" max="6150" width="21.140625" style="21" customWidth="1"/>
    <col min="6151" max="6151" width="1.5703125" style="21" customWidth="1"/>
    <col min="6152" max="6152" width="22.140625" style="21" customWidth="1"/>
    <col min="6153" max="6153" width="5.85546875" style="21" customWidth="1"/>
    <col min="6154" max="6154" width="27.42578125" style="21" customWidth="1"/>
    <col min="6155" max="6155" width="4.5703125" style="21" customWidth="1"/>
    <col min="6156" max="6156" width="3.140625" style="21" customWidth="1"/>
    <col min="6157" max="6159" width="1.5703125" style="21" customWidth="1"/>
    <col min="6160" max="6160" width="4.85546875" style="21" customWidth="1"/>
    <col min="6161" max="6162" width="1.5703125" style="21" customWidth="1"/>
    <col min="6163" max="6401" width="9.140625" style="21"/>
    <col min="6402" max="6402" width="17.85546875" style="21" customWidth="1"/>
    <col min="6403" max="6403" width="1.140625" style="21" customWidth="1"/>
    <col min="6404" max="6404" width="30.140625" style="21" customWidth="1"/>
    <col min="6405" max="6405" width="1.5703125" style="21" customWidth="1"/>
    <col min="6406" max="6406" width="21.140625" style="21" customWidth="1"/>
    <col min="6407" max="6407" width="1.5703125" style="21" customWidth="1"/>
    <col min="6408" max="6408" width="22.140625" style="21" customWidth="1"/>
    <col min="6409" max="6409" width="5.85546875" style="21" customWidth="1"/>
    <col min="6410" max="6410" width="27.42578125" style="21" customWidth="1"/>
    <col min="6411" max="6411" width="4.5703125" style="21" customWidth="1"/>
    <col min="6412" max="6412" width="3.140625" style="21" customWidth="1"/>
    <col min="6413" max="6415" width="1.5703125" style="21" customWidth="1"/>
    <col min="6416" max="6416" width="4.85546875" style="21" customWidth="1"/>
    <col min="6417" max="6418" width="1.5703125" style="21" customWidth="1"/>
    <col min="6419" max="6657" width="9.140625" style="21"/>
    <col min="6658" max="6658" width="17.85546875" style="21" customWidth="1"/>
    <col min="6659" max="6659" width="1.140625" style="21" customWidth="1"/>
    <col min="6660" max="6660" width="30.140625" style="21" customWidth="1"/>
    <col min="6661" max="6661" width="1.5703125" style="21" customWidth="1"/>
    <col min="6662" max="6662" width="21.140625" style="21" customWidth="1"/>
    <col min="6663" max="6663" width="1.5703125" style="21" customWidth="1"/>
    <col min="6664" max="6664" width="22.140625" style="21" customWidth="1"/>
    <col min="6665" max="6665" width="5.85546875" style="21" customWidth="1"/>
    <col min="6666" max="6666" width="27.42578125" style="21" customWidth="1"/>
    <col min="6667" max="6667" width="4.5703125" style="21" customWidth="1"/>
    <col min="6668" max="6668" width="3.140625" style="21" customWidth="1"/>
    <col min="6669" max="6671" width="1.5703125" style="21" customWidth="1"/>
    <col min="6672" max="6672" width="4.85546875" style="21" customWidth="1"/>
    <col min="6673" max="6674" width="1.5703125" style="21" customWidth="1"/>
    <col min="6675" max="6913" width="9.140625" style="21"/>
    <col min="6914" max="6914" width="17.85546875" style="21" customWidth="1"/>
    <col min="6915" max="6915" width="1.140625" style="21" customWidth="1"/>
    <col min="6916" max="6916" width="30.140625" style="21" customWidth="1"/>
    <col min="6917" max="6917" width="1.5703125" style="21" customWidth="1"/>
    <col min="6918" max="6918" width="21.140625" style="21" customWidth="1"/>
    <col min="6919" max="6919" width="1.5703125" style="21" customWidth="1"/>
    <col min="6920" max="6920" width="22.140625" style="21" customWidth="1"/>
    <col min="6921" max="6921" width="5.85546875" style="21" customWidth="1"/>
    <col min="6922" max="6922" width="27.42578125" style="21" customWidth="1"/>
    <col min="6923" max="6923" width="4.5703125" style="21" customWidth="1"/>
    <col min="6924" max="6924" width="3.140625" style="21" customWidth="1"/>
    <col min="6925" max="6927" width="1.5703125" style="21" customWidth="1"/>
    <col min="6928" max="6928" width="4.85546875" style="21" customWidth="1"/>
    <col min="6929" max="6930" width="1.5703125" style="21" customWidth="1"/>
    <col min="6931" max="7169" width="9.140625" style="21"/>
    <col min="7170" max="7170" width="17.85546875" style="21" customWidth="1"/>
    <col min="7171" max="7171" width="1.140625" style="21" customWidth="1"/>
    <col min="7172" max="7172" width="30.140625" style="21" customWidth="1"/>
    <col min="7173" max="7173" width="1.5703125" style="21" customWidth="1"/>
    <col min="7174" max="7174" width="21.140625" style="21" customWidth="1"/>
    <col min="7175" max="7175" width="1.5703125" style="21" customWidth="1"/>
    <col min="7176" max="7176" width="22.140625" style="21" customWidth="1"/>
    <col min="7177" max="7177" width="5.85546875" style="21" customWidth="1"/>
    <col min="7178" max="7178" width="27.42578125" style="21" customWidth="1"/>
    <col min="7179" max="7179" width="4.5703125" style="21" customWidth="1"/>
    <col min="7180" max="7180" width="3.140625" style="21" customWidth="1"/>
    <col min="7181" max="7183" width="1.5703125" style="21" customWidth="1"/>
    <col min="7184" max="7184" width="4.85546875" style="21" customWidth="1"/>
    <col min="7185" max="7186" width="1.5703125" style="21" customWidth="1"/>
    <col min="7187" max="7425" width="9.140625" style="21"/>
    <col min="7426" max="7426" width="17.85546875" style="21" customWidth="1"/>
    <col min="7427" max="7427" width="1.140625" style="21" customWidth="1"/>
    <col min="7428" max="7428" width="30.140625" style="21" customWidth="1"/>
    <col min="7429" max="7429" width="1.5703125" style="21" customWidth="1"/>
    <col min="7430" max="7430" width="21.140625" style="21" customWidth="1"/>
    <col min="7431" max="7431" width="1.5703125" style="21" customWidth="1"/>
    <col min="7432" max="7432" width="22.140625" style="21" customWidth="1"/>
    <col min="7433" max="7433" width="5.85546875" style="21" customWidth="1"/>
    <col min="7434" max="7434" width="27.42578125" style="21" customWidth="1"/>
    <col min="7435" max="7435" width="4.5703125" style="21" customWidth="1"/>
    <col min="7436" max="7436" width="3.140625" style="21" customWidth="1"/>
    <col min="7437" max="7439" width="1.5703125" style="21" customWidth="1"/>
    <col min="7440" max="7440" width="4.85546875" style="21" customWidth="1"/>
    <col min="7441" max="7442" width="1.5703125" style="21" customWidth="1"/>
    <col min="7443" max="7681" width="9.140625" style="21"/>
    <col min="7682" max="7682" width="17.85546875" style="21" customWidth="1"/>
    <col min="7683" max="7683" width="1.140625" style="21" customWidth="1"/>
    <col min="7684" max="7684" width="30.140625" style="21" customWidth="1"/>
    <col min="7685" max="7685" width="1.5703125" style="21" customWidth="1"/>
    <col min="7686" max="7686" width="21.140625" style="21" customWidth="1"/>
    <col min="7687" max="7687" width="1.5703125" style="21" customWidth="1"/>
    <col min="7688" max="7688" width="22.140625" style="21" customWidth="1"/>
    <col min="7689" max="7689" width="5.85546875" style="21" customWidth="1"/>
    <col min="7690" max="7690" width="27.42578125" style="21" customWidth="1"/>
    <col min="7691" max="7691" width="4.5703125" style="21" customWidth="1"/>
    <col min="7692" max="7692" width="3.140625" style="21" customWidth="1"/>
    <col min="7693" max="7695" width="1.5703125" style="21" customWidth="1"/>
    <col min="7696" max="7696" width="4.85546875" style="21" customWidth="1"/>
    <col min="7697" max="7698" width="1.5703125" style="21" customWidth="1"/>
    <col min="7699" max="7937" width="9.140625" style="21"/>
    <col min="7938" max="7938" width="17.85546875" style="21" customWidth="1"/>
    <col min="7939" max="7939" width="1.140625" style="21" customWidth="1"/>
    <col min="7940" max="7940" width="30.140625" style="21" customWidth="1"/>
    <col min="7941" max="7941" width="1.5703125" style="21" customWidth="1"/>
    <col min="7942" max="7942" width="21.140625" style="21" customWidth="1"/>
    <col min="7943" max="7943" width="1.5703125" style="21" customWidth="1"/>
    <col min="7944" max="7944" width="22.140625" style="21" customWidth="1"/>
    <col min="7945" max="7945" width="5.85546875" style="21" customWidth="1"/>
    <col min="7946" max="7946" width="27.42578125" style="21" customWidth="1"/>
    <col min="7947" max="7947" width="4.5703125" style="21" customWidth="1"/>
    <col min="7948" max="7948" width="3.140625" style="21" customWidth="1"/>
    <col min="7949" max="7951" width="1.5703125" style="21" customWidth="1"/>
    <col min="7952" max="7952" width="4.85546875" style="21" customWidth="1"/>
    <col min="7953" max="7954" width="1.5703125" style="21" customWidth="1"/>
    <col min="7955" max="8193" width="9.140625" style="21"/>
    <col min="8194" max="8194" width="17.85546875" style="21" customWidth="1"/>
    <col min="8195" max="8195" width="1.140625" style="21" customWidth="1"/>
    <col min="8196" max="8196" width="30.140625" style="21" customWidth="1"/>
    <col min="8197" max="8197" width="1.5703125" style="21" customWidth="1"/>
    <col min="8198" max="8198" width="21.140625" style="21" customWidth="1"/>
    <col min="8199" max="8199" width="1.5703125" style="21" customWidth="1"/>
    <col min="8200" max="8200" width="22.140625" style="21" customWidth="1"/>
    <col min="8201" max="8201" width="5.85546875" style="21" customWidth="1"/>
    <col min="8202" max="8202" width="27.42578125" style="21" customWidth="1"/>
    <col min="8203" max="8203" width="4.5703125" style="21" customWidth="1"/>
    <col min="8204" max="8204" width="3.140625" style="21" customWidth="1"/>
    <col min="8205" max="8207" width="1.5703125" style="21" customWidth="1"/>
    <col min="8208" max="8208" width="4.85546875" style="21" customWidth="1"/>
    <col min="8209" max="8210" width="1.5703125" style="21" customWidth="1"/>
    <col min="8211" max="8449" width="9.140625" style="21"/>
    <col min="8450" max="8450" width="17.85546875" style="21" customWidth="1"/>
    <col min="8451" max="8451" width="1.140625" style="21" customWidth="1"/>
    <col min="8452" max="8452" width="30.140625" style="21" customWidth="1"/>
    <col min="8453" max="8453" width="1.5703125" style="21" customWidth="1"/>
    <col min="8454" max="8454" width="21.140625" style="21" customWidth="1"/>
    <col min="8455" max="8455" width="1.5703125" style="21" customWidth="1"/>
    <col min="8456" max="8456" width="22.140625" style="21" customWidth="1"/>
    <col min="8457" max="8457" width="5.85546875" style="21" customWidth="1"/>
    <col min="8458" max="8458" width="27.42578125" style="21" customWidth="1"/>
    <col min="8459" max="8459" width="4.5703125" style="21" customWidth="1"/>
    <col min="8460" max="8460" width="3.140625" style="21" customWidth="1"/>
    <col min="8461" max="8463" width="1.5703125" style="21" customWidth="1"/>
    <col min="8464" max="8464" width="4.85546875" style="21" customWidth="1"/>
    <col min="8465" max="8466" width="1.5703125" style="21" customWidth="1"/>
    <col min="8467" max="8705" width="9.140625" style="21"/>
    <col min="8706" max="8706" width="17.85546875" style="21" customWidth="1"/>
    <col min="8707" max="8707" width="1.140625" style="21" customWidth="1"/>
    <col min="8708" max="8708" width="30.140625" style="21" customWidth="1"/>
    <col min="8709" max="8709" width="1.5703125" style="21" customWidth="1"/>
    <col min="8710" max="8710" width="21.140625" style="21" customWidth="1"/>
    <col min="8711" max="8711" width="1.5703125" style="21" customWidth="1"/>
    <col min="8712" max="8712" width="22.140625" style="21" customWidth="1"/>
    <col min="8713" max="8713" width="5.85546875" style="21" customWidth="1"/>
    <col min="8714" max="8714" width="27.42578125" style="21" customWidth="1"/>
    <col min="8715" max="8715" width="4.5703125" style="21" customWidth="1"/>
    <col min="8716" max="8716" width="3.140625" style="21" customWidth="1"/>
    <col min="8717" max="8719" width="1.5703125" style="21" customWidth="1"/>
    <col min="8720" max="8720" width="4.85546875" style="21" customWidth="1"/>
    <col min="8721" max="8722" width="1.5703125" style="21" customWidth="1"/>
    <col min="8723" max="8961" width="9.140625" style="21"/>
    <col min="8962" max="8962" width="17.85546875" style="21" customWidth="1"/>
    <col min="8963" max="8963" width="1.140625" style="21" customWidth="1"/>
    <col min="8964" max="8964" width="30.140625" style="21" customWidth="1"/>
    <col min="8965" max="8965" width="1.5703125" style="21" customWidth="1"/>
    <col min="8966" max="8966" width="21.140625" style="21" customWidth="1"/>
    <col min="8967" max="8967" width="1.5703125" style="21" customWidth="1"/>
    <col min="8968" max="8968" width="22.140625" style="21" customWidth="1"/>
    <col min="8969" max="8969" width="5.85546875" style="21" customWidth="1"/>
    <col min="8970" max="8970" width="27.42578125" style="21" customWidth="1"/>
    <col min="8971" max="8971" width="4.5703125" style="21" customWidth="1"/>
    <col min="8972" max="8972" width="3.140625" style="21" customWidth="1"/>
    <col min="8973" max="8975" width="1.5703125" style="21" customWidth="1"/>
    <col min="8976" max="8976" width="4.85546875" style="21" customWidth="1"/>
    <col min="8977" max="8978" width="1.5703125" style="21" customWidth="1"/>
    <col min="8979" max="9217" width="9.140625" style="21"/>
    <col min="9218" max="9218" width="17.85546875" style="21" customWidth="1"/>
    <col min="9219" max="9219" width="1.140625" style="21" customWidth="1"/>
    <col min="9220" max="9220" width="30.140625" style="21" customWidth="1"/>
    <col min="9221" max="9221" width="1.5703125" style="21" customWidth="1"/>
    <col min="9222" max="9222" width="21.140625" style="21" customWidth="1"/>
    <col min="9223" max="9223" width="1.5703125" style="21" customWidth="1"/>
    <col min="9224" max="9224" width="22.140625" style="21" customWidth="1"/>
    <col min="9225" max="9225" width="5.85546875" style="21" customWidth="1"/>
    <col min="9226" max="9226" width="27.42578125" style="21" customWidth="1"/>
    <col min="9227" max="9227" width="4.5703125" style="21" customWidth="1"/>
    <col min="9228" max="9228" width="3.140625" style="21" customWidth="1"/>
    <col min="9229" max="9231" width="1.5703125" style="21" customWidth="1"/>
    <col min="9232" max="9232" width="4.85546875" style="21" customWidth="1"/>
    <col min="9233" max="9234" width="1.5703125" style="21" customWidth="1"/>
    <col min="9235" max="9473" width="9.140625" style="21"/>
    <col min="9474" max="9474" width="17.85546875" style="21" customWidth="1"/>
    <col min="9475" max="9475" width="1.140625" style="21" customWidth="1"/>
    <col min="9476" max="9476" width="30.140625" style="21" customWidth="1"/>
    <col min="9477" max="9477" width="1.5703125" style="21" customWidth="1"/>
    <col min="9478" max="9478" width="21.140625" style="21" customWidth="1"/>
    <col min="9479" max="9479" width="1.5703125" style="21" customWidth="1"/>
    <col min="9480" max="9480" width="22.140625" style="21" customWidth="1"/>
    <col min="9481" max="9481" width="5.85546875" style="21" customWidth="1"/>
    <col min="9482" max="9482" width="27.42578125" style="21" customWidth="1"/>
    <col min="9483" max="9483" width="4.5703125" style="21" customWidth="1"/>
    <col min="9484" max="9484" width="3.140625" style="21" customWidth="1"/>
    <col min="9485" max="9487" width="1.5703125" style="21" customWidth="1"/>
    <col min="9488" max="9488" width="4.85546875" style="21" customWidth="1"/>
    <col min="9489" max="9490" width="1.5703125" style="21" customWidth="1"/>
    <col min="9491" max="9729" width="9.140625" style="21"/>
    <col min="9730" max="9730" width="17.85546875" style="21" customWidth="1"/>
    <col min="9731" max="9731" width="1.140625" style="21" customWidth="1"/>
    <col min="9732" max="9732" width="30.140625" style="21" customWidth="1"/>
    <col min="9733" max="9733" width="1.5703125" style="21" customWidth="1"/>
    <col min="9734" max="9734" width="21.140625" style="21" customWidth="1"/>
    <col min="9735" max="9735" width="1.5703125" style="21" customWidth="1"/>
    <col min="9736" max="9736" width="22.140625" style="21" customWidth="1"/>
    <col min="9737" max="9737" width="5.85546875" style="21" customWidth="1"/>
    <col min="9738" max="9738" width="27.42578125" style="21" customWidth="1"/>
    <col min="9739" max="9739" width="4.5703125" style="21" customWidth="1"/>
    <col min="9740" max="9740" width="3.140625" style="21" customWidth="1"/>
    <col min="9741" max="9743" width="1.5703125" style="21" customWidth="1"/>
    <col min="9744" max="9744" width="4.85546875" style="21" customWidth="1"/>
    <col min="9745" max="9746" width="1.5703125" style="21" customWidth="1"/>
    <col min="9747" max="9985" width="9.140625" style="21"/>
    <col min="9986" max="9986" width="17.85546875" style="21" customWidth="1"/>
    <col min="9987" max="9987" width="1.140625" style="21" customWidth="1"/>
    <col min="9988" max="9988" width="30.140625" style="21" customWidth="1"/>
    <col min="9989" max="9989" width="1.5703125" style="21" customWidth="1"/>
    <col min="9990" max="9990" width="21.140625" style="21" customWidth="1"/>
    <col min="9991" max="9991" width="1.5703125" style="21" customWidth="1"/>
    <col min="9992" max="9992" width="22.140625" style="21" customWidth="1"/>
    <col min="9993" max="9993" width="5.85546875" style="21" customWidth="1"/>
    <col min="9994" max="9994" width="27.42578125" style="21" customWidth="1"/>
    <col min="9995" max="9995" width="4.5703125" style="21" customWidth="1"/>
    <col min="9996" max="9996" width="3.140625" style="21" customWidth="1"/>
    <col min="9997" max="9999" width="1.5703125" style="21" customWidth="1"/>
    <col min="10000" max="10000" width="4.85546875" style="21" customWidth="1"/>
    <col min="10001" max="10002" width="1.5703125" style="21" customWidth="1"/>
    <col min="10003" max="10241" width="9.140625" style="21"/>
    <col min="10242" max="10242" width="17.85546875" style="21" customWidth="1"/>
    <col min="10243" max="10243" width="1.140625" style="21" customWidth="1"/>
    <col min="10244" max="10244" width="30.140625" style="21" customWidth="1"/>
    <col min="10245" max="10245" width="1.5703125" style="21" customWidth="1"/>
    <col min="10246" max="10246" width="21.140625" style="21" customWidth="1"/>
    <col min="10247" max="10247" width="1.5703125" style="21" customWidth="1"/>
    <col min="10248" max="10248" width="22.140625" style="21" customWidth="1"/>
    <col min="10249" max="10249" width="5.85546875" style="21" customWidth="1"/>
    <col min="10250" max="10250" width="27.42578125" style="21" customWidth="1"/>
    <col min="10251" max="10251" width="4.5703125" style="21" customWidth="1"/>
    <col min="10252" max="10252" width="3.140625" style="21" customWidth="1"/>
    <col min="10253" max="10255" width="1.5703125" style="21" customWidth="1"/>
    <col min="10256" max="10256" width="4.85546875" style="21" customWidth="1"/>
    <col min="10257" max="10258" width="1.5703125" style="21" customWidth="1"/>
    <col min="10259" max="10497" width="9.140625" style="21"/>
    <col min="10498" max="10498" width="17.85546875" style="21" customWidth="1"/>
    <col min="10499" max="10499" width="1.140625" style="21" customWidth="1"/>
    <col min="10500" max="10500" width="30.140625" style="21" customWidth="1"/>
    <col min="10501" max="10501" width="1.5703125" style="21" customWidth="1"/>
    <col min="10502" max="10502" width="21.140625" style="21" customWidth="1"/>
    <col min="10503" max="10503" width="1.5703125" style="21" customWidth="1"/>
    <col min="10504" max="10504" width="22.140625" style="21" customWidth="1"/>
    <col min="10505" max="10505" width="5.85546875" style="21" customWidth="1"/>
    <col min="10506" max="10506" width="27.42578125" style="21" customWidth="1"/>
    <col min="10507" max="10507" width="4.5703125" style="21" customWidth="1"/>
    <col min="10508" max="10508" width="3.140625" style="21" customWidth="1"/>
    <col min="10509" max="10511" width="1.5703125" style="21" customWidth="1"/>
    <col min="10512" max="10512" width="4.85546875" style="21" customWidth="1"/>
    <col min="10513" max="10514" width="1.5703125" style="21" customWidth="1"/>
    <col min="10515" max="10753" width="9.140625" style="21"/>
    <col min="10754" max="10754" width="17.85546875" style="21" customWidth="1"/>
    <col min="10755" max="10755" width="1.140625" style="21" customWidth="1"/>
    <col min="10756" max="10756" width="30.140625" style="21" customWidth="1"/>
    <col min="10757" max="10757" width="1.5703125" style="21" customWidth="1"/>
    <col min="10758" max="10758" width="21.140625" style="21" customWidth="1"/>
    <col min="10759" max="10759" width="1.5703125" style="21" customWidth="1"/>
    <col min="10760" max="10760" width="22.140625" style="21" customWidth="1"/>
    <col min="10761" max="10761" width="5.85546875" style="21" customWidth="1"/>
    <col min="10762" max="10762" width="27.42578125" style="21" customWidth="1"/>
    <col min="10763" max="10763" width="4.5703125" style="21" customWidth="1"/>
    <col min="10764" max="10764" width="3.140625" style="21" customWidth="1"/>
    <col min="10765" max="10767" width="1.5703125" style="21" customWidth="1"/>
    <col min="10768" max="10768" width="4.85546875" style="21" customWidth="1"/>
    <col min="10769" max="10770" width="1.5703125" style="21" customWidth="1"/>
    <col min="10771" max="11009" width="9.140625" style="21"/>
    <col min="11010" max="11010" width="17.85546875" style="21" customWidth="1"/>
    <col min="11011" max="11011" width="1.140625" style="21" customWidth="1"/>
    <col min="11012" max="11012" width="30.140625" style="21" customWidth="1"/>
    <col min="11013" max="11013" width="1.5703125" style="21" customWidth="1"/>
    <col min="11014" max="11014" width="21.140625" style="21" customWidth="1"/>
    <col min="11015" max="11015" width="1.5703125" style="21" customWidth="1"/>
    <col min="11016" max="11016" width="22.140625" style="21" customWidth="1"/>
    <col min="11017" max="11017" width="5.85546875" style="21" customWidth="1"/>
    <col min="11018" max="11018" width="27.42578125" style="21" customWidth="1"/>
    <col min="11019" max="11019" width="4.5703125" style="21" customWidth="1"/>
    <col min="11020" max="11020" width="3.140625" style="21" customWidth="1"/>
    <col min="11021" max="11023" width="1.5703125" style="21" customWidth="1"/>
    <col min="11024" max="11024" width="4.85546875" style="21" customWidth="1"/>
    <col min="11025" max="11026" width="1.5703125" style="21" customWidth="1"/>
    <col min="11027" max="11265" width="9.140625" style="21"/>
    <col min="11266" max="11266" width="17.85546875" style="21" customWidth="1"/>
    <col min="11267" max="11267" width="1.140625" style="21" customWidth="1"/>
    <col min="11268" max="11268" width="30.140625" style="21" customWidth="1"/>
    <col min="11269" max="11269" width="1.5703125" style="21" customWidth="1"/>
    <col min="11270" max="11270" width="21.140625" style="21" customWidth="1"/>
    <col min="11271" max="11271" width="1.5703125" style="21" customWidth="1"/>
    <col min="11272" max="11272" width="22.140625" style="21" customWidth="1"/>
    <col min="11273" max="11273" width="5.85546875" style="21" customWidth="1"/>
    <col min="11274" max="11274" width="27.42578125" style="21" customWidth="1"/>
    <col min="11275" max="11275" width="4.5703125" style="21" customWidth="1"/>
    <col min="11276" max="11276" width="3.140625" style="21" customWidth="1"/>
    <col min="11277" max="11279" width="1.5703125" style="21" customWidth="1"/>
    <col min="11280" max="11280" width="4.85546875" style="21" customWidth="1"/>
    <col min="11281" max="11282" width="1.5703125" style="21" customWidth="1"/>
    <col min="11283" max="11521" width="9.140625" style="21"/>
    <col min="11522" max="11522" width="17.85546875" style="21" customWidth="1"/>
    <col min="11523" max="11523" width="1.140625" style="21" customWidth="1"/>
    <col min="11524" max="11524" width="30.140625" style="21" customWidth="1"/>
    <col min="11525" max="11525" width="1.5703125" style="21" customWidth="1"/>
    <col min="11526" max="11526" width="21.140625" style="21" customWidth="1"/>
    <col min="11527" max="11527" width="1.5703125" style="21" customWidth="1"/>
    <col min="11528" max="11528" width="22.140625" style="21" customWidth="1"/>
    <col min="11529" max="11529" width="5.85546875" style="21" customWidth="1"/>
    <col min="11530" max="11530" width="27.42578125" style="21" customWidth="1"/>
    <col min="11531" max="11531" width="4.5703125" style="21" customWidth="1"/>
    <col min="11532" max="11532" width="3.140625" style="21" customWidth="1"/>
    <col min="11533" max="11535" width="1.5703125" style="21" customWidth="1"/>
    <col min="11536" max="11536" width="4.85546875" style="21" customWidth="1"/>
    <col min="11537" max="11538" width="1.5703125" style="21" customWidth="1"/>
    <col min="11539" max="11777" width="9.140625" style="21"/>
    <col min="11778" max="11778" width="17.85546875" style="21" customWidth="1"/>
    <col min="11779" max="11779" width="1.140625" style="21" customWidth="1"/>
    <col min="11780" max="11780" width="30.140625" style="21" customWidth="1"/>
    <col min="11781" max="11781" width="1.5703125" style="21" customWidth="1"/>
    <col min="11782" max="11782" width="21.140625" style="21" customWidth="1"/>
    <col min="11783" max="11783" width="1.5703125" style="21" customWidth="1"/>
    <col min="11784" max="11784" width="22.140625" style="21" customWidth="1"/>
    <col min="11785" max="11785" width="5.85546875" style="21" customWidth="1"/>
    <col min="11786" max="11786" width="27.42578125" style="21" customWidth="1"/>
    <col min="11787" max="11787" width="4.5703125" style="21" customWidth="1"/>
    <col min="11788" max="11788" width="3.140625" style="21" customWidth="1"/>
    <col min="11789" max="11791" width="1.5703125" style="21" customWidth="1"/>
    <col min="11792" max="11792" width="4.85546875" style="21" customWidth="1"/>
    <col min="11793" max="11794" width="1.5703125" style="21" customWidth="1"/>
    <col min="11795" max="12033" width="9.140625" style="21"/>
    <col min="12034" max="12034" width="17.85546875" style="21" customWidth="1"/>
    <col min="12035" max="12035" width="1.140625" style="21" customWidth="1"/>
    <col min="12036" max="12036" width="30.140625" style="21" customWidth="1"/>
    <col min="12037" max="12037" width="1.5703125" style="21" customWidth="1"/>
    <col min="12038" max="12038" width="21.140625" style="21" customWidth="1"/>
    <col min="12039" max="12039" width="1.5703125" style="21" customWidth="1"/>
    <col min="12040" max="12040" width="22.140625" style="21" customWidth="1"/>
    <col min="12041" max="12041" width="5.85546875" style="21" customWidth="1"/>
    <col min="12042" max="12042" width="27.42578125" style="21" customWidth="1"/>
    <col min="12043" max="12043" width="4.5703125" style="21" customWidth="1"/>
    <col min="12044" max="12044" width="3.140625" style="21" customWidth="1"/>
    <col min="12045" max="12047" width="1.5703125" style="21" customWidth="1"/>
    <col min="12048" max="12048" width="4.85546875" style="21" customWidth="1"/>
    <col min="12049" max="12050" width="1.5703125" style="21" customWidth="1"/>
    <col min="12051" max="12289" width="9.140625" style="21"/>
    <col min="12290" max="12290" width="17.85546875" style="21" customWidth="1"/>
    <col min="12291" max="12291" width="1.140625" style="21" customWidth="1"/>
    <col min="12292" max="12292" width="30.140625" style="21" customWidth="1"/>
    <col min="12293" max="12293" width="1.5703125" style="21" customWidth="1"/>
    <col min="12294" max="12294" width="21.140625" style="21" customWidth="1"/>
    <col min="12295" max="12295" width="1.5703125" style="21" customWidth="1"/>
    <col min="12296" max="12296" width="22.140625" style="21" customWidth="1"/>
    <col min="12297" max="12297" width="5.85546875" style="21" customWidth="1"/>
    <col min="12298" max="12298" width="27.42578125" style="21" customWidth="1"/>
    <col min="12299" max="12299" width="4.5703125" style="21" customWidth="1"/>
    <col min="12300" max="12300" width="3.140625" style="21" customWidth="1"/>
    <col min="12301" max="12303" width="1.5703125" style="21" customWidth="1"/>
    <col min="12304" max="12304" width="4.85546875" style="21" customWidth="1"/>
    <col min="12305" max="12306" width="1.5703125" style="21" customWidth="1"/>
    <col min="12307" max="12545" width="9.140625" style="21"/>
    <col min="12546" max="12546" width="17.85546875" style="21" customWidth="1"/>
    <col min="12547" max="12547" width="1.140625" style="21" customWidth="1"/>
    <col min="12548" max="12548" width="30.140625" style="21" customWidth="1"/>
    <col min="12549" max="12549" width="1.5703125" style="21" customWidth="1"/>
    <col min="12550" max="12550" width="21.140625" style="21" customWidth="1"/>
    <col min="12551" max="12551" width="1.5703125" style="21" customWidth="1"/>
    <col min="12552" max="12552" width="22.140625" style="21" customWidth="1"/>
    <col min="12553" max="12553" width="5.85546875" style="21" customWidth="1"/>
    <col min="12554" max="12554" width="27.42578125" style="21" customWidth="1"/>
    <col min="12555" max="12555" width="4.5703125" style="21" customWidth="1"/>
    <col min="12556" max="12556" width="3.140625" style="21" customWidth="1"/>
    <col min="12557" max="12559" width="1.5703125" style="21" customWidth="1"/>
    <col min="12560" max="12560" width="4.85546875" style="21" customWidth="1"/>
    <col min="12561" max="12562" width="1.5703125" style="21" customWidth="1"/>
    <col min="12563" max="12801" width="9.140625" style="21"/>
    <col min="12802" max="12802" width="17.85546875" style="21" customWidth="1"/>
    <col min="12803" max="12803" width="1.140625" style="21" customWidth="1"/>
    <col min="12804" max="12804" width="30.140625" style="21" customWidth="1"/>
    <col min="12805" max="12805" width="1.5703125" style="21" customWidth="1"/>
    <col min="12806" max="12806" width="21.140625" style="21" customWidth="1"/>
    <col min="12807" max="12807" width="1.5703125" style="21" customWidth="1"/>
    <col min="12808" max="12808" width="22.140625" style="21" customWidth="1"/>
    <col min="12809" max="12809" width="5.85546875" style="21" customWidth="1"/>
    <col min="12810" max="12810" width="27.42578125" style="21" customWidth="1"/>
    <col min="12811" max="12811" width="4.5703125" style="21" customWidth="1"/>
    <col min="12812" max="12812" width="3.140625" style="21" customWidth="1"/>
    <col min="12813" max="12815" width="1.5703125" style="21" customWidth="1"/>
    <col min="12816" max="12816" width="4.85546875" style="21" customWidth="1"/>
    <col min="12817" max="12818" width="1.5703125" style="21" customWidth="1"/>
    <col min="12819" max="13057" width="9.140625" style="21"/>
    <col min="13058" max="13058" width="17.85546875" style="21" customWidth="1"/>
    <col min="13059" max="13059" width="1.140625" style="21" customWidth="1"/>
    <col min="13060" max="13060" width="30.140625" style="21" customWidth="1"/>
    <col min="13061" max="13061" width="1.5703125" style="21" customWidth="1"/>
    <col min="13062" max="13062" width="21.140625" style="21" customWidth="1"/>
    <col min="13063" max="13063" width="1.5703125" style="21" customWidth="1"/>
    <col min="13064" max="13064" width="22.140625" style="21" customWidth="1"/>
    <col min="13065" max="13065" width="5.85546875" style="21" customWidth="1"/>
    <col min="13066" max="13066" width="27.42578125" style="21" customWidth="1"/>
    <col min="13067" max="13067" width="4.5703125" style="21" customWidth="1"/>
    <col min="13068" max="13068" width="3.140625" style="21" customWidth="1"/>
    <col min="13069" max="13071" width="1.5703125" style="21" customWidth="1"/>
    <col min="13072" max="13072" width="4.85546875" style="21" customWidth="1"/>
    <col min="13073" max="13074" width="1.5703125" style="21" customWidth="1"/>
    <col min="13075" max="13313" width="9.140625" style="21"/>
    <col min="13314" max="13314" width="17.85546875" style="21" customWidth="1"/>
    <col min="13315" max="13315" width="1.140625" style="21" customWidth="1"/>
    <col min="13316" max="13316" width="30.140625" style="21" customWidth="1"/>
    <col min="13317" max="13317" width="1.5703125" style="21" customWidth="1"/>
    <col min="13318" max="13318" width="21.140625" style="21" customWidth="1"/>
    <col min="13319" max="13319" width="1.5703125" style="21" customWidth="1"/>
    <col min="13320" max="13320" width="22.140625" style="21" customWidth="1"/>
    <col min="13321" max="13321" width="5.85546875" style="21" customWidth="1"/>
    <col min="13322" max="13322" width="27.42578125" style="21" customWidth="1"/>
    <col min="13323" max="13323" width="4.5703125" style="21" customWidth="1"/>
    <col min="13324" max="13324" width="3.140625" style="21" customWidth="1"/>
    <col min="13325" max="13327" width="1.5703125" style="21" customWidth="1"/>
    <col min="13328" max="13328" width="4.85546875" style="21" customWidth="1"/>
    <col min="13329" max="13330" width="1.5703125" style="21" customWidth="1"/>
    <col min="13331" max="13569" width="9.140625" style="21"/>
    <col min="13570" max="13570" width="17.85546875" style="21" customWidth="1"/>
    <col min="13571" max="13571" width="1.140625" style="21" customWidth="1"/>
    <col min="13572" max="13572" width="30.140625" style="21" customWidth="1"/>
    <col min="13573" max="13573" width="1.5703125" style="21" customWidth="1"/>
    <col min="13574" max="13574" width="21.140625" style="21" customWidth="1"/>
    <col min="13575" max="13575" width="1.5703125" style="21" customWidth="1"/>
    <col min="13576" max="13576" width="22.140625" style="21" customWidth="1"/>
    <col min="13577" max="13577" width="5.85546875" style="21" customWidth="1"/>
    <col min="13578" max="13578" width="27.42578125" style="21" customWidth="1"/>
    <col min="13579" max="13579" width="4.5703125" style="21" customWidth="1"/>
    <col min="13580" max="13580" width="3.140625" style="21" customWidth="1"/>
    <col min="13581" max="13583" width="1.5703125" style="21" customWidth="1"/>
    <col min="13584" max="13584" width="4.85546875" style="21" customWidth="1"/>
    <col min="13585" max="13586" width="1.5703125" style="21" customWidth="1"/>
    <col min="13587" max="13825" width="9.140625" style="21"/>
    <col min="13826" max="13826" width="17.85546875" style="21" customWidth="1"/>
    <col min="13827" max="13827" width="1.140625" style="21" customWidth="1"/>
    <col min="13828" max="13828" width="30.140625" style="21" customWidth="1"/>
    <col min="13829" max="13829" width="1.5703125" style="21" customWidth="1"/>
    <col min="13830" max="13830" width="21.140625" style="21" customWidth="1"/>
    <col min="13831" max="13831" width="1.5703125" style="21" customWidth="1"/>
    <col min="13832" max="13832" width="22.140625" style="21" customWidth="1"/>
    <col min="13833" max="13833" width="5.85546875" style="21" customWidth="1"/>
    <col min="13834" max="13834" width="27.42578125" style="21" customWidth="1"/>
    <col min="13835" max="13835" width="4.5703125" style="21" customWidth="1"/>
    <col min="13836" max="13836" width="3.140625" style="21" customWidth="1"/>
    <col min="13837" max="13839" width="1.5703125" style="21" customWidth="1"/>
    <col min="13840" max="13840" width="4.85546875" style="21" customWidth="1"/>
    <col min="13841" max="13842" width="1.5703125" style="21" customWidth="1"/>
    <col min="13843" max="14081" width="9.140625" style="21"/>
    <col min="14082" max="14082" width="17.85546875" style="21" customWidth="1"/>
    <col min="14083" max="14083" width="1.140625" style="21" customWidth="1"/>
    <col min="14084" max="14084" width="30.140625" style="21" customWidth="1"/>
    <col min="14085" max="14085" width="1.5703125" style="21" customWidth="1"/>
    <col min="14086" max="14086" width="21.140625" style="21" customWidth="1"/>
    <col min="14087" max="14087" width="1.5703125" style="21" customWidth="1"/>
    <col min="14088" max="14088" width="22.140625" style="21" customWidth="1"/>
    <col min="14089" max="14089" width="5.85546875" style="21" customWidth="1"/>
    <col min="14090" max="14090" width="27.42578125" style="21" customWidth="1"/>
    <col min="14091" max="14091" width="4.5703125" style="21" customWidth="1"/>
    <col min="14092" max="14092" width="3.140625" style="21" customWidth="1"/>
    <col min="14093" max="14095" width="1.5703125" style="21" customWidth="1"/>
    <col min="14096" max="14096" width="4.85546875" style="21" customWidth="1"/>
    <col min="14097" max="14098" width="1.5703125" style="21" customWidth="1"/>
    <col min="14099" max="14337" width="9.140625" style="21"/>
    <col min="14338" max="14338" width="17.85546875" style="21" customWidth="1"/>
    <col min="14339" max="14339" width="1.140625" style="21" customWidth="1"/>
    <col min="14340" max="14340" width="30.140625" style="21" customWidth="1"/>
    <col min="14341" max="14341" width="1.5703125" style="21" customWidth="1"/>
    <col min="14342" max="14342" width="21.140625" style="21" customWidth="1"/>
    <col min="14343" max="14343" width="1.5703125" style="21" customWidth="1"/>
    <col min="14344" max="14344" width="22.140625" style="21" customWidth="1"/>
    <col min="14345" max="14345" width="5.85546875" style="21" customWidth="1"/>
    <col min="14346" max="14346" width="27.42578125" style="21" customWidth="1"/>
    <col min="14347" max="14347" width="4.5703125" style="21" customWidth="1"/>
    <col min="14348" max="14348" width="3.140625" style="21" customWidth="1"/>
    <col min="14349" max="14351" width="1.5703125" style="21" customWidth="1"/>
    <col min="14352" max="14352" width="4.85546875" style="21" customWidth="1"/>
    <col min="14353" max="14354" width="1.5703125" style="21" customWidth="1"/>
    <col min="14355" max="14593" width="9.140625" style="21"/>
    <col min="14594" max="14594" width="17.85546875" style="21" customWidth="1"/>
    <col min="14595" max="14595" width="1.140625" style="21" customWidth="1"/>
    <col min="14596" max="14596" width="30.140625" style="21" customWidth="1"/>
    <col min="14597" max="14597" width="1.5703125" style="21" customWidth="1"/>
    <col min="14598" max="14598" width="21.140625" style="21" customWidth="1"/>
    <col min="14599" max="14599" width="1.5703125" style="21" customWidth="1"/>
    <col min="14600" max="14600" width="22.140625" style="21" customWidth="1"/>
    <col min="14601" max="14601" width="5.85546875" style="21" customWidth="1"/>
    <col min="14602" max="14602" width="27.42578125" style="21" customWidth="1"/>
    <col min="14603" max="14603" width="4.5703125" style="21" customWidth="1"/>
    <col min="14604" max="14604" width="3.140625" style="21" customWidth="1"/>
    <col min="14605" max="14607" width="1.5703125" style="21" customWidth="1"/>
    <col min="14608" max="14608" width="4.85546875" style="21" customWidth="1"/>
    <col min="14609" max="14610" width="1.5703125" style="21" customWidth="1"/>
    <col min="14611" max="14849" width="9.140625" style="21"/>
    <col min="14850" max="14850" width="17.85546875" style="21" customWidth="1"/>
    <col min="14851" max="14851" width="1.140625" style="21" customWidth="1"/>
    <col min="14852" max="14852" width="30.140625" style="21" customWidth="1"/>
    <col min="14853" max="14853" width="1.5703125" style="21" customWidth="1"/>
    <col min="14854" max="14854" width="21.140625" style="21" customWidth="1"/>
    <col min="14855" max="14855" width="1.5703125" style="21" customWidth="1"/>
    <col min="14856" max="14856" width="22.140625" style="21" customWidth="1"/>
    <col min="14857" max="14857" width="5.85546875" style="21" customWidth="1"/>
    <col min="14858" max="14858" width="27.42578125" style="21" customWidth="1"/>
    <col min="14859" max="14859" width="4.5703125" style="21" customWidth="1"/>
    <col min="14860" max="14860" width="3.140625" style="21" customWidth="1"/>
    <col min="14861" max="14863" width="1.5703125" style="21" customWidth="1"/>
    <col min="14864" max="14864" width="4.85546875" style="21" customWidth="1"/>
    <col min="14865" max="14866" width="1.5703125" style="21" customWidth="1"/>
    <col min="14867" max="15105" width="9.140625" style="21"/>
    <col min="15106" max="15106" width="17.85546875" style="21" customWidth="1"/>
    <col min="15107" max="15107" width="1.140625" style="21" customWidth="1"/>
    <col min="15108" max="15108" width="30.140625" style="21" customWidth="1"/>
    <col min="15109" max="15109" width="1.5703125" style="21" customWidth="1"/>
    <col min="15110" max="15110" width="21.140625" style="21" customWidth="1"/>
    <col min="15111" max="15111" width="1.5703125" style="21" customWidth="1"/>
    <col min="15112" max="15112" width="22.140625" style="21" customWidth="1"/>
    <col min="15113" max="15113" width="5.85546875" style="21" customWidth="1"/>
    <col min="15114" max="15114" width="27.42578125" style="21" customWidth="1"/>
    <col min="15115" max="15115" width="4.5703125" style="21" customWidth="1"/>
    <col min="15116" max="15116" width="3.140625" style="21" customWidth="1"/>
    <col min="15117" max="15119" width="1.5703125" style="21" customWidth="1"/>
    <col min="15120" max="15120" width="4.85546875" style="21" customWidth="1"/>
    <col min="15121" max="15122" width="1.5703125" style="21" customWidth="1"/>
    <col min="15123" max="15361" width="9.140625" style="21"/>
    <col min="15362" max="15362" width="17.85546875" style="21" customWidth="1"/>
    <col min="15363" max="15363" width="1.140625" style="21" customWidth="1"/>
    <col min="15364" max="15364" width="30.140625" style="21" customWidth="1"/>
    <col min="15365" max="15365" width="1.5703125" style="21" customWidth="1"/>
    <col min="15366" max="15366" width="21.140625" style="21" customWidth="1"/>
    <col min="15367" max="15367" width="1.5703125" style="21" customWidth="1"/>
    <col min="15368" max="15368" width="22.140625" style="21" customWidth="1"/>
    <col min="15369" max="15369" width="5.85546875" style="21" customWidth="1"/>
    <col min="15370" max="15370" width="27.42578125" style="21" customWidth="1"/>
    <col min="15371" max="15371" width="4.5703125" style="21" customWidth="1"/>
    <col min="15372" max="15372" width="3.140625" style="21" customWidth="1"/>
    <col min="15373" max="15375" width="1.5703125" style="21" customWidth="1"/>
    <col min="15376" max="15376" width="4.85546875" style="21" customWidth="1"/>
    <col min="15377" max="15378" width="1.5703125" style="21" customWidth="1"/>
    <col min="15379" max="15617" width="9.140625" style="21"/>
    <col min="15618" max="15618" width="17.85546875" style="21" customWidth="1"/>
    <col min="15619" max="15619" width="1.140625" style="21" customWidth="1"/>
    <col min="15620" max="15620" width="30.140625" style="21" customWidth="1"/>
    <col min="15621" max="15621" width="1.5703125" style="21" customWidth="1"/>
    <col min="15622" max="15622" width="21.140625" style="21" customWidth="1"/>
    <col min="15623" max="15623" width="1.5703125" style="21" customWidth="1"/>
    <col min="15624" max="15624" width="22.140625" style="21" customWidth="1"/>
    <col min="15625" max="15625" width="5.85546875" style="21" customWidth="1"/>
    <col min="15626" max="15626" width="27.42578125" style="21" customWidth="1"/>
    <col min="15627" max="15627" width="4.5703125" style="21" customWidth="1"/>
    <col min="15628" max="15628" width="3.140625" style="21" customWidth="1"/>
    <col min="15629" max="15631" width="1.5703125" style="21" customWidth="1"/>
    <col min="15632" max="15632" width="4.85546875" style="21" customWidth="1"/>
    <col min="15633" max="15634" width="1.5703125" style="21" customWidth="1"/>
    <col min="15635" max="15873" width="9.140625" style="21"/>
    <col min="15874" max="15874" width="17.85546875" style="21" customWidth="1"/>
    <col min="15875" max="15875" width="1.140625" style="21" customWidth="1"/>
    <col min="15876" max="15876" width="30.140625" style="21" customWidth="1"/>
    <col min="15877" max="15877" width="1.5703125" style="21" customWidth="1"/>
    <col min="15878" max="15878" width="21.140625" style="21" customWidth="1"/>
    <col min="15879" max="15879" width="1.5703125" style="21" customWidth="1"/>
    <col min="15880" max="15880" width="22.140625" style="21" customWidth="1"/>
    <col min="15881" max="15881" width="5.85546875" style="21" customWidth="1"/>
    <col min="15882" max="15882" width="27.42578125" style="21" customWidth="1"/>
    <col min="15883" max="15883" width="4.5703125" style="21" customWidth="1"/>
    <col min="15884" max="15884" width="3.140625" style="21" customWidth="1"/>
    <col min="15885" max="15887" width="1.5703125" style="21" customWidth="1"/>
    <col min="15888" max="15888" width="4.85546875" style="21" customWidth="1"/>
    <col min="15889" max="15890" width="1.5703125" style="21" customWidth="1"/>
    <col min="15891" max="16129" width="9.140625" style="21"/>
    <col min="16130" max="16130" width="17.85546875" style="21" customWidth="1"/>
    <col min="16131" max="16131" width="1.140625" style="21" customWidth="1"/>
    <col min="16132" max="16132" width="30.140625" style="21" customWidth="1"/>
    <col min="16133" max="16133" width="1.5703125" style="21" customWidth="1"/>
    <col min="16134" max="16134" width="21.140625" style="21" customWidth="1"/>
    <col min="16135" max="16135" width="1.5703125" style="21" customWidth="1"/>
    <col min="16136" max="16136" width="22.140625" style="21" customWidth="1"/>
    <col min="16137" max="16137" width="5.85546875" style="21" customWidth="1"/>
    <col min="16138" max="16138" width="27.42578125" style="21" customWidth="1"/>
    <col min="16139" max="16139" width="4.5703125" style="21" customWidth="1"/>
    <col min="16140" max="16140" width="3.140625" style="21" customWidth="1"/>
    <col min="16141" max="16143" width="1.5703125" style="21" customWidth="1"/>
    <col min="16144" max="16144" width="4.85546875" style="21" customWidth="1"/>
    <col min="16145" max="16146" width="1.5703125" style="21" customWidth="1"/>
    <col min="16147" max="16384" width="9.140625" style="21"/>
  </cols>
  <sheetData>
    <row r="1" spans="1:12" s="20" customFormat="1" ht="25.15" customHeight="1" x14ac:dyDescent="0.25">
      <c r="A1" s="2767" t="str">
        <f>+Index!$A$1</f>
        <v xml:space="preserve">                                                               Office of the State Controller                                                                </v>
      </c>
      <c r="B1" s="2961"/>
      <c r="C1" s="2961"/>
      <c r="D1" s="2961"/>
      <c r="E1" s="2961"/>
      <c r="F1" s="2961"/>
      <c r="G1" s="2961"/>
      <c r="H1" s="2961"/>
      <c r="I1" s="2961"/>
      <c r="J1" s="2961"/>
      <c r="K1" s="2961"/>
      <c r="L1" s="2650" t="str">
        <f>IF(Index!$B$50="na","NA","")</f>
        <v/>
      </c>
    </row>
    <row r="2" spans="1:12" s="20" customFormat="1" ht="15.75" x14ac:dyDescent="0.25">
      <c r="A2" s="2953" t="str">
        <f>+Index!$A$2</f>
        <v>2022 ACFR Worksheets</v>
      </c>
      <c r="B2" s="2961"/>
      <c r="C2" s="2961"/>
      <c r="D2" s="2961"/>
      <c r="E2" s="2961"/>
      <c r="F2" s="2961"/>
      <c r="G2" s="2961"/>
      <c r="H2" s="2961"/>
      <c r="I2" s="2961"/>
      <c r="J2" s="2961"/>
      <c r="K2" s="2961"/>
      <c r="L2" s="2650"/>
    </row>
    <row r="3" spans="1:12" s="20" customFormat="1" ht="15.75" x14ac:dyDescent="0.25">
      <c r="A3" s="2954" t="s">
        <v>4904</v>
      </c>
      <c r="B3" s="2961"/>
      <c r="C3" s="2961"/>
      <c r="D3" s="2961"/>
      <c r="E3" s="2961"/>
      <c r="F3" s="2961"/>
      <c r="G3" s="2961"/>
      <c r="H3" s="2961"/>
      <c r="I3" s="2961"/>
      <c r="J3" s="2961"/>
      <c r="K3" s="2961"/>
      <c r="L3" s="2650"/>
    </row>
    <row r="4" spans="1:12" s="22" customFormat="1" ht="15" x14ac:dyDescent="0.25">
      <c r="F4" s="795"/>
      <c r="H4" s="795"/>
      <c r="I4" s="2198" t="s">
        <v>4804</v>
      </c>
    </row>
    <row r="5" spans="1:12" s="22" customFormat="1" ht="6" customHeight="1" x14ac:dyDescent="0.2">
      <c r="D5" s="253"/>
      <c r="E5" s="253"/>
      <c r="G5" s="2962"/>
      <c r="H5" s="2962"/>
      <c r="I5" s="2962"/>
      <c r="J5" s="2167"/>
    </row>
    <row r="6" spans="1:12" s="22" customFormat="1" ht="15" customHeight="1" x14ac:dyDescent="0.2">
      <c r="A6" s="2163" t="s">
        <v>327</v>
      </c>
      <c r="B6" s="2163"/>
      <c r="C6" s="2193" t="str">
        <f>Index!$E$10</f>
        <v>01</v>
      </c>
      <c r="D6" s="253"/>
      <c r="E6" s="253"/>
      <c r="G6" s="23" t="s">
        <v>1154</v>
      </c>
      <c r="H6" s="2188"/>
      <c r="I6" s="2956" t="str">
        <f>+Index!$E$11</f>
        <v>North Carolina General Assembly</v>
      </c>
      <c r="J6" s="2956"/>
      <c r="K6" s="2956"/>
    </row>
    <row r="7" spans="1:12" s="22" customFormat="1" ht="15" customHeight="1" x14ac:dyDescent="0.2">
      <c r="D7" s="253"/>
      <c r="E7" s="253"/>
      <c r="G7" s="23" t="s">
        <v>972</v>
      </c>
      <c r="H7" s="2189"/>
      <c r="I7" s="2956" t="str">
        <f>CONCATENATE(Index!$E$12," ",Index!$E$14)</f>
        <v xml:space="preserve"> </v>
      </c>
      <c r="J7" s="2956"/>
      <c r="K7" s="2956"/>
    </row>
    <row r="8" spans="1:12" s="22" customFormat="1" ht="15" customHeight="1" x14ac:dyDescent="0.2">
      <c r="C8" s="793"/>
      <c r="D8" s="253"/>
      <c r="E8" s="253"/>
      <c r="G8" s="23" t="s">
        <v>348</v>
      </c>
      <c r="H8" s="2189"/>
      <c r="I8" s="2956">
        <f>+Index!$E$13</f>
        <v>0</v>
      </c>
      <c r="J8" s="2956"/>
      <c r="K8" s="2956"/>
    </row>
    <row r="9" spans="1:12" s="22" customFormat="1" ht="13.5" thickBot="1" x14ac:dyDescent="0.25">
      <c r="A9" s="120"/>
      <c r="B9" s="120"/>
      <c r="C9" s="120"/>
      <c r="D9" s="120"/>
      <c r="E9" s="120"/>
      <c r="F9" s="120"/>
      <c r="G9" s="120"/>
      <c r="H9" s="120"/>
      <c r="I9" s="120"/>
      <c r="J9" s="120"/>
      <c r="K9" s="120"/>
    </row>
    <row r="10" spans="1:12" s="22" customFormat="1" ht="12.75" x14ac:dyDescent="0.2"/>
    <row r="11" spans="1:12" s="22" customFormat="1" ht="12.75" x14ac:dyDescent="0.2">
      <c r="A11" s="2958" t="s">
        <v>4805</v>
      </c>
      <c r="B11" s="2958"/>
      <c r="C11" s="2958"/>
      <c r="D11" s="2958"/>
      <c r="E11" s="2958"/>
      <c r="F11" s="2958"/>
      <c r="G11" s="2958"/>
      <c r="H11" s="2958"/>
      <c r="I11" s="2958"/>
      <c r="J11" s="2739"/>
      <c r="K11" s="2739"/>
    </row>
    <row r="12" spans="1:12" s="22" customFormat="1" ht="12.75" x14ac:dyDescent="0.2">
      <c r="A12" s="2958" t="s">
        <v>4870</v>
      </c>
      <c r="B12" s="2958"/>
      <c r="C12" s="2958"/>
      <c r="D12" s="2958"/>
      <c r="E12" s="2958"/>
      <c r="F12" s="2958"/>
      <c r="G12" s="2958"/>
      <c r="H12" s="2958"/>
      <c r="I12" s="2958"/>
      <c r="J12" s="2739"/>
      <c r="K12" s="2739"/>
    </row>
    <row r="13" spans="1:12" s="22" customFormat="1" ht="12.75" x14ac:dyDescent="0.2">
      <c r="A13" s="2958" t="s">
        <v>4979</v>
      </c>
      <c r="B13" s="2958"/>
      <c r="C13" s="2958"/>
      <c r="D13" s="2958"/>
      <c r="E13" s="2958"/>
      <c r="F13" s="2958"/>
      <c r="G13" s="2958"/>
      <c r="H13" s="2958"/>
      <c r="I13" s="2958"/>
      <c r="J13" s="2739"/>
      <c r="K13" s="2739"/>
    </row>
    <row r="14" spans="1:12" s="22" customFormat="1" ht="12.75" x14ac:dyDescent="0.2">
      <c r="A14" s="2958" t="s">
        <v>5540</v>
      </c>
      <c r="B14" s="2958"/>
      <c r="C14" s="2958"/>
      <c r="D14" s="2958"/>
      <c r="E14" s="2958"/>
      <c r="F14" s="2958"/>
      <c r="G14" s="2958"/>
      <c r="H14" s="2958"/>
      <c r="I14" s="2958"/>
      <c r="J14" s="2739"/>
      <c r="K14" s="2739"/>
    </row>
    <row r="15" spans="1:12" s="22" customFormat="1" ht="12.75" x14ac:dyDescent="0.2">
      <c r="A15" s="2958" t="s">
        <v>5479</v>
      </c>
      <c r="B15" s="2958"/>
      <c r="C15" s="2958"/>
      <c r="D15" s="2958"/>
      <c r="E15" s="2958"/>
      <c r="F15" s="2958"/>
      <c r="G15" s="2958"/>
      <c r="H15" s="2958"/>
      <c r="I15" s="2958"/>
      <c r="J15" s="2739"/>
      <c r="K15" s="2739"/>
    </row>
    <row r="16" spans="1:12" s="22" customFormat="1" ht="12.75" x14ac:dyDescent="0.2">
      <c r="A16" s="2958" t="s">
        <v>5480</v>
      </c>
      <c r="B16" s="2959"/>
      <c r="C16" s="2959"/>
      <c r="D16" s="2959"/>
      <c r="E16" s="2959"/>
      <c r="F16" s="2959"/>
      <c r="G16" s="2959"/>
      <c r="H16" s="2959"/>
      <c r="I16" s="2959"/>
      <c r="J16" s="2959"/>
      <c r="K16" s="2959"/>
    </row>
    <row r="17" spans="1:11" customFormat="1" ht="12.75" x14ac:dyDescent="0.2">
      <c r="A17" s="2958" t="s">
        <v>4926</v>
      </c>
      <c r="B17" s="2958"/>
      <c r="C17" s="2958"/>
      <c r="D17" s="2958"/>
      <c r="E17" s="2958"/>
      <c r="F17" s="2958"/>
      <c r="G17" s="2958"/>
      <c r="H17" s="2958"/>
      <c r="I17" s="2958"/>
      <c r="J17" s="2958"/>
      <c r="K17" s="2958"/>
    </row>
    <row r="18" spans="1:11" s="2252" customFormat="1" ht="12.75" x14ac:dyDescent="0.2">
      <c r="A18" s="2253"/>
      <c r="B18" s="2253"/>
      <c r="C18" s="2253"/>
      <c r="D18" s="2253"/>
      <c r="E18" s="2253"/>
      <c r="F18" s="2253"/>
      <c r="G18" s="2253"/>
      <c r="H18" s="2253"/>
      <c r="I18" s="2253"/>
      <c r="J18" s="2253"/>
      <c r="K18" s="2253"/>
    </row>
    <row r="19" spans="1:11" s="2183" customFormat="1" ht="15" x14ac:dyDescent="0.25">
      <c r="A19" s="2958" t="s">
        <v>4884</v>
      </c>
      <c r="B19" s="2958"/>
      <c r="C19" s="2958"/>
      <c r="D19" s="2958"/>
      <c r="E19" s="2958"/>
      <c r="F19" s="2958"/>
      <c r="G19" s="2958"/>
      <c r="H19" s="2958"/>
      <c r="I19" s="2958"/>
      <c r="J19" s="2959"/>
      <c r="K19" s="2959"/>
    </row>
    <row r="20" spans="1:11" s="2183" customFormat="1" ht="12.75" x14ac:dyDescent="0.2">
      <c r="A20" s="1095"/>
      <c r="B20" s="1095"/>
      <c r="C20" s="1095"/>
      <c r="D20" s="1095"/>
      <c r="E20" s="1095"/>
      <c r="F20" s="1095"/>
      <c r="G20" s="1095"/>
      <c r="H20" s="1095"/>
      <c r="I20" s="1095"/>
      <c r="J20" s="2186"/>
      <c r="K20" s="2186"/>
    </row>
    <row r="21" spans="1:11" s="2183" customFormat="1" ht="12.75" x14ac:dyDescent="0.2">
      <c r="A21" s="894" t="s">
        <v>969</v>
      </c>
      <c r="B21" s="296"/>
      <c r="C21" s="1369"/>
      <c r="D21" s="2194" t="str">
        <f>IF(AND(ISBLANK(C21),ISBLANK(C22))=TRUE,"Answer Missing"," ")</f>
        <v>Answer Missing</v>
      </c>
      <c r="E21" s="2184"/>
      <c r="F21" s="296"/>
      <c r="G21" s="2195" t="str">
        <f>IF(ISTEXT(C21), "Section B Required", " ")</f>
        <v xml:space="preserve"> </v>
      </c>
      <c r="H21" s="2195"/>
      <c r="I21" s="2195"/>
      <c r="J21" s="2186"/>
      <c r="K21" s="2186"/>
    </row>
    <row r="22" spans="1:11" s="2183" customFormat="1" ht="12.75" x14ac:dyDescent="0.2">
      <c r="A22" s="894" t="s">
        <v>970</v>
      </c>
      <c r="B22" s="296"/>
      <c r="C22" s="1369"/>
      <c r="D22" s="1089"/>
      <c r="E22" s="296"/>
      <c r="F22" s="296"/>
      <c r="G22" s="296"/>
      <c r="H22" s="296"/>
      <c r="I22" s="296"/>
      <c r="J22" s="2186"/>
      <c r="K22" s="2186"/>
    </row>
    <row r="23" spans="1:11" s="2183" customFormat="1" ht="12.75" x14ac:dyDescent="0.2">
      <c r="A23" s="894"/>
      <c r="B23" s="296"/>
      <c r="C23" s="2185"/>
      <c r="D23" s="1089"/>
      <c r="E23" s="296"/>
      <c r="F23" s="296"/>
      <c r="G23" s="296"/>
      <c r="H23" s="296"/>
      <c r="I23" s="296"/>
      <c r="J23" s="2186"/>
      <c r="K23" s="2186"/>
    </row>
    <row r="24" spans="1:11" s="2183" customFormat="1" ht="15" x14ac:dyDescent="0.25">
      <c r="A24" s="1095" t="s">
        <v>4806</v>
      </c>
      <c r="B24" s="1095"/>
      <c r="C24" s="1095"/>
      <c r="D24" s="1095"/>
      <c r="E24" s="1095"/>
      <c r="F24" s="1095"/>
      <c r="G24" s="1095"/>
      <c r="H24" s="1095"/>
      <c r="I24" s="1095"/>
      <c r="J24" s="2186"/>
      <c r="K24" s="2186"/>
    </row>
    <row r="25" spans="1:11" s="22" customFormat="1" ht="12.75" x14ac:dyDescent="0.2">
      <c r="A25" s="2958" t="s">
        <v>5253</v>
      </c>
      <c r="B25" s="2958"/>
      <c r="C25" s="2958"/>
      <c r="D25" s="2958"/>
      <c r="E25" s="2958"/>
      <c r="F25" s="2958"/>
      <c r="G25" s="2958"/>
      <c r="H25" s="2958"/>
      <c r="I25" s="2958"/>
      <c r="J25" s="2958"/>
      <c r="K25" s="2958"/>
    </row>
    <row r="26" spans="1:11" s="22" customFormat="1" ht="12.75" x14ac:dyDescent="0.2">
      <c r="A26" s="2264" t="s">
        <v>5252</v>
      </c>
      <c r="B26" s="2254"/>
      <c r="C26" s="2254"/>
      <c r="D26" s="2254"/>
      <c r="E26" s="2254"/>
      <c r="F26" s="2254"/>
      <c r="G26" s="2254"/>
      <c r="H26" s="2254"/>
      <c r="I26" s="2254"/>
      <c r="J26" s="2254"/>
      <c r="K26" s="2254"/>
    </row>
    <row r="27" spans="1:11" s="22" customFormat="1" ht="12.75" x14ac:dyDescent="0.2">
      <c r="A27" s="1372"/>
      <c r="B27" s="1372"/>
      <c r="C27" s="1372"/>
      <c r="D27" s="1372"/>
      <c r="E27" s="1372"/>
      <c r="F27" s="1372"/>
      <c r="G27" s="1372"/>
      <c r="H27" s="1372"/>
      <c r="I27" s="2168" t="s">
        <v>4797</v>
      </c>
      <c r="J27" s="1372"/>
      <c r="K27" s="2168" t="s">
        <v>4798</v>
      </c>
    </row>
    <row r="28" spans="1:11" s="22" customFormat="1" ht="12.75" x14ac:dyDescent="0.2">
      <c r="A28" s="1372"/>
      <c r="B28" s="1372"/>
      <c r="C28" s="1372"/>
      <c r="D28" s="1372"/>
      <c r="E28" s="1372"/>
      <c r="F28" s="1372"/>
      <c r="G28" s="1372"/>
      <c r="H28" s="1372"/>
      <c r="I28" s="1017" t="s">
        <v>4880</v>
      </c>
      <c r="J28" s="1372"/>
      <c r="K28" s="1017" t="s">
        <v>4880</v>
      </c>
    </row>
    <row r="29" spans="1:11" s="22" customFormat="1" ht="12.75" x14ac:dyDescent="0.2">
      <c r="A29" s="1372"/>
      <c r="B29" s="1372"/>
      <c r="C29" s="1372"/>
      <c r="D29" s="1372"/>
      <c r="E29" s="1372"/>
      <c r="F29" s="1372"/>
      <c r="G29" s="1390" t="s">
        <v>4872</v>
      </c>
      <c r="H29" s="1372"/>
      <c r="I29" s="1017" t="s">
        <v>5478</v>
      </c>
      <c r="J29" s="1372"/>
      <c r="K29" s="1017" t="s">
        <v>5478</v>
      </c>
    </row>
    <row r="30" spans="1:11" s="2162" customFormat="1" ht="15" x14ac:dyDescent="0.25">
      <c r="A30" s="2190" t="s">
        <v>4800</v>
      </c>
      <c r="B30" s="2197"/>
      <c r="C30" s="2190" t="s">
        <v>4801</v>
      </c>
      <c r="D30" s="2197"/>
      <c r="E30" s="2190" t="s">
        <v>4802</v>
      </c>
      <c r="F30" s="2197"/>
      <c r="G30" s="2255" t="s">
        <v>4871</v>
      </c>
      <c r="H30" s="2197"/>
      <c r="I30" s="2169" t="s">
        <v>5476</v>
      </c>
      <c r="J30" s="1017"/>
      <c r="K30" s="2169" t="s">
        <v>5477</v>
      </c>
    </row>
    <row r="31" spans="1:11" s="22" customFormat="1" ht="12.75" x14ac:dyDescent="0.2">
      <c r="A31" s="2170"/>
      <c r="B31" s="2171"/>
      <c r="C31" s="2192"/>
      <c r="D31" s="2172"/>
      <c r="E31" s="2173"/>
      <c r="F31" s="2106"/>
      <c r="G31" s="2173"/>
      <c r="H31" s="2196"/>
      <c r="I31" s="2175"/>
      <c r="J31" s="2176"/>
      <c r="K31" s="2175"/>
    </row>
    <row r="32" spans="1:11" s="22" customFormat="1" ht="12.75" x14ac:dyDescent="0.2">
      <c r="A32" s="2170"/>
      <c r="B32" s="2171"/>
      <c r="C32" s="2192"/>
      <c r="D32" s="2171"/>
      <c r="E32" s="2173"/>
      <c r="F32" s="2106"/>
      <c r="G32" s="2173"/>
      <c r="H32" s="2196"/>
      <c r="I32" s="2175"/>
      <c r="J32" s="2176"/>
      <c r="K32" s="2175"/>
    </row>
    <row r="33" spans="1:16" s="22" customFormat="1" ht="12.75" x14ac:dyDescent="0.2">
      <c r="A33" s="2170"/>
      <c r="B33" s="2171"/>
      <c r="C33" s="2406"/>
      <c r="D33" s="2171"/>
      <c r="E33" s="2173"/>
      <c r="F33" s="2106"/>
      <c r="G33" s="2173"/>
      <c r="H33" s="2196"/>
      <c r="I33" s="2175"/>
      <c r="J33" s="2176"/>
      <c r="K33" s="2175"/>
    </row>
    <row r="34" spans="1:16" s="22" customFormat="1" ht="12.75" x14ac:dyDescent="0.2">
      <c r="A34" s="2170"/>
      <c r="B34" s="2171"/>
      <c r="C34" s="2406"/>
      <c r="D34" s="2171"/>
      <c r="E34" s="2173"/>
      <c r="F34" s="2106"/>
      <c r="G34" s="2173"/>
      <c r="H34" s="2196"/>
      <c r="I34" s="2175"/>
      <c r="J34" s="2176"/>
      <c r="K34" s="2175"/>
    </row>
    <row r="35" spans="1:16" s="22" customFormat="1" ht="9.75" customHeight="1" x14ac:dyDescent="0.2">
      <c r="A35" s="868"/>
      <c r="B35" s="868"/>
      <c r="C35" s="2191"/>
      <c r="D35" s="2191"/>
      <c r="E35" s="2191"/>
      <c r="F35" s="1284"/>
      <c r="G35" s="1284"/>
      <c r="H35" s="1284"/>
      <c r="I35" s="430"/>
      <c r="J35" s="430"/>
      <c r="K35" s="1284"/>
      <c r="L35" s="1284"/>
      <c r="M35" s="1284"/>
      <c r="N35" s="1284"/>
      <c r="O35" s="1284"/>
      <c r="P35" s="1284"/>
    </row>
    <row r="36" spans="1:16" s="22" customFormat="1" ht="12.75" x14ac:dyDescent="0.2">
      <c r="A36" s="2958" t="s">
        <v>4874</v>
      </c>
      <c r="B36" s="2958"/>
      <c r="C36" s="2958"/>
      <c r="D36" s="2958"/>
      <c r="E36" s="2958"/>
      <c r="F36" s="2958"/>
      <c r="G36" s="2958"/>
      <c r="H36" s="2958"/>
      <c r="I36" s="2958"/>
      <c r="J36" s="2739"/>
      <c r="K36" s="2739"/>
      <c r="L36" s="1284"/>
      <c r="M36" s="1284"/>
      <c r="N36" s="1284"/>
      <c r="O36" s="1284"/>
      <c r="P36" s="1284"/>
    </row>
    <row r="37" spans="1:16" s="22" customFormat="1" ht="12.75" x14ac:dyDescent="0.2">
      <c r="A37" s="2235" t="s">
        <v>4873</v>
      </c>
      <c r="B37" s="1095"/>
      <c r="C37" s="1095"/>
      <c r="D37" s="1095"/>
      <c r="E37" s="1095"/>
      <c r="F37" s="1095"/>
      <c r="G37" s="1095"/>
      <c r="H37" s="1095"/>
      <c r="I37" s="1095"/>
      <c r="J37" s="1095"/>
      <c r="K37" s="1284"/>
      <c r="L37" s="1284"/>
      <c r="M37" s="1284"/>
      <c r="N37" s="1284"/>
      <c r="O37" s="1284"/>
      <c r="P37" s="1284"/>
    </row>
    <row r="38" spans="1:16" s="22" customFormat="1" ht="12.75" x14ac:dyDescent="0.2">
      <c r="A38" s="1372"/>
      <c r="B38" s="1372"/>
      <c r="C38" s="1372"/>
      <c r="D38" s="1372"/>
      <c r="E38" s="1372"/>
      <c r="F38" s="1372"/>
      <c r="G38" s="1372"/>
      <c r="H38" s="1372"/>
      <c r="I38" s="2168" t="s">
        <v>4797</v>
      </c>
      <c r="J38" s="1372"/>
      <c r="K38" s="2168" t="s">
        <v>4798</v>
      </c>
      <c r="L38" s="1284"/>
      <c r="M38" s="1284"/>
      <c r="N38" s="1284"/>
      <c r="O38" s="1284"/>
      <c r="P38" s="1284"/>
    </row>
    <row r="39" spans="1:16" s="22" customFormat="1" ht="12.75" x14ac:dyDescent="0.2">
      <c r="A39" s="1372"/>
      <c r="B39" s="1372"/>
      <c r="C39" s="1372"/>
      <c r="D39" s="1372"/>
      <c r="E39" s="1372"/>
      <c r="F39" s="1372"/>
      <c r="G39" s="1372"/>
      <c r="H39" s="1372"/>
      <c r="I39" s="1017" t="s">
        <v>4799</v>
      </c>
      <c r="J39" s="1372"/>
      <c r="K39" s="1017" t="s">
        <v>4799</v>
      </c>
      <c r="L39" s="1284"/>
      <c r="M39" s="1284"/>
      <c r="N39" s="1284"/>
      <c r="O39" s="1284"/>
      <c r="P39" s="1284"/>
    </row>
    <row r="40" spans="1:16" s="22" customFormat="1" ht="12.75" x14ac:dyDescent="0.2">
      <c r="A40" s="1372"/>
      <c r="B40" s="1372"/>
      <c r="C40" s="1372"/>
      <c r="D40" s="1372"/>
      <c r="E40" s="1372"/>
      <c r="F40" s="1372"/>
      <c r="G40" s="1390" t="s">
        <v>4872</v>
      </c>
      <c r="H40" s="1372"/>
      <c r="I40" s="1017" t="s">
        <v>5478</v>
      </c>
      <c r="J40" s="1372"/>
      <c r="K40" s="1017" t="s">
        <v>5478</v>
      </c>
      <c r="L40" s="1284"/>
      <c r="M40" s="1284"/>
      <c r="N40" s="1284"/>
      <c r="O40" s="1284"/>
      <c r="P40" s="1284"/>
    </row>
    <row r="41" spans="1:16" s="22" customFormat="1" ht="12.75" x14ac:dyDescent="0.2">
      <c r="A41" s="2190" t="s">
        <v>4800</v>
      </c>
      <c r="B41" s="2197"/>
      <c r="C41" s="2190" t="s">
        <v>4801</v>
      </c>
      <c r="D41" s="2197"/>
      <c r="E41" s="2190" t="s">
        <v>4802</v>
      </c>
      <c r="F41" s="2197"/>
      <c r="G41" s="2190" t="s">
        <v>4871</v>
      </c>
      <c r="H41" s="2197"/>
      <c r="I41" s="2169" t="s">
        <v>5476</v>
      </c>
      <c r="J41" s="1017"/>
      <c r="K41" s="2169" t="s">
        <v>5477</v>
      </c>
      <c r="L41" s="1284"/>
      <c r="M41" s="1284"/>
      <c r="N41" s="1284"/>
      <c r="O41" s="1284"/>
      <c r="P41" s="1284"/>
    </row>
    <row r="42" spans="1:16" s="22" customFormat="1" ht="12.75" x14ac:dyDescent="0.2">
      <c r="A42" s="2170"/>
      <c r="B42" s="2171"/>
      <c r="C42" s="2192"/>
      <c r="D42" s="2172"/>
      <c r="E42" s="2173"/>
      <c r="F42" s="2106"/>
      <c r="G42" s="2173"/>
      <c r="H42" s="2196"/>
      <c r="I42" s="2175"/>
      <c r="J42" s="2176"/>
      <c r="K42" s="2175"/>
      <c r="L42" s="1284"/>
      <c r="M42" s="1284"/>
      <c r="N42" s="1284"/>
      <c r="O42" s="1284"/>
      <c r="P42" s="1284"/>
    </row>
    <row r="43" spans="1:16" s="22" customFormat="1" ht="12.75" x14ac:dyDescent="0.2">
      <c r="A43" s="2170"/>
      <c r="B43" s="2171"/>
      <c r="C43" s="2192"/>
      <c r="D43" s="2171"/>
      <c r="E43" s="2173"/>
      <c r="F43" s="2106"/>
      <c r="G43" s="2173"/>
      <c r="H43" s="2196"/>
      <c r="I43" s="2175"/>
      <c r="J43" s="2176"/>
      <c r="K43" s="2175"/>
      <c r="L43" s="1284"/>
      <c r="M43" s="1284"/>
      <c r="N43" s="1284"/>
      <c r="O43" s="1284"/>
      <c r="P43" s="1284"/>
    </row>
    <row r="44" spans="1:16" s="22" customFormat="1" ht="12.75" x14ac:dyDescent="0.2">
      <c r="A44" s="2170"/>
      <c r="B44" s="2171"/>
      <c r="C44" s="2192"/>
      <c r="D44" s="2171"/>
      <c r="E44" s="2173"/>
      <c r="F44" s="2106"/>
      <c r="G44" s="2173"/>
      <c r="H44" s="2196"/>
      <c r="I44" s="2175"/>
      <c r="J44" s="2176"/>
      <c r="K44" s="2175"/>
      <c r="L44" s="1284"/>
      <c r="M44" s="1284"/>
      <c r="N44" s="1284"/>
      <c r="O44" s="1284"/>
      <c r="P44" s="1284"/>
    </row>
    <row r="45" spans="1:16" s="22" customFormat="1" ht="12.75" x14ac:dyDescent="0.2">
      <c r="A45" s="2170"/>
      <c r="B45" s="2171"/>
      <c r="C45" s="2192"/>
      <c r="D45" s="2171"/>
      <c r="E45" s="2173"/>
      <c r="F45" s="2106"/>
      <c r="G45" s="2173"/>
      <c r="H45" s="2196"/>
      <c r="I45" s="2175"/>
      <c r="J45" s="2176"/>
      <c r="K45" s="2175"/>
      <c r="L45" s="1284"/>
      <c r="M45" s="1284"/>
      <c r="N45" s="1284"/>
      <c r="O45" s="1284"/>
      <c r="P45" s="1284"/>
    </row>
    <row r="46" spans="1:16" s="22" customFormat="1" ht="9.75" customHeight="1" x14ac:dyDescent="0.2">
      <c r="A46" s="868"/>
      <c r="B46" s="868"/>
      <c r="C46" s="2191"/>
      <c r="D46" s="2191"/>
      <c r="E46" s="2191"/>
      <c r="F46" s="1284"/>
      <c r="G46" s="1284"/>
      <c r="H46" s="1284"/>
      <c r="I46" s="430"/>
      <c r="J46" s="430"/>
      <c r="K46" s="1284"/>
      <c r="L46" s="1284"/>
      <c r="M46" s="1284"/>
      <c r="N46" s="1284"/>
      <c r="O46" s="1284"/>
      <c r="P46" s="1284"/>
    </row>
    <row r="47" spans="1:16" s="22" customFormat="1" ht="12.75" x14ac:dyDescent="0.2">
      <c r="A47" s="2958" t="s">
        <v>4875</v>
      </c>
      <c r="B47" s="2958"/>
      <c r="C47" s="2958"/>
      <c r="D47" s="2958"/>
      <c r="E47" s="2958"/>
      <c r="F47" s="2958"/>
      <c r="G47" s="2958"/>
      <c r="H47" s="2958"/>
      <c r="I47" s="2958"/>
      <c r="J47" s="2739"/>
      <c r="K47" s="2739"/>
      <c r="L47" s="1284"/>
      <c r="M47" s="1284"/>
      <c r="N47" s="1284"/>
      <c r="O47" s="1284"/>
      <c r="P47" s="1284"/>
    </row>
    <row r="48" spans="1:16" s="22" customFormat="1" ht="12.75" x14ac:dyDescent="0.2">
      <c r="A48" s="2960" t="s">
        <v>4803</v>
      </c>
      <c r="B48" s="2960"/>
      <c r="C48" s="2960"/>
      <c r="D48" s="2960"/>
      <c r="E48" s="2960"/>
      <c r="F48" s="2960"/>
      <c r="G48" s="2960"/>
      <c r="H48" s="2960"/>
      <c r="I48" s="2960"/>
      <c r="J48" s="2960"/>
      <c r="K48" s="2960"/>
      <c r="L48" s="1284"/>
      <c r="M48" s="1284"/>
      <c r="N48" s="1284"/>
      <c r="O48" s="1284"/>
      <c r="P48" s="1284"/>
    </row>
    <row r="49" spans="1:16" s="22" customFormat="1" ht="12.75" x14ac:dyDescent="0.2">
      <c r="A49" s="1372"/>
      <c r="B49" s="1372"/>
      <c r="C49" s="1372"/>
      <c r="D49" s="1372"/>
      <c r="E49" s="1372"/>
      <c r="F49" s="1372"/>
      <c r="G49" s="1372"/>
      <c r="H49" s="1372"/>
      <c r="I49" s="2168" t="s">
        <v>4798</v>
      </c>
      <c r="J49" s="1372"/>
      <c r="K49" s="2168"/>
      <c r="L49" s="1284"/>
      <c r="M49" s="1284"/>
      <c r="N49" s="1284"/>
      <c r="O49" s="1284"/>
      <c r="P49" s="1284"/>
    </row>
    <row r="50" spans="1:16" ht="12.75" x14ac:dyDescent="0.2">
      <c r="A50" s="1372"/>
      <c r="B50" s="1372"/>
      <c r="C50" s="1372"/>
      <c r="D50" s="1372"/>
      <c r="E50" s="1372"/>
      <c r="F50" s="1372"/>
      <c r="G50" s="1372"/>
      <c r="H50" s="1372"/>
      <c r="I50" s="1017" t="s">
        <v>4799</v>
      </c>
      <c r="J50" s="1372"/>
      <c r="K50" s="1017"/>
    </row>
    <row r="51" spans="1:16" ht="12.75" x14ac:dyDescent="0.2">
      <c r="A51" s="1372"/>
      <c r="B51" s="1372"/>
      <c r="C51" s="1372"/>
      <c r="D51" s="1372"/>
      <c r="E51" s="1372"/>
      <c r="F51" s="1372"/>
      <c r="G51" s="1390" t="s">
        <v>4872</v>
      </c>
      <c r="H51" s="1372"/>
      <c r="I51" s="1017" t="s">
        <v>5478</v>
      </c>
      <c r="J51" s="1372"/>
      <c r="K51" s="1017"/>
    </row>
    <row r="52" spans="1:16" ht="12.75" x14ac:dyDescent="0.2">
      <c r="A52" s="2190" t="s">
        <v>4800</v>
      </c>
      <c r="B52" s="2197"/>
      <c r="C52" s="2190" t="s">
        <v>4801</v>
      </c>
      <c r="D52" s="2197"/>
      <c r="E52" s="2190" t="s">
        <v>4802</v>
      </c>
      <c r="F52" s="2197"/>
      <c r="G52" s="2255" t="s">
        <v>4871</v>
      </c>
      <c r="H52" s="2197"/>
      <c r="I52" s="2169" t="s">
        <v>5477</v>
      </c>
      <c r="J52" s="1017"/>
      <c r="K52" s="2177"/>
    </row>
    <row r="53" spans="1:16" ht="12.75" x14ac:dyDescent="0.2">
      <c r="A53" s="2170"/>
      <c r="B53" s="2171"/>
      <c r="C53" s="2192"/>
      <c r="D53" s="2172"/>
      <c r="E53" s="2173"/>
      <c r="F53" s="2106"/>
      <c r="G53" s="2173"/>
      <c r="H53" s="2196"/>
      <c r="I53" s="2175"/>
      <c r="J53" s="2176"/>
      <c r="K53" s="2176"/>
    </row>
    <row r="54" spans="1:16" ht="12.75" x14ac:dyDescent="0.2">
      <c r="A54" s="2170"/>
      <c r="B54" s="2171"/>
      <c r="C54" s="2192"/>
      <c r="D54" s="2171"/>
      <c r="E54" s="2173"/>
      <c r="F54" s="2106"/>
      <c r="G54" s="2173"/>
      <c r="H54" s="2196"/>
      <c r="I54" s="2175"/>
      <c r="J54" s="2176"/>
      <c r="K54" s="2176"/>
    </row>
    <row r="55" spans="1:16" ht="12.75" x14ac:dyDescent="0.2">
      <c r="A55" s="2170"/>
      <c r="B55" s="2171"/>
      <c r="C55" s="2192"/>
      <c r="D55" s="2171"/>
      <c r="E55" s="2173"/>
      <c r="F55" s="2106"/>
      <c r="G55" s="2173"/>
      <c r="H55" s="2196"/>
      <c r="I55" s="2175"/>
      <c r="J55" s="2176"/>
      <c r="K55" s="2176"/>
    </row>
    <row r="56" spans="1:16" ht="12.75" x14ac:dyDescent="0.2">
      <c r="A56" s="2170"/>
      <c r="B56" s="2171"/>
      <c r="C56" s="2192"/>
      <c r="D56" s="2171"/>
      <c r="E56" s="2173"/>
      <c r="F56" s="2106"/>
      <c r="G56" s="2173"/>
      <c r="H56" s="2196"/>
      <c r="I56" s="2175"/>
      <c r="J56" s="2176"/>
      <c r="K56" s="2176"/>
    </row>
    <row r="57" spans="1:16" ht="12.75" x14ac:dyDescent="0.2">
      <c r="A57" s="2178"/>
      <c r="B57" s="736"/>
      <c r="C57" s="736"/>
      <c r="D57" s="22"/>
      <c r="E57" s="2179"/>
      <c r="F57" s="2180"/>
      <c r="G57" s="2957"/>
      <c r="H57" s="2957"/>
      <c r="I57" s="2957"/>
      <c r="J57" s="2187"/>
      <c r="K57" s="22"/>
    </row>
    <row r="58" spans="1:16" ht="12.75" x14ac:dyDescent="0.2">
      <c r="A58" s="2178"/>
      <c r="B58" s="736"/>
      <c r="C58" s="736"/>
      <c r="D58" s="2181"/>
      <c r="E58" s="2179"/>
      <c r="F58" s="2180"/>
      <c r="G58" s="2182"/>
      <c r="H58" s="2182"/>
      <c r="I58" s="2182"/>
      <c r="J58" s="2174"/>
    </row>
    <row r="59" spans="1:16" ht="12.75" x14ac:dyDescent="0.2">
      <c r="A59" s="2178"/>
      <c r="B59" s="736"/>
      <c r="C59" s="736"/>
      <c r="D59" s="736"/>
      <c r="E59" s="2179"/>
      <c r="F59" s="2180"/>
      <c r="G59" s="2182"/>
      <c r="H59" s="2182"/>
      <c r="I59" s="2182"/>
      <c r="J59" s="2174"/>
    </row>
    <row r="60" spans="1:16" ht="12.75" x14ac:dyDescent="0.2">
      <c r="A60" s="2178"/>
      <c r="B60" s="736"/>
      <c r="C60" s="736"/>
      <c r="D60" s="736"/>
      <c r="E60" s="2179"/>
      <c r="F60" s="2180"/>
      <c r="G60" s="2182"/>
      <c r="H60" s="2182"/>
      <c r="I60" s="2182"/>
      <c r="J60" s="2174"/>
    </row>
    <row r="61" spans="1:16" ht="12.75" x14ac:dyDescent="0.2">
      <c r="A61" s="2178"/>
      <c r="B61" s="736"/>
      <c r="C61" s="736"/>
      <c r="D61" s="736"/>
      <c r="E61" s="2179"/>
      <c r="F61" s="2180"/>
      <c r="G61" s="2182"/>
      <c r="H61" s="2182"/>
      <c r="I61" s="2182"/>
      <c r="J61" s="2174"/>
    </row>
  </sheetData>
  <sheetProtection algorithmName="SHA-512" hashValue="Fawi94eq7Pij5HaxhxOoIHrtK/68p71orzasZDRuu1mODT87WhV7S1Dbig3N1BBOIT4IsNgxwCsITOQRPgsndQ==" saltValue="9jt8vXiLU03KgxO0s3uLjg==" spinCount="100000" sheet="1" objects="1" scenarios="1" autoFilter="0"/>
  <mergeCells count="20">
    <mergeCell ref="A1:K1"/>
    <mergeCell ref="A2:K2"/>
    <mergeCell ref="A3:K3"/>
    <mergeCell ref="I6:K6"/>
    <mergeCell ref="G5:I5"/>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s>
  <conditionalFormatting sqref="D21">
    <cfRule type="containsText" dxfId="112" priority="3" stopIfTrue="1" operator="containsText" text="Answer Missing">
      <formula>NOT(ISERROR(SEARCH("Answer Missing",D21)))</formula>
    </cfRule>
  </conditionalFormatting>
  <conditionalFormatting sqref="G21">
    <cfRule type="containsText" dxfId="111" priority="2" stopIfTrue="1" operator="containsText" text="Answer Missing">
      <formula>NOT(ISERROR(SEARCH("Answer Missing",G21)))</formula>
    </cfRule>
  </conditionalFormatting>
  <conditionalFormatting sqref="L1:L3">
    <cfRule type="cellIs" dxfId="110" priority="1" stopIfTrue="1" operator="equal">
      <formula>"na"</formula>
    </cfRule>
  </conditionalFormatting>
  <hyperlinks>
    <hyperlink ref="A1:I1" location="Index!A1" display="Index!A1" xr:uid="{7D16492F-D665-461A-8D1D-E6E9E8B7D32B}"/>
  </hyperlinks>
  <pageMargins left="0.7" right="0.7" top="0.75" bottom="0.75" header="0.3" footer="0.3"/>
  <pageSetup scale="69" orientation="landscape" horizontalDpi="1200" verticalDpi="1200"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dimension ref="A1:P60"/>
  <sheetViews>
    <sheetView zoomScaleNormal="100" workbookViewId="0">
      <selection activeCell="T28" sqref="T28"/>
    </sheetView>
  </sheetViews>
  <sheetFormatPr defaultColWidth="9.140625" defaultRowHeight="10.5" x14ac:dyDescent="0.15"/>
  <cols>
    <col min="1" max="1" width="15.42578125" style="2587" customWidth="1"/>
    <col min="2" max="2" width="1.140625" style="2587" customWidth="1"/>
    <col min="3" max="3" width="17.5703125" style="2587" customWidth="1"/>
    <col min="4" max="4" width="1.5703125" style="2587" customWidth="1"/>
    <col min="5" max="5" width="22.5703125" style="2587" customWidth="1"/>
    <col min="6" max="6" width="1.5703125" style="2587" customWidth="1"/>
    <col min="7" max="7" width="30.5703125" style="2587" bestFit="1" customWidth="1"/>
    <col min="8" max="8" width="1.5703125" style="2587" customWidth="1"/>
    <col min="9" max="9" width="25.42578125" style="2587" customWidth="1"/>
    <col min="10" max="10" width="1.5703125" style="2587" customWidth="1"/>
    <col min="11" max="11" width="25.140625" style="2587" bestFit="1" customWidth="1"/>
    <col min="12" max="12" width="7.5703125" style="2587" customWidth="1"/>
    <col min="13" max="15" width="1.5703125" style="2587" customWidth="1"/>
    <col min="16" max="16" width="4.85546875" style="2587" customWidth="1"/>
    <col min="17" max="18" width="1.5703125" style="2587" customWidth="1"/>
    <col min="19" max="257" width="9.140625" style="2587"/>
    <col min="258" max="258" width="17.85546875" style="2587" customWidth="1"/>
    <col min="259" max="259" width="1.140625" style="2587" customWidth="1"/>
    <col min="260" max="260" width="30.140625" style="2587" customWidth="1"/>
    <col min="261" max="261" width="1.5703125" style="2587" customWidth="1"/>
    <col min="262" max="262" width="21.140625" style="2587" customWidth="1"/>
    <col min="263" max="263" width="1.5703125" style="2587" customWidth="1"/>
    <col min="264" max="264" width="22.140625" style="2587" customWidth="1"/>
    <col min="265" max="265" width="5.85546875" style="2587" customWidth="1"/>
    <col min="266" max="266" width="27.42578125" style="2587" customWidth="1"/>
    <col min="267" max="267" width="4.5703125" style="2587" customWidth="1"/>
    <col min="268" max="268" width="3.140625" style="2587" customWidth="1"/>
    <col min="269" max="271" width="1.5703125" style="2587" customWidth="1"/>
    <col min="272" max="272" width="4.85546875" style="2587" customWidth="1"/>
    <col min="273" max="274" width="1.5703125" style="2587" customWidth="1"/>
    <col min="275" max="513" width="9.140625" style="2587"/>
    <col min="514" max="514" width="17.85546875" style="2587" customWidth="1"/>
    <col min="515" max="515" width="1.140625" style="2587" customWidth="1"/>
    <col min="516" max="516" width="30.140625" style="2587" customWidth="1"/>
    <col min="517" max="517" width="1.5703125" style="2587" customWidth="1"/>
    <col min="518" max="518" width="21.140625" style="2587" customWidth="1"/>
    <col min="519" max="519" width="1.5703125" style="2587" customWidth="1"/>
    <col min="520" max="520" width="22.140625" style="2587" customWidth="1"/>
    <col min="521" max="521" width="5.85546875" style="2587" customWidth="1"/>
    <col min="522" max="522" width="27.42578125" style="2587" customWidth="1"/>
    <col min="523" max="523" width="4.5703125" style="2587" customWidth="1"/>
    <col min="524" max="524" width="3.140625" style="2587" customWidth="1"/>
    <col min="525" max="527" width="1.5703125" style="2587" customWidth="1"/>
    <col min="528" max="528" width="4.85546875" style="2587" customWidth="1"/>
    <col min="529" max="530" width="1.5703125" style="2587" customWidth="1"/>
    <col min="531" max="769" width="9.140625" style="2587"/>
    <col min="770" max="770" width="17.85546875" style="2587" customWidth="1"/>
    <col min="771" max="771" width="1.140625" style="2587" customWidth="1"/>
    <col min="772" max="772" width="30.140625" style="2587" customWidth="1"/>
    <col min="773" max="773" width="1.5703125" style="2587" customWidth="1"/>
    <col min="774" max="774" width="21.140625" style="2587" customWidth="1"/>
    <col min="775" max="775" width="1.5703125" style="2587" customWidth="1"/>
    <col min="776" max="776" width="22.140625" style="2587" customWidth="1"/>
    <col min="777" max="777" width="5.85546875" style="2587" customWidth="1"/>
    <col min="778" max="778" width="27.42578125" style="2587" customWidth="1"/>
    <col min="779" max="779" width="4.5703125" style="2587" customWidth="1"/>
    <col min="780" max="780" width="3.140625" style="2587" customWidth="1"/>
    <col min="781" max="783" width="1.5703125" style="2587" customWidth="1"/>
    <col min="784" max="784" width="4.85546875" style="2587" customWidth="1"/>
    <col min="785" max="786" width="1.5703125" style="2587" customWidth="1"/>
    <col min="787" max="1025" width="9.140625" style="2587"/>
    <col min="1026" max="1026" width="17.85546875" style="2587" customWidth="1"/>
    <col min="1027" max="1027" width="1.140625" style="2587" customWidth="1"/>
    <col min="1028" max="1028" width="30.140625" style="2587" customWidth="1"/>
    <col min="1029" max="1029" width="1.5703125" style="2587" customWidth="1"/>
    <col min="1030" max="1030" width="21.140625" style="2587" customWidth="1"/>
    <col min="1031" max="1031" width="1.5703125" style="2587" customWidth="1"/>
    <col min="1032" max="1032" width="22.140625" style="2587" customWidth="1"/>
    <col min="1033" max="1033" width="5.85546875" style="2587" customWidth="1"/>
    <col min="1034" max="1034" width="27.42578125" style="2587" customWidth="1"/>
    <col min="1035" max="1035" width="4.5703125" style="2587" customWidth="1"/>
    <col min="1036" max="1036" width="3.140625" style="2587" customWidth="1"/>
    <col min="1037" max="1039" width="1.5703125" style="2587" customWidth="1"/>
    <col min="1040" max="1040" width="4.85546875" style="2587" customWidth="1"/>
    <col min="1041" max="1042" width="1.5703125" style="2587" customWidth="1"/>
    <col min="1043" max="1281" width="9.140625" style="2587"/>
    <col min="1282" max="1282" width="17.85546875" style="2587" customWidth="1"/>
    <col min="1283" max="1283" width="1.140625" style="2587" customWidth="1"/>
    <col min="1284" max="1284" width="30.140625" style="2587" customWidth="1"/>
    <col min="1285" max="1285" width="1.5703125" style="2587" customWidth="1"/>
    <col min="1286" max="1286" width="21.140625" style="2587" customWidth="1"/>
    <col min="1287" max="1287" width="1.5703125" style="2587" customWidth="1"/>
    <col min="1288" max="1288" width="22.140625" style="2587" customWidth="1"/>
    <col min="1289" max="1289" width="5.85546875" style="2587" customWidth="1"/>
    <col min="1290" max="1290" width="27.42578125" style="2587" customWidth="1"/>
    <col min="1291" max="1291" width="4.5703125" style="2587" customWidth="1"/>
    <col min="1292" max="1292" width="3.140625" style="2587" customWidth="1"/>
    <col min="1293" max="1295" width="1.5703125" style="2587" customWidth="1"/>
    <col min="1296" max="1296" width="4.85546875" style="2587" customWidth="1"/>
    <col min="1297" max="1298" width="1.5703125" style="2587" customWidth="1"/>
    <col min="1299" max="1537" width="9.140625" style="2587"/>
    <col min="1538" max="1538" width="17.85546875" style="2587" customWidth="1"/>
    <col min="1539" max="1539" width="1.140625" style="2587" customWidth="1"/>
    <col min="1540" max="1540" width="30.140625" style="2587" customWidth="1"/>
    <col min="1541" max="1541" width="1.5703125" style="2587" customWidth="1"/>
    <col min="1542" max="1542" width="21.140625" style="2587" customWidth="1"/>
    <col min="1543" max="1543" width="1.5703125" style="2587" customWidth="1"/>
    <col min="1544" max="1544" width="22.140625" style="2587" customWidth="1"/>
    <col min="1545" max="1545" width="5.85546875" style="2587" customWidth="1"/>
    <col min="1546" max="1546" width="27.42578125" style="2587" customWidth="1"/>
    <col min="1547" max="1547" width="4.5703125" style="2587" customWidth="1"/>
    <col min="1548" max="1548" width="3.140625" style="2587" customWidth="1"/>
    <col min="1549" max="1551" width="1.5703125" style="2587" customWidth="1"/>
    <col min="1552" max="1552" width="4.85546875" style="2587" customWidth="1"/>
    <col min="1553" max="1554" width="1.5703125" style="2587" customWidth="1"/>
    <col min="1555" max="1793" width="9.140625" style="2587"/>
    <col min="1794" max="1794" width="17.85546875" style="2587" customWidth="1"/>
    <col min="1795" max="1795" width="1.140625" style="2587" customWidth="1"/>
    <col min="1796" max="1796" width="30.140625" style="2587" customWidth="1"/>
    <col min="1797" max="1797" width="1.5703125" style="2587" customWidth="1"/>
    <col min="1798" max="1798" width="21.140625" style="2587" customWidth="1"/>
    <col min="1799" max="1799" width="1.5703125" style="2587" customWidth="1"/>
    <col min="1800" max="1800" width="22.140625" style="2587" customWidth="1"/>
    <col min="1801" max="1801" width="5.85546875" style="2587" customWidth="1"/>
    <col min="1802" max="1802" width="27.42578125" style="2587" customWidth="1"/>
    <col min="1803" max="1803" width="4.5703125" style="2587" customWidth="1"/>
    <col min="1804" max="1804" width="3.140625" style="2587" customWidth="1"/>
    <col min="1805" max="1807" width="1.5703125" style="2587" customWidth="1"/>
    <col min="1808" max="1808" width="4.85546875" style="2587" customWidth="1"/>
    <col min="1809" max="1810" width="1.5703125" style="2587" customWidth="1"/>
    <col min="1811" max="2049" width="9.140625" style="2587"/>
    <col min="2050" max="2050" width="17.85546875" style="2587" customWidth="1"/>
    <col min="2051" max="2051" width="1.140625" style="2587" customWidth="1"/>
    <col min="2052" max="2052" width="30.140625" style="2587" customWidth="1"/>
    <col min="2053" max="2053" width="1.5703125" style="2587" customWidth="1"/>
    <col min="2054" max="2054" width="21.140625" style="2587" customWidth="1"/>
    <col min="2055" max="2055" width="1.5703125" style="2587" customWidth="1"/>
    <col min="2056" max="2056" width="22.140625" style="2587" customWidth="1"/>
    <col min="2057" max="2057" width="5.85546875" style="2587" customWidth="1"/>
    <col min="2058" max="2058" width="27.42578125" style="2587" customWidth="1"/>
    <col min="2059" max="2059" width="4.5703125" style="2587" customWidth="1"/>
    <col min="2060" max="2060" width="3.140625" style="2587" customWidth="1"/>
    <col min="2061" max="2063" width="1.5703125" style="2587" customWidth="1"/>
    <col min="2064" max="2064" width="4.85546875" style="2587" customWidth="1"/>
    <col min="2065" max="2066" width="1.5703125" style="2587" customWidth="1"/>
    <col min="2067" max="2305" width="9.140625" style="2587"/>
    <col min="2306" max="2306" width="17.85546875" style="2587" customWidth="1"/>
    <col min="2307" max="2307" width="1.140625" style="2587" customWidth="1"/>
    <col min="2308" max="2308" width="30.140625" style="2587" customWidth="1"/>
    <col min="2309" max="2309" width="1.5703125" style="2587" customWidth="1"/>
    <col min="2310" max="2310" width="21.140625" style="2587" customWidth="1"/>
    <col min="2311" max="2311" width="1.5703125" style="2587" customWidth="1"/>
    <col min="2312" max="2312" width="22.140625" style="2587" customWidth="1"/>
    <col min="2313" max="2313" width="5.85546875" style="2587" customWidth="1"/>
    <col min="2314" max="2314" width="27.42578125" style="2587" customWidth="1"/>
    <col min="2315" max="2315" width="4.5703125" style="2587" customWidth="1"/>
    <col min="2316" max="2316" width="3.140625" style="2587" customWidth="1"/>
    <col min="2317" max="2319" width="1.5703125" style="2587" customWidth="1"/>
    <col min="2320" max="2320" width="4.85546875" style="2587" customWidth="1"/>
    <col min="2321" max="2322" width="1.5703125" style="2587" customWidth="1"/>
    <col min="2323" max="2561" width="9.140625" style="2587"/>
    <col min="2562" max="2562" width="17.85546875" style="2587" customWidth="1"/>
    <col min="2563" max="2563" width="1.140625" style="2587" customWidth="1"/>
    <col min="2564" max="2564" width="30.140625" style="2587" customWidth="1"/>
    <col min="2565" max="2565" width="1.5703125" style="2587" customWidth="1"/>
    <col min="2566" max="2566" width="21.140625" style="2587" customWidth="1"/>
    <col min="2567" max="2567" width="1.5703125" style="2587" customWidth="1"/>
    <col min="2568" max="2568" width="22.140625" style="2587" customWidth="1"/>
    <col min="2569" max="2569" width="5.85546875" style="2587" customWidth="1"/>
    <col min="2570" max="2570" width="27.42578125" style="2587" customWidth="1"/>
    <col min="2571" max="2571" width="4.5703125" style="2587" customWidth="1"/>
    <col min="2572" max="2572" width="3.140625" style="2587" customWidth="1"/>
    <col min="2573" max="2575" width="1.5703125" style="2587" customWidth="1"/>
    <col min="2576" max="2576" width="4.85546875" style="2587" customWidth="1"/>
    <col min="2577" max="2578" width="1.5703125" style="2587" customWidth="1"/>
    <col min="2579" max="2817" width="9.140625" style="2587"/>
    <col min="2818" max="2818" width="17.85546875" style="2587" customWidth="1"/>
    <col min="2819" max="2819" width="1.140625" style="2587" customWidth="1"/>
    <col min="2820" max="2820" width="30.140625" style="2587" customWidth="1"/>
    <col min="2821" max="2821" width="1.5703125" style="2587" customWidth="1"/>
    <col min="2822" max="2822" width="21.140625" style="2587" customWidth="1"/>
    <col min="2823" max="2823" width="1.5703125" style="2587" customWidth="1"/>
    <col min="2824" max="2824" width="22.140625" style="2587" customWidth="1"/>
    <col min="2825" max="2825" width="5.85546875" style="2587" customWidth="1"/>
    <col min="2826" max="2826" width="27.42578125" style="2587" customWidth="1"/>
    <col min="2827" max="2827" width="4.5703125" style="2587" customWidth="1"/>
    <col min="2828" max="2828" width="3.140625" style="2587" customWidth="1"/>
    <col min="2829" max="2831" width="1.5703125" style="2587" customWidth="1"/>
    <col min="2832" max="2832" width="4.85546875" style="2587" customWidth="1"/>
    <col min="2833" max="2834" width="1.5703125" style="2587" customWidth="1"/>
    <col min="2835" max="3073" width="9.140625" style="2587"/>
    <col min="3074" max="3074" width="17.85546875" style="2587" customWidth="1"/>
    <col min="3075" max="3075" width="1.140625" style="2587" customWidth="1"/>
    <col min="3076" max="3076" width="30.140625" style="2587" customWidth="1"/>
    <col min="3077" max="3077" width="1.5703125" style="2587" customWidth="1"/>
    <col min="3078" max="3078" width="21.140625" style="2587" customWidth="1"/>
    <col min="3079" max="3079" width="1.5703125" style="2587" customWidth="1"/>
    <col min="3080" max="3080" width="22.140625" style="2587" customWidth="1"/>
    <col min="3081" max="3081" width="5.85546875" style="2587" customWidth="1"/>
    <col min="3082" max="3082" width="27.42578125" style="2587" customWidth="1"/>
    <col min="3083" max="3083" width="4.5703125" style="2587" customWidth="1"/>
    <col min="3084" max="3084" width="3.140625" style="2587" customWidth="1"/>
    <col min="3085" max="3087" width="1.5703125" style="2587" customWidth="1"/>
    <col min="3088" max="3088" width="4.85546875" style="2587" customWidth="1"/>
    <col min="3089" max="3090" width="1.5703125" style="2587" customWidth="1"/>
    <col min="3091" max="3329" width="9.140625" style="2587"/>
    <col min="3330" max="3330" width="17.85546875" style="2587" customWidth="1"/>
    <col min="3331" max="3331" width="1.140625" style="2587" customWidth="1"/>
    <col min="3332" max="3332" width="30.140625" style="2587" customWidth="1"/>
    <col min="3333" max="3333" width="1.5703125" style="2587" customWidth="1"/>
    <col min="3334" max="3334" width="21.140625" style="2587" customWidth="1"/>
    <col min="3335" max="3335" width="1.5703125" style="2587" customWidth="1"/>
    <col min="3336" max="3336" width="22.140625" style="2587" customWidth="1"/>
    <col min="3337" max="3337" width="5.85546875" style="2587" customWidth="1"/>
    <col min="3338" max="3338" width="27.42578125" style="2587" customWidth="1"/>
    <col min="3339" max="3339" width="4.5703125" style="2587" customWidth="1"/>
    <col min="3340" max="3340" width="3.140625" style="2587" customWidth="1"/>
    <col min="3341" max="3343" width="1.5703125" style="2587" customWidth="1"/>
    <col min="3344" max="3344" width="4.85546875" style="2587" customWidth="1"/>
    <col min="3345" max="3346" width="1.5703125" style="2587" customWidth="1"/>
    <col min="3347" max="3585" width="9.140625" style="2587"/>
    <col min="3586" max="3586" width="17.85546875" style="2587" customWidth="1"/>
    <col min="3587" max="3587" width="1.140625" style="2587" customWidth="1"/>
    <col min="3588" max="3588" width="30.140625" style="2587" customWidth="1"/>
    <col min="3589" max="3589" width="1.5703125" style="2587" customWidth="1"/>
    <col min="3590" max="3590" width="21.140625" style="2587" customWidth="1"/>
    <col min="3591" max="3591" width="1.5703125" style="2587" customWidth="1"/>
    <col min="3592" max="3592" width="22.140625" style="2587" customWidth="1"/>
    <col min="3593" max="3593" width="5.85546875" style="2587" customWidth="1"/>
    <col min="3594" max="3594" width="27.42578125" style="2587" customWidth="1"/>
    <col min="3595" max="3595" width="4.5703125" style="2587" customWidth="1"/>
    <col min="3596" max="3596" width="3.140625" style="2587" customWidth="1"/>
    <col min="3597" max="3599" width="1.5703125" style="2587" customWidth="1"/>
    <col min="3600" max="3600" width="4.85546875" style="2587" customWidth="1"/>
    <col min="3601" max="3602" width="1.5703125" style="2587" customWidth="1"/>
    <col min="3603" max="3841" width="9.140625" style="2587"/>
    <col min="3842" max="3842" width="17.85546875" style="2587" customWidth="1"/>
    <col min="3843" max="3843" width="1.140625" style="2587" customWidth="1"/>
    <col min="3844" max="3844" width="30.140625" style="2587" customWidth="1"/>
    <col min="3845" max="3845" width="1.5703125" style="2587" customWidth="1"/>
    <col min="3846" max="3846" width="21.140625" style="2587" customWidth="1"/>
    <col min="3847" max="3847" width="1.5703125" style="2587" customWidth="1"/>
    <col min="3848" max="3848" width="22.140625" style="2587" customWidth="1"/>
    <col min="3849" max="3849" width="5.85546875" style="2587" customWidth="1"/>
    <col min="3850" max="3850" width="27.42578125" style="2587" customWidth="1"/>
    <col min="3851" max="3851" width="4.5703125" style="2587" customWidth="1"/>
    <col min="3852" max="3852" width="3.140625" style="2587" customWidth="1"/>
    <col min="3853" max="3855" width="1.5703125" style="2587" customWidth="1"/>
    <col min="3856" max="3856" width="4.85546875" style="2587" customWidth="1"/>
    <col min="3857" max="3858" width="1.5703125" style="2587" customWidth="1"/>
    <col min="3859" max="4097" width="9.140625" style="2587"/>
    <col min="4098" max="4098" width="17.85546875" style="2587" customWidth="1"/>
    <col min="4099" max="4099" width="1.140625" style="2587" customWidth="1"/>
    <col min="4100" max="4100" width="30.140625" style="2587" customWidth="1"/>
    <col min="4101" max="4101" width="1.5703125" style="2587" customWidth="1"/>
    <col min="4102" max="4102" width="21.140625" style="2587" customWidth="1"/>
    <col min="4103" max="4103" width="1.5703125" style="2587" customWidth="1"/>
    <col min="4104" max="4104" width="22.140625" style="2587" customWidth="1"/>
    <col min="4105" max="4105" width="5.85546875" style="2587" customWidth="1"/>
    <col min="4106" max="4106" width="27.42578125" style="2587" customWidth="1"/>
    <col min="4107" max="4107" width="4.5703125" style="2587" customWidth="1"/>
    <col min="4108" max="4108" width="3.140625" style="2587" customWidth="1"/>
    <col min="4109" max="4111" width="1.5703125" style="2587" customWidth="1"/>
    <col min="4112" max="4112" width="4.85546875" style="2587" customWidth="1"/>
    <col min="4113" max="4114" width="1.5703125" style="2587" customWidth="1"/>
    <col min="4115" max="4353" width="9.140625" style="2587"/>
    <col min="4354" max="4354" width="17.85546875" style="2587" customWidth="1"/>
    <col min="4355" max="4355" width="1.140625" style="2587" customWidth="1"/>
    <col min="4356" max="4356" width="30.140625" style="2587" customWidth="1"/>
    <col min="4357" max="4357" width="1.5703125" style="2587" customWidth="1"/>
    <col min="4358" max="4358" width="21.140625" style="2587" customWidth="1"/>
    <col min="4359" max="4359" width="1.5703125" style="2587" customWidth="1"/>
    <col min="4360" max="4360" width="22.140625" style="2587" customWidth="1"/>
    <col min="4361" max="4361" width="5.85546875" style="2587" customWidth="1"/>
    <col min="4362" max="4362" width="27.42578125" style="2587" customWidth="1"/>
    <col min="4363" max="4363" width="4.5703125" style="2587" customWidth="1"/>
    <col min="4364" max="4364" width="3.140625" style="2587" customWidth="1"/>
    <col min="4365" max="4367" width="1.5703125" style="2587" customWidth="1"/>
    <col min="4368" max="4368" width="4.85546875" style="2587" customWidth="1"/>
    <col min="4369" max="4370" width="1.5703125" style="2587" customWidth="1"/>
    <col min="4371" max="4609" width="9.140625" style="2587"/>
    <col min="4610" max="4610" width="17.85546875" style="2587" customWidth="1"/>
    <col min="4611" max="4611" width="1.140625" style="2587" customWidth="1"/>
    <col min="4612" max="4612" width="30.140625" style="2587" customWidth="1"/>
    <col min="4613" max="4613" width="1.5703125" style="2587" customWidth="1"/>
    <col min="4614" max="4614" width="21.140625" style="2587" customWidth="1"/>
    <col min="4615" max="4615" width="1.5703125" style="2587" customWidth="1"/>
    <col min="4616" max="4616" width="22.140625" style="2587" customWidth="1"/>
    <col min="4617" max="4617" width="5.85546875" style="2587" customWidth="1"/>
    <col min="4618" max="4618" width="27.42578125" style="2587" customWidth="1"/>
    <col min="4619" max="4619" width="4.5703125" style="2587" customWidth="1"/>
    <col min="4620" max="4620" width="3.140625" style="2587" customWidth="1"/>
    <col min="4621" max="4623" width="1.5703125" style="2587" customWidth="1"/>
    <col min="4624" max="4624" width="4.85546875" style="2587" customWidth="1"/>
    <col min="4625" max="4626" width="1.5703125" style="2587" customWidth="1"/>
    <col min="4627" max="4865" width="9.140625" style="2587"/>
    <col min="4866" max="4866" width="17.85546875" style="2587" customWidth="1"/>
    <col min="4867" max="4867" width="1.140625" style="2587" customWidth="1"/>
    <col min="4868" max="4868" width="30.140625" style="2587" customWidth="1"/>
    <col min="4869" max="4869" width="1.5703125" style="2587" customWidth="1"/>
    <col min="4870" max="4870" width="21.140625" style="2587" customWidth="1"/>
    <col min="4871" max="4871" width="1.5703125" style="2587" customWidth="1"/>
    <col min="4872" max="4872" width="22.140625" style="2587" customWidth="1"/>
    <col min="4873" max="4873" width="5.85546875" style="2587" customWidth="1"/>
    <col min="4874" max="4874" width="27.42578125" style="2587" customWidth="1"/>
    <col min="4875" max="4875" width="4.5703125" style="2587" customWidth="1"/>
    <col min="4876" max="4876" width="3.140625" style="2587" customWidth="1"/>
    <col min="4877" max="4879" width="1.5703125" style="2587" customWidth="1"/>
    <col min="4880" max="4880" width="4.85546875" style="2587" customWidth="1"/>
    <col min="4881" max="4882" width="1.5703125" style="2587" customWidth="1"/>
    <col min="4883" max="5121" width="9.140625" style="2587"/>
    <col min="5122" max="5122" width="17.85546875" style="2587" customWidth="1"/>
    <col min="5123" max="5123" width="1.140625" style="2587" customWidth="1"/>
    <col min="5124" max="5124" width="30.140625" style="2587" customWidth="1"/>
    <col min="5125" max="5125" width="1.5703125" style="2587" customWidth="1"/>
    <col min="5126" max="5126" width="21.140625" style="2587" customWidth="1"/>
    <col min="5127" max="5127" width="1.5703125" style="2587" customWidth="1"/>
    <col min="5128" max="5128" width="22.140625" style="2587" customWidth="1"/>
    <col min="5129" max="5129" width="5.85546875" style="2587" customWidth="1"/>
    <col min="5130" max="5130" width="27.42578125" style="2587" customWidth="1"/>
    <col min="5131" max="5131" width="4.5703125" style="2587" customWidth="1"/>
    <col min="5132" max="5132" width="3.140625" style="2587" customWidth="1"/>
    <col min="5133" max="5135" width="1.5703125" style="2587" customWidth="1"/>
    <col min="5136" max="5136" width="4.85546875" style="2587" customWidth="1"/>
    <col min="5137" max="5138" width="1.5703125" style="2587" customWidth="1"/>
    <col min="5139" max="5377" width="9.140625" style="2587"/>
    <col min="5378" max="5378" width="17.85546875" style="2587" customWidth="1"/>
    <col min="5379" max="5379" width="1.140625" style="2587" customWidth="1"/>
    <col min="5380" max="5380" width="30.140625" style="2587" customWidth="1"/>
    <col min="5381" max="5381" width="1.5703125" style="2587" customWidth="1"/>
    <col min="5382" max="5382" width="21.140625" style="2587" customWidth="1"/>
    <col min="5383" max="5383" width="1.5703125" style="2587" customWidth="1"/>
    <col min="5384" max="5384" width="22.140625" style="2587" customWidth="1"/>
    <col min="5385" max="5385" width="5.85546875" style="2587" customWidth="1"/>
    <col min="5386" max="5386" width="27.42578125" style="2587" customWidth="1"/>
    <col min="5387" max="5387" width="4.5703125" style="2587" customWidth="1"/>
    <col min="5388" max="5388" width="3.140625" style="2587" customWidth="1"/>
    <col min="5389" max="5391" width="1.5703125" style="2587" customWidth="1"/>
    <col min="5392" max="5392" width="4.85546875" style="2587" customWidth="1"/>
    <col min="5393" max="5394" width="1.5703125" style="2587" customWidth="1"/>
    <col min="5395" max="5633" width="9.140625" style="2587"/>
    <col min="5634" max="5634" width="17.85546875" style="2587" customWidth="1"/>
    <col min="5635" max="5635" width="1.140625" style="2587" customWidth="1"/>
    <col min="5636" max="5636" width="30.140625" style="2587" customWidth="1"/>
    <col min="5637" max="5637" width="1.5703125" style="2587" customWidth="1"/>
    <col min="5638" max="5638" width="21.140625" style="2587" customWidth="1"/>
    <col min="5639" max="5639" width="1.5703125" style="2587" customWidth="1"/>
    <col min="5640" max="5640" width="22.140625" style="2587" customWidth="1"/>
    <col min="5641" max="5641" width="5.85546875" style="2587" customWidth="1"/>
    <col min="5642" max="5642" width="27.42578125" style="2587" customWidth="1"/>
    <col min="5643" max="5643" width="4.5703125" style="2587" customWidth="1"/>
    <col min="5644" max="5644" width="3.140625" style="2587" customWidth="1"/>
    <col min="5645" max="5647" width="1.5703125" style="2587" customWidth="1"/>
    <col min="5648" max="5648" width="4.85546875" style="2587" customWidth="1"/>
    <col min="5649" max="5650" width="1.5703125" style="2587" customWidth="1"/>
    <col min="5651" max="5889" width="9.140625" style="2587"/>
    <col min="5890" max="5890" width="17.85546875" style="2587" customWidth="1"/>
    <col min="5891" max="5891" width="1.140625" style="2587" customWidth="1"/>
    <col min="5892" max="5892" width="30.140625" style="2587" customWidth="1"/>
    <col min="5893" max="5893" width="1.5703125" style="2587" customWidth="1"/>
    <col min="5894" max="5894" width="21.140625" style="2587" customWidth="1"/>
    <col min="5895" max="5895" width="1.5703125" style="2587" customWidth="1"/>
    <col min="5896" max="5896" width="22.140625" style="2587" customWidth="1"/>
    <col min="5897" max="5897" width="5.85546875" style="2587" customWidth="1"/>
    <col min="5898" max="5898" width="27.42578125" style="2587" customWidth="1"/>
    <col min="5899" max="5899" width="4.5703125" style="2587" customWidth="1"/>
    <col min="5900" max="5900" width="3.140625" style="2587" customWidth="1"/>
    <col min="5901" max="5903" width="1.5703125" style="2587" customWidth="1"/>
    <col min="5904" max="5904" width="4.85546875" style="2587" customWidth="1"/>
    <col min="5905" max="5906" width="1.5703125" style="2587" customWidth="1"/>
    <col min="5907" max="6145" width="9.140625" style="2587"/>
    <col min="6146" max="6146" width="17.85546875" style="2587" customWidth="1"/>
    <col min="6147" max="6147" width="1.140625" style="2587" customWidth="1"/>
    <col min="6148" max="6148" width="30.140625" style="2587" customWidth="1"/>
    <col min="6149" max="6149" width="1.5703125" style="2587" customWidth="1"/>
    <col min="6150" max="6150" width="21.140625" style="2587" customWidth="1"/>
    <col min="6151" max="6151" width="1.5703125" style="2587" customWidth="1"/>
    <col min="6152" max="6152" width="22.140625" style="2587" customWidth="1"/>
    <col min="6153" max="6153" width="5.85546875" style="2587" customWidth="1"/>
    <col min="6154" max="6154" width="27.42578125" style="2587" customWidth="1"/>
    <col min="6155" max="6155" width="4.5703125" style="2587" customWidth="1"/>
    <col min="6156" max="6156" width="3.140625" style="2587" customWidth="1"/>
    <col min="6157" max="6159" width="1.5703125" style="2587" customWidth="1"/>
    <col min="6160" max="6160" width="4.85546875" style="2587" customWidth="1"/>
    <col min="6161" max="6162" width="1.5703125" style="2587" customWidth="1"/>
    <col min="6163" max="6401" width="9.140625" style="2587"/>
    <col min="6402" max="6402" width="17.85546875" style="2587" customWidth="1"/>
    <col min="6403" max="6403" width="1.140625" style="2587" customWidth="1"/>
    <col min="6404" max="6404" width="30.140625" style="2587" customWidth="1"/>
    <col min="6405" max="6405" width="1.5703125" style="2587" customWidth="1"/>
    <col min="6406" max="6406" width="21.140625" style="2587" customWidth="1"/>
    <col min="6407" max="6407" width="1.5703125" style="2587" customWidth="1"/>
    <col min="6408" max="6408" width="22.140625" style="2587" customWidth="1"/>
    <col min="6409" max="6409" width="5.85546875" style="2587" customWidth="1"/>
    <col min="6410" max="6410" width="27.42578125" style="2587" customWidth="1"/>
    <col min="6411" max="6411" width="4.5703125" style="2587" customWidth="1"/>
    <col min="6412" max="6412" width="3.140625" style="2587" customWidth="1"/>
    <col min="6413" max="6415" width="1.5703125" style="2587" customWidth="1"/>
    <col min="6416" max="6416" width="4.85546875" style="2587" customWidth="1"/>
    <col min="6417" max="6418" width="1.5703125" style="2587" customWidth="1"/>
    <col min="6419" max="6657" width="9.140625" style="2587"/>
    <col min="6658" max="6658" width="17.85546875" style="2587" customWidth="1"/>
    <col min="6659" max="6659" width="1.140625" style="2587" customWidth="1"/>
    <col min="6660" max="6660" width="30.140625" style="2587" customWidth="1"/>
    <col min="6661" max="6661" width="1.5703125" style="2587" customWidth="1"/>
    <col min="6662" max="6662" width="21.140625" style="2587" customWidth="1"/>
    <col min="6663" max="6663" width="1.5703125" style="2587" customWidth="1"/>
    <col min="6664" max="6664" width="22.140625" style="2587" customWidth="1"/>
    <col min="6665" max="6665" width="5.85546875" style="2587" customWidth="1"/>
    <col min="6666" max="6666" width="27.42578125" style="2587" customWidth="1"/>
    <col min="6667" max="6667" width="4.5703125" style="2587" customWidth="1"/>
    <col min="6668" max="6668" width="3.140625" style="2587" customWidth="1"/>
    <col min="6669" max="6671" width="1.5703125" style="2587" customWidth="1"/>
    <col min="6672" max="6672" width="4.85546875" style="2587" customWidth="1"/>
    <col min="6673" max="6674" width="1.5703125" style="2587" customWidth="1"/>
    <col min="6675" max="6913" width="9.140625" style="2587"/>
    <col min="6914" max="6914" width="17.85546875" style="2587" customWidth="1"/>
    <col min="6915" max="6915" width="1.140625" style="2587" customWidth="1"/>
    <col min="6916" max="6916" width="30.140625" style="2587" customWidth="1"/>
    <col min="6917" max="6917" width="1.5703125" style="2587" customWidth="1"/>
    <col min="6918" max="6918" width="21.140625" style="2587" customWidth="1"/>
    <col min="6919" max="6919" width="1.5703125" style="2587" customWidth="1"/>
    <col min="6920" max="6920" width="22.140625" style="2587" customWidth="1"/>
    <col min="6921" max="6921" width="5.85546875" style="2587" customWidth="1"/>
    <col min="6922" max="6922" width="27.42578125" style="2587" customWidth="1"/>
    <col min="6923" max="6923" width="4.5703125" style="2587" customWidth="1"/>
    <col min="6924" max="6924" width="3.140625" style="2587" customWidth="1"/>
    <col min="6925" max="6927" width="1.5703125" style="2587" customWidth="1"/>
    <col min="6928" max="6928" width="4.85546875" style="2587" customWidth="1"/>
    <col min="6929" max="6930" width="1.5703125" style="2587" customWidth="1"/>
    <col min="6931" max="7169" width="9.140625" style="2587"/>
    <col min="7170" max="7170" width="17.85546875" style="2587" customWidth="1"/>
    <col min="7171" max="7171" width="1.140625" style="2587" customWidth="1"/>
    <col min="7172" max="7172" width="30.140625" style="2587" customWidth="1"/>
    <col min="7173" max="7173" width="1.5703125" style="2587" customWidth="1"/>
    <col min="7174" max="7174" width="21.140625" style="2587" customWidth="1"/>
    <col min="7175" max="7175" width="1.5703125" style="2587" customWidth="1"/>
    <col min="7176" max="7176" width="22.140625" style="2587" customWidth="1"/>
    <col min="7177" max="7177" width="5.85546875" style="2587" customWidth="1"/>
    <col min="7178" max="7178" width="27.42578125" style="2587" customWidth="1"/>
    <col min="7179" max="7179" width="4.5703125" style="2587" customWidth="1"/>
    <col min="7180" max="7180" width="3.140625" style="2587" customWidth="1"/>
    <col min="7181" max="7183" width="1.5703125" style="2587" customWidth="1"/>
    <col min="7184" max="7184" width="4.85546875" style="2587" customWidth="1"/>
    <col min="7185" max="7186" width="1.5703125" style="2587" customWidth="1"/>
    <col min="7187" max="7425" width="9.140625" style="2587"/>
    <col min="7426" max="7426" width="17.85546875" style="2587" customWidth="1"/>
    <col min="7427" max="7427" width="1.140625" style="2587" customWidth="1"/>
    <col min="7428" max="7428" width="30.140625" style="2587" customWidth="1"/>
    <col min="7429" max="7429" width="1.5703125" style="2587" customWidth="1"/>
    <col min="7430" max="7430" width="21.140625" style="2587" customWidth="1"/>
    <col min="7431" max="7431" width="1.5703125" style="2587" customWidth="1"/>
    <col min="7432" max="7432" width="22.140625" style="2587" customWidth="1"/>
    <col min="7433" max="7433" width="5.85546875" style="2587" customWidth="1"/>
    <col min="7434" max="7434" width="27.42578125" style="2587" customWidth="1"/>
    <col min="7435" max="7435" width="4.5703125" style="2587" customWidth="1"/>
    <col min="7436" max="7436" width="3.140625" style="2587" customWidth="1"/>
    <col min="7437" max="7439" width="1.5703125" style="2587" customWidth="1"/>
    <col min="7440" max="7440" width="4.85546875" style="2587" customWidth="1"/>
    <col min="7441" max="7442" width="1.5703125" style="2587" customWidth="1"/>
    <col min="7443" max="7681" width="9.140625" style="2587"/>
    <col min="7682" max="7682" width="17.85546875" style="2587" customWidth="1"/>
    <col min="7683" max="7683" width="1.140625" style="2587" customWidth="1"/>
    <col min="7684" max="7684" width="30.140625" style="2587" customWidth="1"/>
    <col min="7685" max="7685" width="1.5703125" style="2587" customWidth="1"/>
    <col min="7686" max="7686" width="21.140625" style="2587" customWidth="1"/>
    <col min="7687" max="7687" width="1.5703125" style="2587" customWidth="1"/>
    <col min="7688" max="7688" width="22.140625" style="2587" customWidth="1"/>
    <col min="7689" max="7689" width="5.85546875" style="2587" customWidth="1"/>
    <col min="7690" max="7690" width="27.42578125" style="2587" customWidth="1"/>
    <col min="7691" max="7691" width="4.5703125" style="2587" customWidth="1"/>
    <col min="7692" max="7692" width="3.140625" style="2587" customWidth="1"/>
    <col min="7693" max="7695" width="1.5703125" style="2587" customWidth="1"/>
    <col min="7696" max="7696" width="4.85546875" style="2587" customWidth="1"/>
    <col min="7697" max="7698" width="1.5703125" style="2587" customWidth="1"/>
    <col min="7699" max="7937" width="9.140625" style="2587"/>
    <col min="7938" max="7938" width="17.85546875" style="2587" customWidth="1"/>
    <col min="7939" max="7939" width="1.140625" style="2587" customWidth="1"/>
    <col min="7940" max="7940" width="30.140625" style="2587" customWidth="1"/>
    <col min="7941" max="7941" width="1.5703125" style="2587" customWidth="1"/>
    <col min="7942" max="7942" width="21.140625" style="2587" customWidth="1"/>
    <col min="7943" max="7943" width="1.5703125" style="2587" customWidth="1"/>
    <col min="7944" max="7944" width="22.140625" style="2587" customWidth="1"/>
    <col min="7945" max="7945" width="5.85546875" style="2587" customWidth="1"/>
    <col min="7946" max="7946" width="27.42578125" style="2587" customWidth="1"/>
    <col min="7947" max="7947" width="4.5703125" style="2587" customWidth="1"/>
    <col min="7948" max="7948" width="3.140625" style="2587" customWidth="1"/>
    <col min="7949" max="7951" width="1.5703125" style="2587" customWidth="1"/>
    <col min="7952" max="7952" width="4.85546875" style="2587" customWidth="1"/>
    <col min="7953" max="7954" width="1.5703125" style="2587" customWidth="1"/>
    <col min="7955" max="8193" width="9.140625" style="2587"/>
    <col min="8194" max="8194" width="17.85546875" style="2587" customWidth="1"/>
    <col min="8195" max="8195" width="1.140625" style="2587" customWidth="1"/>
    <col min="8196" max="8196" width="30.140625" style="2587" customWidth="1"/>
    <col min="8197" max="8197" width="1.5703125" style="2587" customWidth="1"/>
    <col min="8198" max="8198" width="21.140625" style="2587" customWidth="1"/>
    <col min="8199" max="8199" width="1.5703125" style="2587" customWidth="1"/>
    <col min="8200" max="8200" width="22.140625" style="2587" customWidth="1"/>
    <col min="8201" max="8201" width="5.85546875" style="2587" customWidth="1"/>
    <col min="8202" max="8202" width="27.42578125" style="2587" customWidth="1"/>
    <col min="8203" max="8203" width="4.5703125" style="2587" customWidth="1"/>
    <col min="8204" max="8204" width="3.140625" style="2587" customWidth="1"/>
    <col min="8205" max="8207" width="1.5703125" style="2587" customWidth="1"/>
    <col min="8208" max="8208" width="4.85546875" style="2587" customWidth="1"/>
    <col min="8209" max="8210" width="1.5703125" style="2587" customWidth="1"/>
    <col min="8211" max="8449" width="9.140625" style="2587"/>
    <col min="8450" max="8450" width="17.85546875" style="2587" customWidth="1"/>
    <col min="8451" max="8451" width="1.140625" style="2587" customWidth="1"/>
    <col min="8452" max="8452" width="30.140625" style="2587" customWidth="1"/>
    <col min="8453" max="8453" width="1.5703125" style="2587" customWidth="1"/>
    <col min="8454" max="8454" width="21.140625" style="2587" customWidth="1"/>
    <col min="8455" max="8455" width="1.5703125" style="2587" customWidth="1"/>
    <col min="8456" max="8456" width="22.140625" style="2587" customWidth="1"/>
    <col min="8457" max="8457" width="5.85546875" style="2587" customWidth="1"/>
    <col min="8458" max="8458" width="27.42578125" style="2587" customWidth="1"/>
    <col min="8459" max="8459" width="4.5703125" style="2587" customWidth="1"/>
    <col min="8460" max="8460" width="3.140625" style="2587" customWidth="1"/>
    <col min="8461" max="8463" width="1.5703125" style="2587" customWidth="1"/>
    <col min="8464" max="8464" width="4.85546875" style="2587" customWidth="1"/>
    <col min="8465" max="8466" width="1.5703125" style="2587" customWidth="1"/>
    <col min="8467" max="8705" width="9.140625" style="2587"/>
    <col min="8706" max="8706" width="17.85546875" style="2587" customWidth="1"/>
    <col min="8707" max="8707" width="1.140625" style="2587" customWidth="1"/>
    <col min="8708" max="8708" width="30.140625" style="2587" customWidth="1"/>
    <col min="8709" max="8709" width="1.5703125" style="2587" customWidth="1"/>
    <col min="8710" max="8710" width="21.140625" style="2587" customWidth="1"/>
    <col min="8711" max="8711" width="1.5703125" style="2587" customWidth="1"/>
    <col min="8712" max="8712" width="22.140625" style="2587" customWidth="1"/>
    <col min="8713" max="8713" width="5.85546875" style="2587" customWidth="1"/>
    <col min="8714" max="8714" width="27.42578125" style="2587" customWidth="1"/>
    <col min="8715" max="8715" width="4.5703125" style="2587" customWidth="1"/>
    <col min="8716" max="8716" width="3.140625" style="2587" customWidth="1"/>
    <col min="8717" max="8719" width="1.5703125" style="2587" customWidth="1"/>
    <col min="8720" max="8720" width="4.85546875" style="2587" customWidth="1"/>
    <col min="8721" max="8722" width="1.5703125" style="2587" customWidth="1"/>
    <col min="8723" max="8961" width="9.140625" style="2587"/>
    <col min="8962" max="8962" width="17.85546875" style="2587" customWidth="1"/>
    <col min="8963" max="8963" width="1.140625" style="2587" customWidth="1"/>
    <col min="8964" max="8964" width="30.140625" style="2587" customWidth="1"/>
    <col min="8965" max="8965" width="1.5703125" style="2587" customWidth="1"/>
    <col min="8966" max="8966" width="21.140625" style="2587" customWidth="1"/>
    <col min="8967" max="8967" width="1.5703125" style="2587" customWidth="1"/>
    <col min="8968" max="8968" width="22.140625" style="2587" customWidth="1"/>
    <col min="8969" max="8969" width="5.85546875" style="2587" customWidth="1"/>
    <col min="8970" max="8970" width="27.42578125" style="2587" customWidth="1"/>
    <col min="8971" max="8971" width="4.5703125" style="2587" customWidth="1"/>
    <col min="8972" max="8972" width="3.140625" style="2587" customWidth="1"/>
    <col min="8973" max="8975" width="1.5703125" style="2587" customWidth="1"/>
    <col min="8976" max="8976" width="4.85546875" style="2587" customWidth="1"/>
    <col min="8977" max="8978" width="1.5703125" style="2587" customWidth="1"/>
    <col min="8979" max="9217" width="9.140625" style="2587"/>
    <col min="9218" max="9218" width="17.85546875" style="2587" customWidth="1"/>
    <col min="9219" max="9219" width="1.140625" style="2587" customWidth="1"/>
    <col min="9220" max="9220" width="30.140625" style="2587" customWidth="1"/>
    <col min="9221" max="9221" width="1.5703125" style="2587" customWidth="1"/>
    <col min="9222" max="9222" width="21.140625" style="2587" customWidth="1"/>
    <col min="9223" max="9223" width="1.5703125" style="2587" customWidth="1"/>
    <col min="9224" max="9224" width="22.140625" style="2587" customWidth="1"/>
    <col min="9225" max="9225" width="5.85546875" style="2587" customWidth="1"/>
    <col min="9226" max="9226" width="27.42578125" style="2587" customWidth="1"/>
    <col min="9227" max="9227" width="4.5703125" style="2587" customWidth="1"/>
    <col min="9228" max="9228" width="3.140625" style="2587" customWidth="1"/>
    <col min="9229" max="9231" width="1.5703125" style="2587" customWidth="1"/>
    <col min="9232" max="9232" width="4.85546875" style="2587" customWidth="1"/>
    <col min="9233" max="9234" width="1.5703125" style="2587" customWidth="1"/>
    <col min="9235" max="9473" width="9.140625" style="2587"/>
    <col min="9474" max="9474" width="17.85546875" style="2587" customWidth="1"/>
    <col min="9475" max="9475" width="1.140625" style="2587" customWidth="1"/>
    <col min="9476" max="9476" width="30.140625" style="2587" customWidth="1"/>
    <col min="9477" max="9477" width="1.5703125" style="2587" customWidth="1"/>
    <col min="9478" max="9478" width="21.140625" style="2587" customWidth="1"/>
    <col min="9479" max="9479" width="1.5703125" style="2587" customWidth="1"/>
    <col min="9480" max="9480" width="22.140625" style="2587" customWidth="1"/>
    <col min="9481" max="9481" width="5.85546875" style="2587" customWidth="1"/>
    <col min="9482" max="9482" width="27.42578125" style="2587" customWidth="1"/>
    <col min="9483" max="9483" width="4.5703125" style="2587" customWidth="1"/>
    <col min="9484" max="9484" width="3.140625" style="2587" customWidth="1"/>
    <col min="9485" max="9487" width="1.5703125" style="2587" customWidth="1"/>
    <col min="9488" max="9488" width="4.85546875" style="2587" customWidth="1"/>
    <col min="9489" max="9490" width="1.5703125" style="2587" customWidth="1"/>
    <col min="9491" max="9729" width="9.140625" style="2587"/>
    <col min="9730" max="9730" width="17.85546875" style="2587" customWidth="1"/>
    <col min="9731" max="9731" width="1.140625" style="2587" customWidth="1"/>
    <col min="9732" max="9732" width="30.140625" style="2587" customWidth="1"/>
    <col min="9733" max="9733" width="1.5703125" style="2587" customWidth="1"/>
    <col min="9734" max="9734" width="21.140625" style="2587" customWidth="1"/>
    <col min="9735" max="9735" width="1.5703125" style="2587" customWidth="1"/>
    <col min="9736" max="9736" width="22.140625" style="2587" customWidth="1"/>
    <col min="9737" max="9737" width="5.85546875" style="2587" customWidth="1"/>
    <col min="9738" max="9738" width="27.42578125" style="2587" customWidth="1"/>
    <col min="9739" max="9739" width="4.5703125" style="2587" customWidth="1"/>
    <col min="9740" max="9740" width="3.140625" style="2587" customWidth="1"/>
    <col min="9741" max="9743" width="1.5703125" style="2587" customWidth="1"/>
    <col min="9744" max="9744" width="4.85546875" style="2587" customWidth="1"/>
    <col min="9745" max="9746" width="1.5703125" style="2587" customWidth="1"/>
    <col min="9747" max="9985" width="9.140625" style="2587"/>
    <col min="9986" max="9986" width="17.85546875" style="2587" customWidth="1"/>
    <col min="9987" max="9987" width="1.140625" style="2587" customWidth="1"/>
    <col min="9988" max="9988" width="30.140625" style="2587" customWidth="1"/>
    <col min="9989" max="9989" width="1.5703125" style="2587" customWidth="1"/>
    <col min="9990" max="9990" width="21.140625" style="2587" customWidth="1"/>
    <col min="9991" max="9991" width="1.5703125" style="2587" customWidth="1"/>
    <col min="9992" max="9992" width="22.140625" style="2587" customWidth="1"/>
    <col min="9993" max="9993" width="5.85546875" style="2587" customWidth="1"/>
    <col min="9994" max="9994" width="27.42578125" style="2587" customWidth="1"/>
    <col min="9995" max="9995" width="4.5703125" style="2587" customWidth="1"/>
    <col min="9996" max="9996" width="3.140625" style="2587" customWidth="1"/>
    <col min="9997" max="9999" width="1.5703125" style="2587" customWidth="1"/>
    <col min="10000" max="10000" width="4.85546875" style="2587" customWidth="1"/>
    <col min="10001" max="10002" width="1.5703125" style="2587" customWidth="1"/>
    <col min="10003" max="10241" width="9.140625" style="2587"/>
    <col min="10242" max="10242" width="17.85546875" style="2587" customWidth="1"/>
    <col min="10243" max="10243" width="1.140625" style="2587" customWidth="1"/>
    <col min="10244" max="10244" width="30.140625" style="2587" customWidth="1"/>
    <col min="10245" max="10245" width="1.5703125" style="2587" customWidth="1"/>
    <col min="10246" max="10246" width="21.140625" style="2587" customWidth="1"/>
    <col min="10247" max="10247" width="1.5703125" style="2587" customWidth="1"/>
    <col min="10248" max="10248" width="22.140625" style="2587" customWidth="1"/>
    <col min="10249" max="10249" width="5.85546875" style="2587" customWidth="1"/>
    <col min="10250" max="10250" width="27.42578125" style="2587" customWidth="1"/>
    <col min="10251" max="10251" width="4.5703125" style="2587" customWidth="1"/>
    <col min="10252" max="10252" width="3.140625" style="2587" customWidth="1"/>
    <col min="10253" max="10255" width="1.5703125" style="2587" customWidth="1"/>
    <col min="10256" max="10256" width="4.85546875" style="2587" customWidth="1"/>
    <col min="10257" max="10258" width="1.5703125" style="2587" customWidth="1"/>
    <col min="10259" max="10497" width="9.140625" style="2587"/>
    <col min="10498" max="10498" width="17.85546875" style="2587" customWidth="1"/>
    <col min="10499" max="10499" width="1.140625" style="2587" customWidth="1"/>
    <col min="10500" max="10500" width="30.140625" style="2587" customWidth="1"/>
    <col min="10501" max="10501" width="1.5703125" style="2587" customWidth="1"/>
    <col min="10502" max="10502" width="21.140625" style="2587" customWidth="1"/>
    <col min="10503" max="10503" width="1.5703125" style="2587" customWidth="1"/>
    <col min="10504" max="10504" width="22.140625" style="2587" customWidth="1"/>
    <col min="10505" max="10505" width="5.85546875" style="2587" customWidth="1"/>
    <col min="10506" max="10506" width="27.42578125" style="2587" customWidth="1"/>
    <col min="10507" max="10507" width="4.5703125" style="2587" customWidth="1"/>
    <col min="10508" max="10508" width="3.140625" style="2587" customWidth="1"/>
    <col min="10509" max="10511" width="1.5703125" style="2587" customWidth="1"/>
    <col min="10512" max="10512" width="4.85546875" style="2587" customWidth="1"/>
    <col min="10513" max="10514" width="1.5703125" style="2587" customWidth="1"/>
    <col min="10515" max="10753" width="9.140625" style="2587"/>
    <col min="10754" max="10754" width="17.85546875" style="2587" customWidth="1"/>
    <col min="10755" max="10755" width="1.140625" style="2587" customWidth="1"/>
    <col min="10756" max="10756" width="30.140625" style="2587" customWidth="1"/>
    <col min="10757" max="10757" width="1.5703125" style="2587" customWidth="1"/>
    <col min="10758" max="10758" width="21.140625" style="2587" customWidth="1"/>
    <col min="10759" max="10759" width="1.5703125" style="2587" customWidth="1"/>
    <col min="10760" max="10760" width="22.140625" style="2587" customWidth="1"/>
    <col min="10761" max="10761" width="5.85546875" style="2587" customWidth="1"/>
    <col min="10762" max="10762" width="27.42578125" style="2587" customWidth="1"/>
    <col min="10763" max="10763" width="4.5703125" style="2587" customWidth="1"/>
    <col min="10764" max="10764" width="3.140625" style="2587" customWidth="1"/>
    <col min="10765" max="10767" width="1.5703125" style="2587" customWidth="1"/>
    <col min="10768" max="10768" width="4.85546875" style="2587" customWidth="1"/>
    <col min="10769" max="10770" width="1.5703125" style="2587" customWidth="1"/>
    <col min="10771" max="11009" width="9.140625" style="2587"/>
    <col min="11010" max="11010" width="17.85546875" style="2587" customWidth="1"/>
    <col min="11011" max="11011" width="1.140625" style="2587" customWidth="1"/>
    <col min="11012" max="11012" width="30.140625" style="2587" customWidth="1"/>
    <col min="11013" max="11013" width="1.5703125" style="2587" customWidth="1"/>
    <col min="11014" max="11014" width="21.140625" style="2587" customWidth="1"/>
    <col min="11015" max="11015" width="1.5703125" style="2587" customWidth="1"/>
    <col min="11016" max="11016" width="22.140625" style="2587" customWidth="1"/>
    <col min="11017" max="11017" width="5.85546875" style="2587" customWidth="1"/>
    <col min="11018" max="11018" width="27.42578125" style="2587" customWidth="1"/>
    <col min="11019" max="11019" width="4.5703125" style="2587" customWidth="1"/>
    <col min="11020" max="11020" width="3.140625" style="2587" customWidth="1"/>
    <col min="11021" max="11023" width="1.5703125" style="2587" customWidth="1"/>
    <col min="11024" max="11024" width="4.85546875" style="2587" customWidth="1"/>
    <col min="11025" max="11026" width="1.5703125" style="2587" customWidth="1"/>
    <col min="11027" max="11265" width="9.140625" style="2587"/>
    <col min="11266" max="11266" width="17.85546875" style="2587" customWidth="1"/>
    <col min="11267" max="11267" width="1.140625" style="2587" customWidth="1"/>
    <col min="11268" max="11268" width="30.140625" style="2587" customWidth="1"/>
    <col min="11269" max="11269" width="1.5703125" style="2587" customWidth="1"/>
    <col min="11270" max="11270" width="21.140625" style="2587" customWidth="1"/>
    <col min="11271" max="11271" width="1.5703125" style="2587" customWidth="1"/>
    <col min="11272" max="11272" width="22.140625" style="2587" customWidth="1"/>
    <col min="11273" max="11273" width="5.85546875" style="2587" customWidth="1"/>
    <col min="11274" max="11274" width="27.42578125" style="2587" customWidth="1"/>
    <col min="11275" max="11275" width="4.5703125" style="2587" customWidth="1"/>
    <col min="11276" max="11276" width="3.140625" style="2587" customWidth="1"/>
    <col min="11277" max="11279" width="1.5703125" style="2587" customWidth="1"/>
    <col min="11280" max="11280" width="4.85546875" style="2587" customWidth="1"/>
    <col min="11281" max="11282" width="1.5703125" style="2587" customWidth="1"/>
    <col min="11283" max="11521" width="9.140625" style="2587"/>
    <col min="11522" max="11522" width="17.85546875" style="2587" customWidth="1"/>
    <col min="11523" max="11523" width="1.140625" style="2587" customWidth="1"/>
    <col min="11524" max="11524" width="30.140625" style="2587" customWidth="1"/>
    <col min="11525" max="11525" width="1.5703125" style="2587" customWidth="1"/>
    <col min="11526" max="11526" width="21.140625" style="2587" customWidth="1"/>
    <col min="11527" max="11527" width="1.5703125" style="2587" customWidth="1"/>
    <col min="11528" max="11528" width="22.140625" style="2587" customWidth="1"/>
    <col min="11529" max="11529" width="5.85546875" style="2587" customWidth="1"/>
    <col min="11530" max="11530" width="27.42578125" style="2587" customWidth="1"/>
    <col min="11531" max="11531" width="4.5703125" style="2587" customWidth="1"/>
    <col min="11532" max="11532" width="3.140625" style="2587" customWidth="1"/>
    <col min="11533" max="11535" width="1.5703125" style="2587" customWidth="1"/>
    <col min="11536" max="11536" width="4.85546875" style="2587" customWidth="1"/>
    <col min="11537" max="11538" width="1.5703125" style="2587" customWidth="1"/>
    <col min="11539" max="11777" width="9.140625" style="2587"/>
    <col min="11778" max="11778" width="17.85546875" style="2587" customWidth="1"/>
    <col min="11779" max="11779" width="1.140625" style="2587" customWidth="1"/>
    <col min="11780" max="11780" width="30.140625" style="2587" customWidth="1"/>
    <col min="11781" max="11781" width="1.5703125" style="2587" customWidth="1"/>
    <col min="11782" max="11782" width="21.140625" style="2587" customWidth="1"/>
    <col min="11783" max="11783" width="1.5703125" style="2587" customWidth="1"/>
    <col min="11784" max="11784" width="22.140625" style="2587" customWidth="1"/>
    <col min="11785" max="11785" width="5.85546875" style="2587" customWidth="1"/>
    <col min="11786" max="11786" width="27.42578125" style="2587" customWidth="1"/>
    <col min="11787" max="11787" width="4.5703125" style="2587" customWidth="1"/>
    <col min="11788" max="11788" width="3.140625" style="2587" customWidth="1"/>
    <col min="11789" max="11791" width="1.5703125" style="2587" customWidth="1"/>
    <col min="11792" max="11792" width="4.85546875" style="2587" customWidth="1"/>
    <col min="11793" max="11794" width="1.5703125" style="2587" customWidth="1"/>
    <col min="11795" max="12033" width="9.140625" style="2587"/>
    <col min="12034" max="12034" width="17.85546875" style="2587" customWidth="1"/>
    <col min="12035" max="12035" width="1.140625" style="2587" customWidth="1"/>
    <col min="12036" max="12036" width="30.140625" style="2587" customWidth="1"/>
    <col min="12037" max="12037" width="1.5703125" style="2587" customWidth="1"/>
    <col min="12038" max="12038" width="21.140625" style="2587" customWidth="1"/>
    <col min="12039" max="12039" width="1.5703125" style="2587" customWidth="1"/>
    <col min="12040" max="12040" width="22.140625" style="2587" customWidth="1"/>
    <col min="12041" max="12041" width="5.85546875" style="2587" customWidth="1"/>
    <col min="12042" max="12042" width="27.42578125" style="2587" customWidth="1"/>
    <col min="12043" max="12043" width="4.5703125" style="2587" customWidth="1"/>
    <col min="12044" max="12044" width="3.140625" style="2587" customWidth="1"/>
    <col min="12045" max="12047" width="1.5703125" style="2587" customWidth="1"/>
    <col min="12048" max="12048" width="4.85546875" style="2587" customWidth="1"/>
    <col min="12049" max="12050" width="1.5703125" style="2587" customWidth="1"/>
    <col min="12051" max="12289" width="9.140625" style="2587"/>
    <col min="12290" max="12290" width="17.85546875" style="2587" customWidth="1"/>
    <col min="12291" max="12291" width="1.140625" style="2587" customWidth="1"/>
    <col min="12292" max="12292" width="30.140625" style="2587" customWidth="1"/>
    <col min="12293" max="12293" width="1.5703125" style="2587" customWidth="1"/>
    <col min="12294" max="12294" width="21.140625" style="2587" customWidth="1"/>
    <col min="12295" max="12295" width="1.5703125" style="2587" customWidth="1"/>
    <col min="12296" max="12296" width="22.140625" style="2587" customWidth="1"/>
    <col min="12297" max="12297" width="5.85546875" style="2587" customWidth="1"/>
    <col min="12298" max="12298" width="27.42578125" style="2587" customWidth="1"/>
    <col min="12299" max="12299" width="4.5703125" style="2587" customWidth="1"/>
    <col min="12300" max="12300" width="3.140625" style="2587" customWidth="1"/>
    <col min="12301" max="12303" width="1.5703125" style="2587" customWidth="1"/>
    <col min="12304" max="12304" width="4.85546875" style="2587" customWidth="1"/>
    <col min="12305" max="12306" width="1.5703125" style="2587" customWidth="1"/>
    <col min="12307" max="12545" width="9.140625" style="2587"/>
    <col min="12546" max="12546" width="17.85546875" style="2587" customWidth="1"/>
    <col min="12547" max="12547" width="1.140625" style="2587" customWidth="1"/>
    <col min="12548" max="12548" width="30.140625" style="2587" customWidth="1"/>
    <col min="12549" max="12549" width="1.5703125" style="2587" customWidth="1"/>
    <col min="12550" max="12550" width="21.140625" style="2587" customWidth="1"/>
    <col min="12551" max="12551" width="1.5703125" style="2587" customWidth="1"/>
    <col min="12552" max="12552" width="22.140625" style="2587" customWidth="1"/>
    <col min="12553" max="12553" width="5.85546875" style="2587" customWidth="1"/>
    <col min="12554" max="12554" width="27.42578125" style="2587" customWidth="1"/>
    <col min="12555" max="12555" width="4.5703125" style="2587" customWidth="1"/>
    <col min="12556" max="12556" width="3.140625" style="2587" customWidth="1"/>
    <col min="12557" max="12559" width="1.5703125" style="2587" customWidth="1"/>
    <col min="12560" max="12560" width="4.85546875" style="2587" customWidth="1"/>
    <col min="12561" max="12562" width="1.5703125" style="2587" customWidth="1"/>
    <col min="12563" max="12801" width="9.140625" style="2587"/>
    <col min="12802" max="12802" width="17.85546875" style="2587" customWidth="1"/>
    <col min="12803" max="12803" width="1.140625" style="2587" customWidth="1"/>
    <col min="12804" max="12804" width="30.140625" style="2587" customWidth="1"/>
    <col min="12805" max="12805" width="1.5703125" style="2587" customWidth="1"/>
    <col min="12806" max="12806" width="21.140625" style="2587" customWidth="1"/>
    <col min="12807" max="12807" width="1.5703125" style="2587" customWidth="1"/>
    <col min="12808" max="12808" width="22.140625" style="2587" customWidth="1"/>
    <col min="12809" max="12809" width="5.85546875" style="2587" customWidth="1"/>
    <col min="12810" max="12810" width="27.42578125" style="2587" customWidth="1"/>
    <col min="12811" max="12811" width="4.5703125" style="2587" customWidth="1"/>
    <col min="12812" max="12812" width="3.140625" style="2587" customWidth="1"/>
    <col min="12813" max="12815" width="1.5703125" style="2587" customWidth="1"/>
    <col min="12816" max="12816" width="4.85546875" style="2587" customWidth="1"/>
    <col min="12817" max="12818" width="1.5703125" style="2587" customWidth="1"/>
    <col min="12819" max="13057" width="9.140625" style="2587"/>
    <col min="13058" max="13058" width="17.85546875" style="2587" customWidth="1"/>
    <col min="13059" max="13059" width="1.140625" style="2587" customWidth="1"/>
    <col min="13060" max="13060" width="30.140625" style="2587" customWidth="1"/>
    <col min="13061" max="13061" width="1.5703125" style="2587" customWidth="1"/>
    <col min="13062" max="13062" width="21.140625" style="2587" customWidth="1"/>
    <col min="13063" max="13063" width="1.5703125" style="2587" customWidth="1"/>
    <col min="13064" max="13064" width="22.140625" style="2587" customWidth="1"/>
    <col min="13065" max="13065" width="5.85546875" style="2587" customWidth="1"/>
    <col min="13066" max="13066" width="27.42578125" style="2587" customWidth="1"/>
    <col min="13067" max="13067" width="4.5703125" style="2587" customWidth="1"/>
    <col min="13068" max="13068" width="3.140625" style="2587" customWidth="1"/>
    <col min="13069" max="13071" width="1.5703125" style="2587" customWidth="1"/>
    <col min="13072" max="13072" width="4.85546875" style="2587" customWidth="1"/>
    <col min="13073" max="13074" width="1.5703125" style="2587" customWidth="1"/>
    <col min="13075" max="13313" width="9.140625" style="2587"/>
    <col min="13314" max="13314" width="17.85546875" style="2587" customWidth="1"/>
    <col min="13315" max="13315" width="1.140625" style="2587" customWidth="1"/>
    <col min="13316" max="13316" width="30.140625" style="2587" customWidth="1"/>
    <col min="13317" max="13317" width="1.5703125" style="2587" customWidth="1"/>
    <col min="13318" max="13318" width="21.140625" style="2587" customWidth="1"/>
    <col min="13319" max="13319" width="1.5703125" style="2587" customWidth="1"/>
    <col min="13320" max="13320" width="22.140625" style="2587" customWidth="1"/>
    <col min="13321" max="13321" width="5.85546875" style="2587" customWidth="1"/>
    <col min="13322" max="13322" width="27.42578125" style="2587" customWidth="1"/>
    <col min="13323" max="13323" width="4.5703125" style="2587" customWidth="1"/>
    <col min="13324" max="13324" width="3.140625" style="2587" customWidth="1"/>
    <col min="13325" max="13327" width="1.5703125" style="2587" customWidth="1"/>
    <col min="13328" max="13328" width="4.85546875" style="2587" customWidth="1"/>
    <col min="13329" max="13330" width="1.5703125" style="2587" customWidth="1"/>
    <col min="13331" max="13569" width="9.140625" style="2587"/>
    <col min="13570" max="13570" width="17.85546875" style="2587" customWidth="1"/>
    <col min="13571" max="13571" width="1.140625" style="2587" customWidth="1"/>
    <col min="13572" max="13572" width="30.140625" style="2587" customWidth="1"/>
    <col min="13573" max="13573" width="1.5703125" style="2587" customWidth="1"/>
    <col min="13574" max="13574" width="21.140625" style="2587" customWidth="1"/>
    <col min="13575" max="13575" width="1.5703125" style="2587" customWidth="1"/>
    <col min="13576" max="13576" width="22.140625" style="2587" customWidth="1"/>
    <col min="13577" max="13577" width="5.85546875" style="2587" customWidth="1"/>
    <col min="13578" max="13578" width="27.42578125" style="2587" customWidth="1"/>
    <col min="13579" max="13579" width="4.5703125" style="2587" customWidth="1"/>
    <col min="13580" max="13580" width="3.140625" style="2587" customWidth="1"/>
    <col min="13581" max="13583" width="1.5703125" style="2587" customWidth="1"/>
    <col min="13584" max="13584" width="4.85546875" style="2587" customWidth="1"/>
    <col min="13585" max="13586" width="1.5703125" style="2587" customWidth="1"/>
    <col min="13587" max="13825" width="9.140625" style="2587"/>
    <col min="13826" max="13826" width="17.85546875" style="2587" customWidth="1"/>
    <col min="13827" max="13827" width="1.140625" style="2587" customWidth="1"/>
    <col min="13828" max="13828" width="30.140625" style="2587" customWidth="1"/>
    <col min="13829" max="13829" width="1.5703125" style="2587" customWidth="1"/>
    <col min="13830" max="13830" width="21.140625" style="2587" customWidth="1"/>
    <col min="13831" max="13831" width="1.5703125" style="2587" customWidth="1"/>
    <col min="13832" max="13832" width="22.140625" style="2587" customWidth="1"/>
    <col min="13833" max="13833" width="5.85546875" style="2587" customWidth="1"/>
    <col min="13834" max="13834" width="27.42578125" style="2587" customWidth="1"/>
    <col min="13835" max="13835" width="4.5703125" style="2587" customWidth="1"/>
    <col min="13836" max="13836" width="3.140625" style="2587" customWidth="1"/>
    <col min="13837" max="13839" width="1.5703125" style="2587" customWidth="1"/>
    <col min="13840" max="13840" width="4.85546875" style="2587" customWidth="1"/>
    <col min="13841" max="13842" width="1.5703125" style="2587" customWidth="1"/>
    <col min="13843" max="14081" width="9.140625" style="2587"/>
    <col min="14082" max="14082" width="17.85546875" style="2587" customWidth="1"/>
    <col min="14083" max="14083" width="1.140625" style="2587" customWidth="1"/>
    <col min="14084" max="14084" width="30.140625" style="2587" customWidth="1"/>
    <col min="14085" max="14085" width="1.5703125" style="2587" customWidth="1"/>
    <col min="14086" max="14086" width="21.140625" style="2587" customWidth="1"/>
    <col min="14087" max="14087" width="1.5703125" style="2587" customWidth="1"/>
    <col min="14088" max="14088" width="22.140625" style="2587" customWidth="1"/>
    <col min="14089" max="14089" width="5.85546875" style="2587" customWidth="1"/>
    <col min="14090" max="14090" width="27.42578125" style="2587" customWidth="1"/>
    <col min="14091" max="14091" width="4.5703125" style="2587" customWidth="1"/>
    <col min="14092" max="14092" width="3.140625" style="2587" customWidth="1"/>
    <col min="14093" max="14095" width="1.5703125" style="2587" customWidth="1"/>
    <col min="14096" max="14096" width="4.85546875" style="2587" customWidth="1"/>
    <col min="14097" max="14098" width="1.5703125" style="2587" customWidth="1"/>
    <col min="14099" max="14337" width="9.140625" style="2587"/>
    <col min="14338" max="14338" width="17.85546875" style="2587" customWidth="1"/>
    <col min="14339" max="14339" width="1.140625" style="2587" customWidth="1"/>
    <col min="14340" max="14340" width="30.140625" style="2587" customWidth="1"/>
    <col min="14341" max="14341" width="1.5703125" style="2587" customWidth="1"/>
    <col min="14342" max="14342" width="21.140625" style="2587" customWidth="1"/>
    <col min="14343" max="14343" width="1.5703125" style="2587" customWidth="1"/>
    <col min="14344" max="14344" width="22.140625" style="2587" customWidth="1"/>
    <col min="14345" max="14345" width="5.85546875" style="2587" customWidth="1"/>
    <col min="14346" max="14346" width="27.42578125" style="2587" customWidth="1"/>
    <col min="14347" max="14347" width="4.5703125" style="2587" customWidth="1"/>
    <col min="14348" max="14348" width="3.140625" style="2587" customWidth="1"/>
    <col min="14349" max="14351" width="1.5703125" style="2587" customWidth="1"/>
    <col min="14352" max="14352" width="4.85546875" style="2587" customWidth="1"/>
    <col min="14353" max="14354" width="1.5703125" style="2587" customWidth="1"/>
    <col min="14355" max="14593" width="9.140625" style="2587"/>
    <col min="14594" max="14594" width="17.85546875" style="2587" customWidth="1"/>
    <col min="14595" max="14595" width="1.140625" style="2587" customWidth="1"/>
    <col min="14596" max="14596" width="30.140625" style="2587" customWidth="1"/>
    <col min="14597" max="14597" width="1.5703125" style="2587" customWidth="1"/>
    <col min="14598" max="14598" width="21.140625" style="2587" customWidth="1"/>
    <col min="14599" max="14599" width="1.5703125" style="2587" customWidth="1"/>
    <col min="14600" max="14600" width="22.140625" style="2587" customWidth="1"/>
    <col min="14601" max="14601" width="5.85546875" style="2587" customWidth="1"/>
    <col min="14602" max="14602" width="27.42578125" style="2587" customWidth="1"/>
    <col min="14603" max="14603" width="4.5703125" style="2587" customWidth="1"/>
    <col min="14604" max="14604" width="3.140625" style="2587" customWidth="1"/>
    <col min="14605" max="14607" width="1.5703125" style="2587" customWidth="1"/>
    <col min="14608" max="14608" width="4.85546875" style="2587" customWidth="1"/>
    <col min="14609" max="14610" width="1.5703125" style="2587" customWidth="1"/>
    <col min="14611" max="14849" width="9.140625" style="2587"/>
    <col min="14850" max="14850" width="17.85546875" style="2587" customWidth="1"/>
    <col min="14851" max="14851" width="1.140625" style="2587" customWidth="1"/>
    <col min="14852" max="14852" width="30.140625" style="2587" customWidth="1"/>
    <col min="14853" max="14853" width="1.5703125" style="2587" customWidth="1"/>
    <col min="14854" max="14854" width="21.140625" style="2587" customWidth="1"/>
    <col min="14855" max="14855" width="1.5703125" style="2587" customWidth="1"/>
    <col min="14856" max="14856" width="22.140625" style="2587" customWidth="1"/>
    <col min="14857" max="14857" width="5.85546875" style="2587" customWidth="1"/>
    <col min="14858" max="14858" width="27.42578125" style="2587" customWidth="1"/>
    <col min="14859" max="14859" width="4.5703125" style="2587" customWidth="1"/>
    <col min="14860" max="14860" width="3.140625" style="2587" customWidth="1"/>
    <col min="14861" max="14863" width="1.5703125" style="2587" customWidth="1"/>
    <col min="14864" max="14864" width="4.85546875" style="2587" customWidth="1"/>
    <col min="14865" max="14866" width="1.5703125" style="2587" customWidth="1"/>
    <col min="14867" max="15105" width="9.140625" style="2587"/>
    <col min="15106" max="15106" width="17.85546875" style="2587" customWidth="1"/>
    <col min="15107" max="15107" width="1.140625" style="2587" customWidth="1"/>
    <col min="15108" max="15108" width="30.140625" style="2587" customWidth="1"/>
    <col min="15109" max="15109" width="1.5703125" style="2587" customWidth="1"/>
    <col min="15110" max="15110" width="21.140625" style="2587" customWidth="1"/>
    <col min="15111" max="15111" width="1.5703125" style="2587" customWidth="1"/>
    <col min="15112" max="15112" width="22.140625" style="2587" customWidth="1"/>
    <col min="15113" max="15113" width="5.85546875" style="2587" customWidth="1"/>
    <col min="15114" max="15114" width="27.42578125" style="2587" customWidth="1"/>
    <col min="15115" max="15115" width="4.5703125" style="2587" customWidth="1"/>
    <col min="15116" max="15116" width="3.140625" style="2587" customWidth="1"/>
    <col min="15117" max="15119" width="1.5703125" style="2587" customWidth="1"/>
    <col min="15120" max="15120" width="4.85546875" style="2587" customWidth="1"/>
    <col min="15121" max="15122" width="1.5703125" style="2587" customWidth="1"/>
    <col min="15123" max="15361" width="9.140625" style="2587"/>
    <col min="15362" max="15362" width="17.85546875" style="2587" customWidth="1"/>
    <col min="15363" max="15363" width="1.140625" style="2587" customWidth="1"/>
    <col min="15364" max="15364" width="30.140625" style="2587" customWidth="1"/>
    <col min="15365" max="15365" width="1.5703125" style="2587" customWidth="1"/>
    <col min="15366" max="15366" width="21.140625" style="2587" customWidth="1"/>
    <col min="15367" max="15367" width="1.5703125" style="2587" customWidth="1"/>
    <col min="15368" max="15368" width="22.140625" style="2587" customWidth="1"/>
    <col min="15369" max="15369" width="5.85546875" style="2587" customWidth="1"/>
    <col min="15370" max="15370" width="27.42578125" style="2587" customWidth="1"/>
    <col min="15371" max="15371" width="4.5703125" style="2587" customWidth="1"/>
    <col min="15372" max="15372" width="3.140625" style="2587" customWidth="1"/>
    <col min="15373" max="15375" width="1.5703125" style="2587" customWidth="1"/>
    <col min="15376" max="15376" width="4.85546875" style="2587" customWidth="1"/>
    <col min="15377" max="15378" width="1.5703125" style="2587" customWidth="1"/>
    <col min="15379" max="15617" width="9.140625" style="2587"/>
    <col min="15618" max="15618" width="17.85546875" style="2587" customWidth="1"/>
    <col min="15619" max="15619" width="1.140625" style="2587" customWidth="1"/>
    <col min="15620" max="15620" width="30.140625" style="2587" customWidth="1"/>
    <col min="15621" max="15621" width="1.5703125" style="2587" customWidth="1"/>
    <col min="15622" max="15622" width="21.140625" style="2587" customWidth="1"/>
    <col min="15623" max="15623" width="1.5703125" style="2587" customWidth="1"/>
    <col min="15624" max="15624" width="22.140625" style="2587" customWidth="1"/>
    <col min="15625" max="15625" width="5.85546875" style="2587" customWidth="1"/>
    <col min="15626" max="15626" width="27.42578125" style="2587" customWidth="1"/>
    <col min="15627" max="15627" width="4.5703125" style="2587" customWidth="1"/>
    <col min="15628" max="15628" width="3.140625" style="2587" customWidth="1"/>
    <col min="15629" max="15631" width="1.5703125" style="2587" customWidth="1"/>
    <col min="15632" max="15632" width="4.85546875" style="2587" customWidth="1"/>
    <col min="15633" max="15634" width="1.5703125" style="2587" customWidth="1"/>
    <col min="15635" max="15873" width="9.140625" style="2587"/>
    <col min="15874" max="15874" width="17.85546875" style="2587" customWidth="1"/>
    <col min="15875" max="15875" width="1.140625" style="2587" customWidth="1"/>
    <col min="15876" max="15876" width="30.140625" style="2587" customWidth="1"/>
    <col min="15877" max="15877" width="1.5703125" style="2587" customWidth="1"/>
    <col min="15878" max="15878" width="21.140625" style="2587" customWidth="1"/>
    <col min="15879" max="15879" width="1.5703125" style="2587" customWidth="1"/>
    <col min="15880" max="15880" width="22.140625" style="2587" customWidth="1"/>
    <col min="15881" max="15881" width="5.85546875" style="2587" customWidth="1"/>
    <col min="15882" max="15882" width="27.42578125" style="2587" customWidth="1"/>
    <col min="15883" max="15883" width="4.5703125" style="2587" customWidth="1"/>
    <col min="15884" max="15884" width="3.140625" style="2587" customWidth="1"/>
    <col min="15885" max="15887" width="1.5703125" style="2587" customWidth="1"/>
    <col min="15888" max="15888" width="4.85546875" style="2587" customWidth="1"/>
    <col min="15889" max="15890" width="1.5703125" style="2587" customWidth="1"/>
    <col min="15891" max="16129" width="9.140625" style="2587"/>
    <col min="16130" max="16130" width="17.85546875" style="2587" customWidth="1"/>
    <col min="16131" max="16131" width="1.140625" style="2587" customWidth="1"/>
    <col min="16132" max="16132" width="30.140625" style="2587" customWidth="1"/>
    <col min="16133" max="16133" width="1.5703125" style="2587" customWidth="1"/>
    <col min="16134" max="16134" width="21.140625" style="2587" customWidth="1"/>
    <col min="16135" max="16135" width="1.5703125" style="2587" customWidth="1"/>
    <col min="16136" max="16136" width="22.140625" style="2587" customWidth="1"/>
    <col min="16137" max="16137" width="5.85546875" style="2587" customWidth="1"/>
    <col min="16138" max="16138" width="27.42578125" style="2587" customWidth="1"/>
    <col min="16139" max="16139" width="4.5703125" style="2587" customWidth="1"/>
    <col min="16140" max="16140" width="3.140625" style="2587" customWidth="1"/>
    <col min="16141" max="16143" width="1.5703125" style="2587" customWidth="1"/>
    <col min="16144" max="16144" width="4.85546875" style="2587" customWidth="1"/>
    <col min="16145" max="16146" width="1.5703125" style="2587" customWidth="1"/>
    <col min="16147" max="16384" width="9.140625" style="2587"/>
  </cols>
  <sheetData>
    <row r="1" spans="1:12" s="2588" customFormat="1" ht="25.15" customHeight="1" x14ac:dyDescent="0.25">
      <c r="A1" s="2966" t="str">
        <f>+Index!$A$1</f>
        <v xml:space="preserve">                                                               Office of the State Controller                                                                </v>
      </c>
      <c r="B1" s="2967"/>
      <c r="C1" s="2967"/>
      <c r="D1" s="2967"/>
      <c r="E1" s="2967"/>
      <c r="F1" s="2967"/>
      <c r="G1" s="2967"/>
      <c r="H1" s="2967"/>
      <c r="I1" s="2967"/>
      <c r="J1" s="2967"/>
      <c r="K1" s="2967"/>
      <c r="L1" s="2653" t="str">
        <f>IF(Index!$B$51="na","NA","")</f>
        <v/>
      </c>
    </row>
    <row r="2" spans="1:12" s="2588" customFormat="1" ht="15.75" x14ac:dyDescent="0.25">
      <c r="A2" s="2968" t="str">
        <f>+Index!$A$2</f>
        <v>2022 ACFR Worksheets</v>
      </c>
      <c r="B2" s="2969"/>
      <c r="C2" s="2969"/>
      <c r="D2" s="2969"/>
      <c r="E2" s="2969"/>
      <c r="F2" s="2969"/>
      <c r="G2" s="2969"/>
      <c r="H2" s="2969"/>
      <c r="I2" s="2969"/>
      <c r="J2" s="2969"/>
      <c r="K2" s="2969"/>
      <c r="L2" s="2653"/>
    </row>
    <row r="3" spans="1:12" s="2588" customFormat="1" ht="15.75" x14ac:dyDescent="0.25">
      <c r="A3" s="2968" t="s">
        <v>4906</v>
      </c>
      <c r="B3" s="2969"/>
      <c r="C3" s="2969"/>
      <c r="D3" s="2969"/>
      <c r="E3" s="2969"/>
      <c r="F3" s="2969"/>
      <c r="G3" s="2969"/>
      <c r="H3" s="2969"/>
      <c r="I3" s="2969"/>
      <c r="J3" s="2969"/>
      <c r="K3" s="2969"/>
      <c r="L3" s="2653"/>
    </row>
    <row r="4" spans="1:12" s="2540" customFormat="1" ht="15" x14ac:dyDescent="0.25">
      <c r="F4" s="2541"/>
      <c r="H4" s="2541"/>
      <c r="I4" s="2542" t="s">
        <v>4883</v>
      </c>
    </row>
    <row r="5" spans="1:12" s="2540" customFormat="1" ht="6" customHeight="1" x14ac:dyDescent="0.2">
      <c r="D5" s="2543"/>
      <c r="E5" s="2543"/>
      <c r="G5" s="2970"/>
      <c r="H5" s="2970"/>
      <c r="I5" s="2970"/>
      <c r="J5" s="2544"/>
    </row>
    <row r="6" spans="1:12" s="2540" customFormat="1" ht="15" customHeight="1" x14ac:dyDescent="0.2">
      <c r="A6" s="2545" t="s">
        <v>327</v>
      </c>
      <c r="B6" s="2545"/>
      <c r="C6" s="2546"/>
      <c r="D6" s="2543"/>
      <c r="E6" s="2543"/>
      <c r="G6" s="2547" t="s">
        <v>1154</v>
      </c>
      <c r="H6" s="2548"/>
      <c r="I6" s="2971"/>
      <c r="J6" s="2971"/>
      <c r="K6" s="2971"/>
    </row>
    <row r="7" spans="1:12" s="2540" customFormat="1" ht="15" customHeight="1" x14ac:dyDescent="0.2">
      <c r="D7" s="2543"/>
      <c r="E7" s="2543"/>
      <c r="G7" s="2547" t="s">
        <v>972</v>
      </c>
      <c r="H7" s="2549"/>
      <c r="I7" s="2971"/>
      <c r="J7" s="2971"/>
      <c r="K7" s="2971"/>
    </row>
    <row r="8" spans="1:12" s="2540" customFormat="1" ht="15" customHeight="1" x14ac:dyDescent="0.2">
      <c r="C8" s="2550"/>
      <c r="D8" s="2543"/>
      <c r="E8" s="2543"/>
      <c r="G8" s="2547" t="s">
        <v>348</v>
      </c>
      <c r="H8" s="2549"/>
      <c r="I8" s="2971"/>
      <c r="J8" s="2971"/>
      <c r="K8" s="2971"/>
    </row>
    <row r="9" spans="1:12" s="2540" customFormat="1" ht="13.5" thickBot="1" x14ac:dyDescent="0.25">
      <c r="A9" s="2551"/>
      <c r="B9" s="2551"/>
      <c r="C9" s="2551"/>
      <c r="D9" s="2551"/>
      <c r="E9" s="2551"/>
      <c r="F9" s="2551"/>
      <c r="G9" s="2551"/>
      <c r="H9" s="2551"/>
      <c r="I9" s="2551"/>
      <c r="J9" s="2551"/>
      <c r="K9" s="2551"/>
    </row>
    <row r="10" spans="1:12" s="2540" customFormat="1" ht="12.75" x14ac:dyDescent="0.2"/>
    <row r="11" spans="1:12" s="2540" customFormat="1" ht="12.75" x14ac:dyDescent="0.2">
      <c r="A11" s="2963" t="s">
        <v>4881</v>
      </c>
      <c r="B11" s="2963"/>
      <c r="C11" s="2963"/>
      <c r="D11" s="2963"/>
      <c r="E11" s="2963"/>
      <c r="F11" s="2963"/>
      <c r="G11" s="2963"/>
      <c r="H11" s="2963"/>
      <c r="I11" s="2963"/>
      <c r="J11" s="2964"/>
      <c r="K11" s="2964"/>
    </row>
    <row r="12" spans="1:12" s="2540" customFormat="1" ht="12.75" x14ac:dyDescent="0.2">
      <c r="A12" s="2972" t="s">
        <v>4882</v>
      </c>
      <c r="B12" s="2963"/>
      <c r="C12" s="2963"/>
      <c r="D12" s="2963"/>
      <c r="E12" s="2963"/>
      <c r="F12" s="2963"/>
      <c r="G12" s="2963"/>
      <c r="H12" s="2963"/>
      <c r="I12" s="2963"/>
      <c r="J12" s="2964"/>
      <c r="K12" s="2964"/>
    </row>
    <row r="13" spans="1:12" s="2540" customFormat="1" ht="12.75" x14ac:dyDescent="0.2">
      <c r="A13" s="2963" t="s">
        <v>5541</v>
      </c>
      <c r="B13" s="2963"/>
      <c r="C13" s="2963"/>
      <c r="D13" s="2963"/>
      <c r="E13" s="2963"/>
      <c r="F13" s="2963"/>
      <c r="G13" s="2963"/>
      <c r="H13" s="2963"/>
      <c r="I13" s="2963"/>
      <c r="J13" s="2964"/>
      <c r="K13" s="2964"/>
    </row>
    <row r="14" spans="1:12" s="2540" customFormat="1" ht="12.75" x14ac:dyDescent="0.2">
      <c r="A14" s="2963" t="s">
        <v>5542</v>
      </c>
      <c r="B14" s="2963"/>
      <c r="C14" s="2963"/>
      <c r="D14" s="2963"/>
      <c r="E14" s="2963"/>
      <c r="F14" s="2963"/>
      <c r="G14" s="2963"/>
      <c r="H14" s="2963"/>
      <c r="I14" s="2963"/>
      <c r="J14" s="2964"/>
      <c r="K14" s="2964"/>
    </row>
    <row r="15" spans="1:12" s="2540" customFormat="1" ht="12.75" x14ac:dyDescent="0.2">
      <c r="A15" s="2963" t="s">
        <v>5543</v>
      </c>
      <c r="B15" s="2963"/>
      <c r="C15" s="2963"/>
      <c r="D15" s="2963"/>
      <c r="E15" s="2963"/>
      <c r="F15" s="2963"/>
      <c r="G15" s="2963"/>
      <c r="H15" s="2963"/>
      <c r="I15" s="2963"/>
      <c r="J15" s="2964"/>
      <c r="K15" s="2964"/>
    </row>
    <row r="16" spans="1:12" s="2540" customFormat="1" ht="12.75" x14ac:dyDescent="0.2">
      <c r="A16" s="2963" t="s">
        <v>5544</v>
      </c>
      <c r="B16" s="2964"/>
      <c r="C16" s="2964"/>
      <c r="D16" s="2964"/>
      <c r="E16" s="2964"/>
      <c r="F16" s="2964"/>
      <c r="G16" s="2964"/>
      <c r="H16" s="2964"/>
      <c r="I16" s="2964"/>
      <c r="J16" s="2964"/>
      <c r="K16" s="2964"/>
    </row>
    <row r="17" spans="1:11" s="2015" customFormat="1" ht="12.75" x14ac:dyDescent="0.2">
      <c r="A17" s="1869"/>
      <c r="B17" s="1869"/>
      <c r="C17" s="1869"/>
      <c r="D17" s="1869"/>
      <c r="E17" s="1869"/>
      <c r="F17" s="1869"/>
      <c r="G17" s="1869"/>
      <c r="H17" s="1869"/>
      <c r="I17" s="1869"/>
      <c r="J17" s="1869"/>
      <c r="K17" s="1869"/>
    </row>
    <row r="18" spans="1:11" s="2015" customFormat="1" ht="15" x14ac:dyDescent="0.25">
      <c r="A18" s="2963" t="s">
        <v>4980</v>
      </c>
      <c r="B18" s="2963"/>
      <c r="C18" s="2963"/>
      <c r="D18" s="2963"/>
      <c r="E18" s="2963"/>
      <c r="F18" s="2963"/>
      <c r="G18" s="2963"/>
      <c r="H18" s="2963"/>
      <c r="I18" s="2963"/>
      <c r="J18" s="2964"/>
      <c r="K18" s="2964"/>
    </row>
    <row r="19" spans="1:11" s="2015" customFormat="1" ht="12.75" x14ac:dyDescent="0.2">
      <c r="A19" s="2552"/>
      <c r="B19" s="2552"/>
      <c r="C19" s="2552"/>
      <c r="D19" s="2552"/>
      <c r="E19" s="2552"/>
      <c r="F19" s="2552"/>
      <c r="G19" s="2552"/>
      <c r="H19" s="2552"/>
      <c r="I19" s="2552"/>
      <c r="J19" s="1869"/>
      <c r="K19" s="1869"/>
    </row>
    <row r="20" spans="1:11" s="2015" customFormat="1" ht="12.75" x14ac:dyDescent="0.2">
      <c r="A20" s="2553" t="s">
        <v>969</v>
      </c>
      <c r="B20" s="2554"/>
      <c r="C20" s="2555"/>
      <c r="D20" s="2556" t="str">
        <f>IF(AND(ISBLANK(C20),ISBLANK(C21))=TRUE,"Answer Missing"," ")</f>
        <v>Answer Missing</v>
      </c>
      <c r="E20" s="2184"/>
      <c r="F20" s="2554"/>
      <c r="G20" s="2557" t="str">
        <f>IF(ISTEXT(C20), "Section B Required", " ")</f>
        <v xml:space="preserve"> </v>
      </c>
      <c r="H20" s="2557"/>
      <c r="I20" s="2557"/>
      <c r="J20" s="1869"/>
      <c r="K20" s="1869"/>
    </row>
    <row r="21" spans="1:11" s="2015" customFormat="1" ht="12.75" x14ac:dyDescent="0.2">
      <c r="A21" s="2553" t="s">
        <v>970</v>
      </c>
      <c r="B21" s="2554"/>
      <c r="C21" s="2555"/>
      <c r="D21" s="2558"/>
      <c r="E21" s="2554"/>
      <c r="F21" s="2554"/>
      <c r="G21" s="2554"/>
      <c r="H21" s="2554"/>
      <c r="I21" s="2554"/>
      <c r="J21" s="1869"/>
      <c r="K21" s="1869"/>
    </row>
    <row r="22" spans="1:11" s="2015" customFormat="1" ht="12.75" x14ac:dyDescent="0.2">
      <c r="A22" s="2553"/>
      <c r="B22" s="2554"/>
      <c r="C22" s="2559"/>
      <c r="D22" s="2558"/>
      <c r="E22" s="2554"/>
      <c r="F22" s="2554"/>
      <c r="G22" s="2554"/>
      <c r="H22" s="2554"/>
      <c r="I22" s="2554"/>
      <c r="J22" s="1869"/>
      <c r="K22" s="1869"/>
    </row>
    <row r="23" spans="1:11" s="2015" customFormat="1" ht="15" x14ac:dyDescent="0.25">
      <c r="A23" s="2552" t="s">
        <v>4806</v>
      </c>
      <c r="B23" s="2552"/>
      <c r="C23" s="2552"/>
      <c r="D23" s="2552"/>
      <c r="E23" s="2552"/>
      <c r="F23" s="2552"/>
      <c r="G23" s="2552"/>
      <c r="H23" s="2552"/>
      <c r="I23" s="2552"/>
      <c r="J23" s="1869"/>
      <c r="K23" s="1869"/>
    </row>
    <row r="24" spans="1:11" s="2540" customFormat="1" ht="12.75" x14ac:dyDescent="0.2">
      <c r="A24" s="2963" t="s">
        <v>5255</v>
      </c>
      <c r="B24" s="2963"/>
      <c r="C24" s="2963"/>
      <c r="D24" s="2963"/>
      <c r="E24" s="2963"/>
      <c r="F24" s="2963"/>
      <c r="G24" s="2963"/>
      <c r="H24" s="2963"/>
      <c r="I24" s="2963"/>
      <c r="J24" s="2963"/>
      <c r="K24" s="2963"/>
    </row>
    <row r="25" spans="1:11" s="2540" customFormat="1" ht="12.75" x14ac:dyDescent="0.2">
      <c r="A25" s="2560" t="s">
        <v>5254</v>
      </c>
      <c r="B25" s="2552"/>
      <c r="C25" s="2552"/>
      <c r="D25" s="2552"/>
      <c r="E25" s="2552"/>
      <c r="F25" s="2552"/>
      <c r="G25" s="2552"/>
      <c r="H25" s="2552"/>
      <c r="I25" s="2552"/>
      <c r="J25" s="2552"/>
      <c r="K25" s="2552"/>
    </row>
    <row r="26" spans="1:11" s="2540" customFormat="1" ht="12.75" x14ac:dyDescent="0.2">
      <c r="A26" s="2561"/>
      <c r="B26" s="2561"/>
      <c r="C26" s="2561"/>
      <c r="D26" s="2561"/>
      <c r="E26" s="2561"/>
      <c r="F26" s="2561"/>
      <c r="G26" s="2561"/>
      <c r="H26" s="2561"/>
      <c r="I26" s="2562" t="s">
        <v>4887</v>
      </c>
      <c r="J26" s="2561"/>
      <c r="K26" s="2562" t="s">
        <v>4888</v>
      </c>
    </row>
    <row r="27" spans="1:11" s="2540" customFormat="1" ht="12.75" x14ac:dyDescent="0.2">
      <c r="A27" s="2561"/>
      <c r="B27" s="2561"/>
      <c r="C27" s="2561"/>
      <c r="D27" s="2561"/>
      <c r="E27" s="2561"/>
      <c r="F27" s="2561"/>
      <c r="G27" s="2561"/>
      <c r="H27" s="2561"/>
      <c r="I27" s="2562" t="s">
        <v>4876</v>
      </c>
      <c r="J27" s="2561"/>
      <c r="K27" s="2562" t="s">
        <v>4876</v>
      </c>
    </row>
    <row r="28" spans="1:11" s="2540" customFormat="1" ht="12.75" x14ac:dyDescent="0.2">
      <c r="A28" s="2561"/>
      <c r="B28" s="2561"/>
      <c r="C28" s="2561"/>
      <c r="D28" s="2561"/>
      <c r="E28" s="2561"/>
      <c r="F28" s="2561"/>
      <c r="G28" s="2562" t="s">
        <v>4886</v>
      </c>
      <c r="H28" s="2561"/>
      <c r="I28" s="2562" t="s">
        <v>4877</v>
      </c>
      <c r="J28" s="2561"/>
      <c r="K28" s="2562" t="s">
        <v>4877</v>
      </c>
    </row>
    <row r="29" spans="1:11" s="2589" customFormat="1" ht="15" x14ac:dyDescent="0.25">
      <c r="A29" s="2563" t="s">
        <v>4800</v>
      </c>
      <c r="B29" s="2564"/>
      <c r="C29" s="2563" t="s">
        <v>4801</v>
      </c>
      <c r="D29" s="2564"/>
      <c r="E29" s="2563" t="s">
        <v>4802</v>
      </c>
      <c r="F29" s="2564"/>
      <c r="G29" s="2563" t="s">
        <v>4885</v>
      </c>
      <c r="H29" s="2564"/>
      <c r="I29" s="2565" t="s">
        <v>5477</v>
      </c>
      <c r="J29" s="2562"/>
      <c r="K29" s="2565" t="s">
        <v>5477</v>
      </c>
    </row>
    <row r="30" spans="1:11" s="2540" customFormat="1" ht="12.75" x14ac:dyDescent="0.2">
      <c r="A30" s="2566"/>
      <c r="B30" s="2567"/>
      <c r="C30" s="2568"/>
      <c r="D30" s="2569"/>
      <c r="E30" s="2570"/>
      <c r="F30" s="2571"/>
      <c r="G30" s="2570"/>
      <c r="H30" s="2572"/>
      <c r="I30" s="2573"/>
      <c r="J30" s="2574"/>
      <c r="K30" s="2573"/>
    </row>
    <row r="31" spans="1:11" s="2540" customFormat="1" ht="12.75" x14ac:dyDescent="0.2">
      <c r="A31" s="2566"/>
      <c r="B31" s="2567"/>
      <c r="C31" s="2568"/>
      <c r="D31" s="2567"/>
      <c r="E31" s="2570"/>
      <c r="F31" s="2571"/>
      <c r="G31" s="2570"/>
      <c r="H31" s="2572"/>
      <c r="I31" s="2573"/>
      <c r="J31" s="2574"/>
      <c r="K31" s="2573"/>
    </row>
    <row r="32" spans="1:11" s="2540" customFormat="1" ht="12.75" x14ac:dyDescent="0.2">
      <c r="A32" s="2566"/>
      <c r="B32" s="2567"/>
      <c r="C32" s="2568"/>
      <c r="D32" s="2569"/>
      <c r="E32" s="2570"/>
      <c r="F32" s="2571"/>
      <c r="G32" s="2570"/>
      <c r="H32" s="2572"/>
      <c r="I32" s="2573"/>
      <c r="J32" s="2574"/>
      <c r="K32" s="2573"/>
    </row>
    <row r="33" spans="1:16" s="2540" customFormat="1" ht="12.75" x14ac:dyDescent="0.2">
      <c r="A33" s="2566"/>
      <c r="B33" s="2567"/>
      <c r="C33" s="2568"/>
      <c r="D33" s="2567"/>
      <c r="E33" s="2570"/>
      <c r="F33" s="2571"/>
      <c r="G33" s="2570"/>
      <c r="H33" s="2572"/>
      <c r="I33" s="2573"/>
      <c r="J33" s="2574"/>
      <c r="K33" s="2573"/>
    </row>
    <row r="34" spans="1:16" s="2540" customFormat="1" ht="9.75" customHeight="1" x14ac:dyDescent="0.2">
      <c r="A34" s="2575"/>
      <c r="B34" s="2575"/>
      <c r="C34" s="2576"/>
      <c r="D34" s="2576"/>
      <c r="E34" s="2576"/>
      <c r="F34" s="2577"/>
      <c r="G34" s="2577"/>
      <c r="H34" s="2577"/>
      <c r="I34" s="2578"/>
      <c r="J34" s="2578"/>
      <c r="K34" s="2577"/>
      <c r="L34" s="2577"/>
      <c r="M34" s="2577"/>
      <c r="N34" s="2577"/>
      <c r="O34" s="2577"/>
      <c r="P34" s="2577"/>
    </row>
    <row r="35" spans="1:16" s="2540" customFormat="1" ht="12.75" x14ac:dyDescent="0.2">
      <c r="A35" s="2963" t="s">
        <v>4890</v>
      </c>
      <c r="B35" s="2963"/>
      <c r="C35" s="2963"/>
      <c r="D35" s="2963"/>
      <c r="E35" s="2963"/>
      <c r="F35" s="2963"/>
      <c r="G35" s="2963"/>
      <c r="H35" s="2963"/>
      <c r="I35" s="2963"/>
      <c r="J35" s="2964"/>
      <c r="K35" s="2964"/>
      <c r="L35" s="2577"/>
      <c r="M35" s="2577"/>
      <c r="N35" s="2577"/>
      <c r="O35" s="2577"/>
      <c r="P35" s="2577"/>
    </row>
    <row r="36" spans="1:16" s="2540" customFormat="1" ht="12.75" x14ac:dyDescent="0.2">
      <c r="A36" s="2560" t="s">
        <v>4889</v>
      </c>
      <c r="B36" s="2552"/>
      <c r="C36" s="2552"/>
      <c r="D36" s="2552"/>
      <c r="E36" s="2552"/>
      <c r="F36" s="2552"/>
      <c r="G36" s="2552"/>
      <c r="H36" s="2552"/>
      <c r="I36" s="2552"/>
      <c r="J36" s="2552"/>
      <c r="K36" s="2577"/>
      <c r="L36" s="2577"/>
      <c r="M36" s="2577"/>
      <c r="N36" s="2577"/>
      <c r="O36" s="2577"/>
      <c r="P36" s="2577"/>
    </row>
    <row r="37" spans="1:16" s="2540" customFormat="1" ht="12.75" x14ac:dyDescent="0.2">
      <c r="A37" s="2561"/>
      <c r="B37" s="2561"/>
      <c r="C37" s="2561"/>
      <c r="D37" s="2561"/>
      <c r="E37" s="2561"/>
      <c r="F37" s="2561"/>
      <c r="G37" s="2561"/>
      <c r="H37" s="2561"/>
      <c r="I37" s="2562" t="s">
        <v>4887</v>
      </c>
      <c r="J37" s="2561"/>
      <c r="K37" s="2562" t="s">
        <v>4888</v>
      </c>
      <c r="L37" s="2577"/>
      <c r="M37" s="2577"/>
      <c r="N37" s="2577"/>
      <c r="O37" s="2577"/>
      <c r="P37" s="2577"/>
    </row>
    <row r="38" spans="1:16" s="2540" customFormat="1" ht="12.75" x14ac:dyDescent="0.2">
      <c r="A38" s="2561"/>
      <c r="B38" s="2561"/>
      <c r="C38" s="2561"/>
      <c r="D38" s="2561"/>
      <c r="E38" s="2561"/>
      <c r="F38" s="2561"/>
      <c r="G38" s="2561"/>
      <c r="H38" s="2561"/>
      <c r="I38" s="2562" t="s">
        <v>4876</v>
      </c>
      <c r="J38" s="2561"/>
      <c r="K38" s="2562" t="s">
        <v>4876</v>
      </c>
      <c r="L38" s="2577"/>
      <c r="M38" s="2577"/>
      <c r="N38" s="2577"/>
      <c r="O38" s="2577"/>
      <c r="P38" s="2577"/>
    </row>
    <row r="39" spans="1:16" s="2540" customFormat="1" ht="12.75" x14ac:dyDescent="0.2">
      <c r="A39" s="2561"/>
      <c r="B39" s="2561"/>
      <c r="C39" s="2561"/>
      <c r="D39" s="2561"/>
      <c r="E39" s="2561"/>
      <c r="F39" s="2561"/>
      <c r="G39" s="2562" t="s">
        <v>4886</v>
      </c>
      <c r="H39" s="2561"/>
      <c r="I39" s="2562" t="s">
        <v>4877</v>
      </c>
      <c r="J39" s="2561"/>
      <c r="K39" s="2562" t="s">
        <v>4877</v>
      </c>
      <c r="L39" s="2577"/>
      <c r="M39" s="2577"/>
      <c r="N39" s="2577"/>
      <c r="O39" s="2577"/>
      <c r="P39" s="2577"/>
    </row>
    <row r="40" spans="1:16" s="2540" customFormat="1" ht="12.75" x14ac:dyDescent="0.2">
      <c r="A40" s="2563" t="s">
        <v>4800</v>
      </c>
      <c r="B40" s="2564"/>
      <c r="C40" s="2563" t="s">
        <v>4801</v>
      </c>
      <c r="D40" s="2564"/>
      <c r="E40" s="2563" t="s">
        <v>4802</v>
      </c>
      <c r="F40" s="2564"/>
      <c r="G40" s="2563" t="s">
        <v>4885</v>
      </c>
      <c r="H40" s="2564"/>
      <c r="I40" s="2565" t="s">
        <v>5477</v>
      </c>
      <c r="J40" s="2562"/>
      <c r="K40" s="2565" t="s">
        <v>5477</v>
      </c>
      <c r="L40" s="2577"/>
      <c r="M40" s="2577"/>
      <c r="N40" s="2577"/>
      <c r="O40" s="2577"/>
      <c r="P40" s="2577"/>
    </row>
    <row r="41" spans="1:16" s="2540" customFormat="1" ht="12.75" x14ac:dyDescent="0.2">
      <c r="A41" s="2566"/>
      <c r="B41" s="2567"/>
      <c r="C41" s="2568"/>
      <c r="D41" s="2569"/>
      <c r="E41" s="2570"/>
      <c r="F41" s="2571"/>
      <c r="G41" s="2570"/>
      <c r="H41" s="2572"/>
      <c r="I41" s="2573"/>
      <c r="J41" s="2574"/>
      <c r="K41" s="2573"/>
      <c r="L41" s="2577"/>
      <c r="M41" s="2577"/>
      <c r="N41" s="2577"/>
      <c r="O41" s="2577"/>
      <c r="P41" s="2577"/>
    </row>
    <row r="42" spans="1:16" s="2540" customFormat="1" ht="12.75" x14ac:dyDescent="0.2">
      <c r="A42" s="2566"/>
      <c r="B42" s="2567"/>
      <c r="C42" s="2568"/>
      <c r="D42" s="2569"/>
      <c r="E42" s="2570"/>
      <c r="F42" s="2571"/>
      <c r="G42" s="2570"/>
      <c r="H42" s="2572"/>
      <c r="I42" s="2573"/>
      <c r="J42" s="2574"/>
      <c r="K42" s="2573"/>
      <c r="L42" s="2577"/>
      <c r="M42" s="2577"/>
      <c r="N42" s="2577"/>
      <c r="O42" s="2577"/>
      <c r="P42" s="2577"/>
    </row>
    <row r="43" spans="1:16" s="2540" customFormat="1" ht="12.75" x14ac:dyDescent="0.2">
      <c r="A43" s="2566"/>
      <c r="B43" s="2567"/>
      <c r="C43" s="2568"/>
      <c r="D43" s="2567"/>
      <c r="E43" s="2570"/>
      <c r="F43" s="2571"/>
      <c r="G43" s="2570"/>
      <c r="H43" s="2572"/>
      <c r="I43" s="2573"/>
      <c r="J43" s="2574"/>
      <c r="K43" s="2573"/>
      <c r="L43" s="2577"/>
      <c r="M43" s="2577"/>
      <c r="N43" s="2577"/>
      <c r="O43" s="2577"/>
      <c r="P43" s="2577"/>
    </row>
    <row r="44" spans="1:16" s="2540" customFormat="1" ht="12.75" x14ac:dyDescent="0.2">
      <c r="A44" s="2566"/>
      <c r="B44" s="2567"/>
      <c r="C44" s="2568"/>
      <c r="D44" s="2567"/>
      <c r="E44" s="2570"/>
      <c r="F44" s="2571"/>
      <c r="G44" s="2570"/>
      <c r="H44" s="2572"/>
      <c r="I44" s="2573"/>
      <c r="J44" s="2574"/>
      <c r="K44" s="2573"/>
      <c r="L44" s="2577"/>
      <c r="M44" s="2577"/>
      <c r="N44" s="2577"/>
      <c r="O44" s="2577"/>
      <c r="P44" s="2577"/>
    </row>
    <row r="45" spans="1:16" s="2540" customFormat="1" ht="12.75" x14ac:dyDescent="0.2">
      <c r="A45" s="2566"/>
      <c r="B45" s="2567"/>
      <c r="C45" s="2568"/>
      <c r="D45" s="2569"/>
      <c r="E45" s="2570"/>
      <c r="F45" s="2571"/>
      <c r="G45" s="2570"/>
      <c r="H45" s="2572"/>
      <c r="I45" s="2573"/>
      <c r="J45" s="2578"/>
      <c r="K45" s="2573"/>
      <c r="L45" s="2577"/>
      <c r="M45" s="2577"/>
      <c r="N45" s="2577"/>
      <c r="O45" s="2577"/>
      <c r="P45" s="2577"/>
    </row>
    <row r="46" spans="1:16" s="2540" customFormat="1" ht="12.75" x14ac:dyDescent="0.2">
      <c r="A46" s="2566"/>
      <c r="B46" s="2567"/>
      <c r="C46" s="2568"/>
      <c r="D46" s="2569"/>
      <c r="E46" s="2570"/>
      <c r="F46" s="2571"/>
      <c r="G46" s="2570"/>
      <c r="H46" s="2572"/>
      <c r="I46" s="2573"/>
      <c r="J46" s="1869"/>
      <c r="K46" s="2573"/>
      <c r="L46" s="2577"/>
      <c r="M46" s="2577"/>
      <c r="N46" s="2577"/>
      <c r="O46" s="2577"/>
      <c r="P46" s="2577"/>
    </row>
    <row r="47" spans="1:16" s="2540" customFormat="1" ht="12.75" x14ac:dyDescent="0.2">
      <c r="A47" s="2566"/>
      <c r="B47" s="2567"/>
      <c r="C47" s="2568"/>
      <c r="D47" s="2567"/>
      <c r="E47" s="2570"/>
      <c r="F47" s="2571"/>
      <c r="G47" s="2570"/>
      <c r="H47" s="2572"/>
      <c r="I47" s="2573"/>
      <c r="J47" s="1869"/>
      <c r="K47" s="2573"/>
      <c r="L47" s="2577"/>
      <c r="M47" s="2577"/>
      <c r="N47" s="2577"/>
      <c r="O47" s="2577"/>
      <c r="P47" s="2577"/>
    </row>
    <row r="48" spans="1:16" s="2540" customFormat="1" ht="12.75" x14ac:dyDescent="0.2">
      <c r="A48" s="2566"/>
      <c r="B48" s="2567"/>
      <c r="C48" s="2568"/>
      <c r="D48" s="2567"/>
      <c r="E48" s="2570"/>
      <c r="F48" s="2571"/>
      <c r="G48" s="2570"/>
      <c r="H48" s="2572"/>
      <c r="I48" s="2573"/>
      <c r="J48" s="2561"/>
      <c r="K48" s="2573"/>
      <c r="L48" s="2577"/>
      <c r="M48" s="2577"/>
      <c r="N48" s="2577"/>
      <c r="O48" s="2577"/>
      <c r="P48" s="2577"/>
    </row>
    <row r="49" spans="1:11" ht="12.75" x14ac:dyDescent="0.2">
      <c r="A49" s="2566"/>
      <c r="B49" s="2567"/>
      <c r="C49" s="2568"/>
      <c r="D49" s="2569"/>
      <c r="E49" s="2570"/>
      <c r="F49" s="2571"/>
      <c r="G49" s="2570"/>
      <c r="H49" s="2572"/>
      <c r="I49" s="2573"/>
      <c r="J49" s="2561"/>
      <c r="K49" s="2573"/>
    </row>
    <row r="50" spans="1:11" ht="12.75" x14ac:dyDescent="0.2">
      <c r="A50" s="2566"/>
      <c r="B50" s="2567"/>
      <c r="C50" s="2568"/>
      <c r="D50" s="2569"/>
      <c r="E50" s="2570"/>
      <c r="F50" s="2571"/>
      <c r="G50" s="2570"/>
      <c r="H50" s="2572"/>
      <c r="I50" s="2573"/>
      <c r="J50" s="2561"/>
      <c r="K50" s="2573"/>
    </row>
    <row r="51" spans="1:11" ht="12.75" x14ac:dyDescent="0.2">
      <c r="A51" s="2566"/>
      <c r="B51" s="2567"/>
      <c r="C51" s="2568"/>
      <c r="D51" s="2567"/>
      <c r="E51" s="2570"/>
      <c r="F51" s="2571"/>
      <c r="G51" s="2570"/>
      <c r="H51" s="2572"/>
      <c r="I51" s="2573"/>
      <c r="J51" s="2562"/>
      <c r="K51" s="2573"/>
    </row>
    <row r="52" spans="1:11" ht="12.75" x14ac:dyDescent="0.2">
      <c r="A52" s="2566"/>
      <c r="B52" s="2567"/>
      <c r="C52" s="2568"/>
      <c r="D52" s="2567"/>
      <c r="E52" s="2570"/>
      <c r="F52" s="2571"/>
      <c r="G52" s="2570"/>
      <c r="H52" s="2572"/>
      <c r="I52" s="2573"/>
      <c r="J52" s="2574"/>
      <c r="K52" s="2573"/>
    </row>
    <row r="53" spans="1:11" ht="12.75" x14ac:dyDescent="0.2">
      <c r="A53" s="2579"/>
      <c r="B53" s="2567"/>
      <c r="C53" s="2571"/>
      <c r="D53" s="2567"/>
      <c r="E53" s="2580"/>
      <c r="F53" s="2571"/>
      <c r="G53" s="2580"/>
      <c r="H53" s="2572"/>
      <c r="I53" s="2574"/>
      <c r="J53" s="2574"/>
      <c r="K53" s="2574"/>
    </row>
    <row r="54" spans="1:11" ht="12.75" x14ac:dyDescent="0.2">
      <c r="A54" s="2579"/>
      <c r="B54" s="2567"/>
      <c r="C54" s="2571"/>
      <c r="D54" s="2567"/>
      <c r="E54" s="2580"/>
      <c r="F54" s="2571"/>
      <c r="G54" s="2580"/>
      <c r="H54" s="2572"/>
      <c r="I54" s="2574"/>
      <c r="J54" s="2574"/>
      <c r="K54" s="2574"/>
    </row>
    <row r="55" spans="1:11" ht="12.75" x14ac:dyDescent="0.2">
      <c r="A55" s="2579"/>
      <c r="B55" s="2567"/>
      <c r="C55" s="2571"/>
      <c r="D55" s="2567"/>
      <c r="E55" s="2580"/>
      <c r="F55" s="2571"/>
      <c r="G55" s="2580"/>
      <c r="H55" s="2572"/>
      <c r="I55" s="2574"/>
      <c r="J55" s="2574"/>
      <c r="K55" s="2574"/>
    </row>
    <row r="56" spans="1:11" ht="12.75" x14ac:dyDescent="0.2">
      <c r="A56" s="2581"/>
      <c r="B56" s="2582"/>
      <c r="C56" s="2582"/>
      <c r="D56" s="2540"/>
      <c r="E56" s="2583"/>
      <c r="F56" s="2584"/>
      <c r="G56" s="2965"/>
      <c r="H56" s="2965"/>
      <c r="I56" s="2965"/>
      <c r="J56" s="2585"/>
      <c r="K56" s="2540"/>
    </row>
    <row r="57" spans="1:11" ht="12.75" x14ac:dyDescent="0.2">
      <c r="A57" s="2581"/>
      <c r="B57" s="2582"/>
      <c r="C57" s="2582"/>
      <c r="D57" s="2586"/>
      <c r="E57" s="2583"/>
      <c r="F57" s="2584"/>
      <c r="G57" s="2584"/>
      <c r="H57" s="2584"/>
      <c r="I57" s="2584"/>
      <c r="J57" s="2585"/>
    </row>
    <row r="58" spans="1:11" ht="12.75" x14ac:dyDescent="0.2">
      <c r="A58" s="2581"/>
      <c r="B58" s="2582"/>
      <c r="C58" s="2582"/>
      <c r="D58" s="2582"/>
      <c r="E58" s="2583"/>
      <c r="F58" s="2584"/>
      <c r="G58" s="2584"/>
      <c r="H58" s="2584"/>
      <c r="I58" s="2584"/>
      <c r="J58" s="2585"/>
    </row>
    <row r="59" spans="1:11" ht="12.75" x14ac:dyDescent="0.2">
      <c r="A59" s="2581"/>
      <c r="B59" s="2582"/>
      <c r="C59" s="2582"/>
      <c r="D59" s="2582"/>
      <c r="E59" s="2583"/>
      <c r="F59" s="2584"/>
      <c r="G59" s="2584"/>
      <c r="H59" s="2584"/>
      <c r="I59" s="2584"/>
      <c r="J59" s="2585"/>
    </row>
    <row r="60" spans="1:11" ht="12.75" x14ac:dyDescent="0.2">
      <c r="A60" s="2581"/>
      <c r="B60" s="2582"/>
      <c r="C60" s="2582"/>
      <c r="D60" s="2582"/>
      <c r="E60" s="2583"/>
      <c r="F60" s="2584"/>
      <c r="G60" s="2584"/>
      <c r="H60" s="2584"/>
      <c r="I60" s="2584"/>
      <c r="J60" s="2585"/>
    </row>
  </sheetData>
  <sheetProtection algorithmName="SHA-512" hashValue="dwddN9NlDQ6O6GE6W2J3xS31KG+bSDnnBSvCYvYLxzAgvYCJLtRREqOQeelpOXoRjGhoESCjFXXywcQDqKLrMQ==" saltValue="ukSaPrXwSA2wIj3A1L1QDA==" spinCount="100000" sheet="1" objects="1" scenarios="1" autoFilter="0"/>
  <mergeCells count="17">
    <mergeCell ref="A14:K14"/>
    <mergeCell ref="A1:K1"/>
    <mergeCell ref="A2:K2"/>
    <mergeCell ref="A3:K3"/>
    <mergeCell ref="G5:I5"/>
    <mergeCell ref="I6:K6"/>
    <mergeCell ref="I7:K7"/>
    <mergeCell ref="I8:K8"/>
    <mergeCell ref="A11:K11"/>
    <mergeCell ref="A12:K12"/>
    <mergeCell ref="A13:K13"/>
    <mergeCell ref="A15:K15"/>
    <mergeCell ref="A16:K16"/>
    <mergeCell ref="A18:K18"/>
    <mergeCell ref="A35:K35"/>
    <mergeCell ref="G56:I56"/>
    <mergeCell ref="A24:K24"/>
  </mergeCells>
  <conditionalFormatting sqref="D20">
    <cfRule type="containsText" dxfId="109" priority="3" stopIfTrue="1" operator="containsText" text="Answer Missing">
      <formula>NOT(ISERROR(SEARCH("Answer Missing",D20)))</formula>
    </cfRule>
  </conditionalFormatting>
  <conditionalFormatting sqref="G20">
    <cfRule type="containsText" dxfId="108" priority="2" stopIfTrue="1" operator="containsText" text="Answer Missing">
      <formula>NOT(ISERROR(SEARCH("Answer Missing",G20)))</formula>
    </cfRule>
  </conditionalFormatting>
  <conditionalFormatting sqref="L1:L3">
    <cfRule type="cellIs" dxfId="107" priority="1" stopIfTrue="1" operator="equal">
      <formula>"na"</formula>
    </cfRule>
  </conditionalFormatting>
  <hyperlinks>
    <hyperlink ref="A1:K1" location="Index!A1" display="Index!A1" xr:uid="{EB726115-7F79-4F5B-83CB-2EEF820B02FF}"/>
  </hyperlinks>
  <pageMargins left="0.7" right="0.7" top="0.75" bottom="0.75" header="0.3" footer="0.3"/>
  <pageSetup scale="74" orientation="landscape" horizontalDpi="1200" verticalDpi="1200" r:id="rId1"/>
  <headerFooter>
    <oddFooter>&amp;R&amp;A</oddFooter>
  </headerFooter>
  <rowBreaks count="1" manualBreakCount="1">
    <brk id="5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workbookViewId="0">
      <selection activeCell="D12" sqref="D12"/>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62.42578125" style="867" customWidth="1"/>
    <col min="12" max="13" width="9.42578125" style="2343"/>
    <col min="14" max="16384" width="9.42578125" style="867"/>
  </cols>
  <sheetData>
    <row r="1" spans="1:9" ht="18" customHeight="1" x14ac:dyDescent="0.25">
      <c r="A1" s="2767" t="str">
        <f>Index!A1</f>
        <v xml:space="preserve">                                                               Office of the State Controller                                                                </v>
      </c>
      <c r="B1" s="2767"/>
      <c r="C1" s="2767"/>
      <c r="D1" s="2767"/>
      <c r="E1" s="2767"/>
      <c r="F1" s="2767"/>
      <c r="G1" s="2767"/>
      <c r="H1" s="2767"/>
      <c r="I1" s="1424"/>
    </row>
    <row r="2" spans="1:9" ht="18" customHeight="1" x14ac:dyDescent="0.25">
      <c r="A2" s="2973" t="str">
        <f>Index!A2</f>
        <v>2022 ACFR Worksheets</v>
      </c>
      <c r="B2" s="2973"/>
      <c r="C2" s="2973"/>
      <c r="D2" s="2973"/>
      <c r="E2" s="2973"/>
      <c r="F2" s="2973"/>
      <c r="G2" s="2973"/>
      <c r="H2" s="2973"/>
    </row>
    <row r="3" spans="1:9" ht="18" customHeight="1" x14ac:dyDescent="0.25">
      <c r="A3" s="2973" t="s">
        <v>1437</v>
      </c>
      <c r="B3" s="2973"/>
      <c r="C3" s="2973"/>
      <c r="D3" s="2973"/>
      <c r="E3" s="2973"/>
      <c r="F3" s="2973"/>
      <c r="G3" s="2973"/>
      <c r="H3" s="2973"/>
    </row>
    <row r="4" spans="1:9" ht="18" customHeight="1" x14ac:dyDescent="0.25">
      <c r="A4" s="2973" t="s">
        <v>3506</v>
      </c>
      <c r="B4" s="2973"/>
      <c r="C4" s="2973"/>
      <c r="D4" s="2973"/>
      <c r="E4" s="2973"/>
      <c r="F4" s="2973"/>
      <c r="G4" s="2973"/>
      <c r="H4" s="2973"/>
    </row>
    <row r="5" spans="1:9" ht="18" customHeight="1" x14ac:dyDescent="0.25">
      <c r="A5" s="985"/>
      <c r="B5" s="985"/>
      <c r="C5" s="985"/>
      <c r="D5" s="985"/>
      <c r="E5" s="985"/>
      <c r="F5" s="986" t="s">
        <v>1091</v>
      </c>
      <c r="G5" s="985"/>
      <c r="H5" s="910" t="str">
        <f>IF(Index!$B$52="na","NA","")</f>
        <v/>
      </c>
    </row>
    <row r="6" spans="1:9" ht="18" customHeight="1" x14ac:dyDescent="0.25">
      <c r="A6" s="985"/>
      <c r="B6" s="985"/>
      <c r="C6" s="987"/>
      <c r="D6" s="985"/>
      <c r="E6" s="988" t="s">
        <v>327</v>
      </c>
      <c r="F6" s="2755" t="str">
        <f>+Index!$E$10</f>
        <v>01</v>
      </c>
      <c r="G6" s="2755"/>
      <c r="H6" s="2755"/>
      <c r="I6" s="2755"/>
    </row>
    <row r="7" spans="1:9" ht="18" customHeight="1" x14ac:dyDescent="0.25">
      <c r="A7" s="985"/>
      <c r="B7" s="985"/>
      <c r="C7" s="985"/>
      <c r="D7" s="985"/>
      <c r="E7" s="988" t="s">
        <v>1154</v>
      </c>
      <c r="F7" s="2751" t="str">
        <f>+Index!$E$11</f>
        <v>North Carolina General Assembly</v>
      </c>
      <c r="G7" s="2751"/>
      <c r="H7" s="2751"/>
      <c r="I7" s="2751"/>
    </row>
    <row r="8" spans="1:9" ht="18" customHeight="1" x14ac:dyDescent="0.25">
      <c r="A8" s="985" t="s">
        <v>477</v>
      </c>
      <c r="B8" s="985"/>
      <c r="C8" s="989" t="s">
        <v>250</v>
      </c>
      <c r="D8" s="985"/>
      <c r="E8" s="988" t="s">
        <v>972</v>
      </c>
      <c r="F8" s="2751" t="str">
        <f>CONCATENATE(Index!$E$12," ",Index!$E$14)</f>
        <v xml:space="preserve"> </v>
      </c>
      <c r="G8" s="2751"/>
      <c r="H8" s="2751"/>
      <c r="I8" s="2751"/>
    </row>
    <row r="9" spans="1:9" ht="18" customHeight="1" x14ac:dyDescent="0.25">
      <c r="A9" s="985"/>
      <c r="B9" s="985"/>
      <c r="C9" s="987"/>
      <c r="D9" s="985"/>
      <c r="E9" s="988" t="s">
        <v>348</v>
      </c>
      <c r="F9" s="2751">
        <f>+Index!$E$13</f>
        <v>0</v>
      </c>
      <c r="G9" s="2751"/>
      <c r="H9" s="2751"/>
      <c r="I9" s="2751"/>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A12" s="1721" t="s">
        <v>4249</v>
      </c>
      <c r="B12" s="985"/>
      <c r="C12" s="985"/>
      <c r="D12" s="2215" t="s">
        <v>5694</v>
      </c>
      <c r="E12" s="985"/>
      <c r="G12" s="985"/>
      <c r="H12" s="985"/>
    </row>
    <row r="13" spans="1:9" ht="17.100000000000001" customHeight="1" x14ac:dyDescent="0.25">
      <c r="A13" s="985"/>
      <c r="B13" s="985"/>
      <c r="C13" s="985"/>
      <c r="D13" s="985"/>
      <c r="E13" s="985"/>
      <c r="F13" s="985"/>
      <c r="G13" s="985"/>
      <c r="H13" s="985"/>
    </row>
    <row r="14" spans="1:9" ht="30" customHeight="1" x14ac:dyDescent="0.25">
      <c r="A14" s="2974" t="s">
        <v>4901</v>
      </c>
      <c r="B14" s="2975"/>
      <c r="C14" s="2976"/>
      <c r="D14" s="2976"/>
      <c r="E14" s="2976"/>
      <c r="F14" s="2976"/>
      <c r="G14" s="2976"/>
      <c r="H14" s="2977"/>
    </row>
    <row r="15" spans="1:9" ht="17.100000000000001" customHeight="1" x14ac:dyDescent="0.25">
      <c r="A15" s="991"/>
      <c r="B15" s="991"/>
      <c r="C15" s="992"/>
      <c r="D15" s="992"/>
      <c r="E15" s="992"/>
      <c r="F15" s="992"/>
      <c r="G15" s="992"/>
      <c r="H15" s="992"/>
    </row>
    <row r="16" spans="1:9" x14ac:dyDescent="0.25">
      <c r="A16" s="2981"/>
      <c r="B16" s="2981"/>
      <c r="C16" s="2981"/>
      <c r="D16" s="993" t="s">
        <v>1157</v>
      </c>
      <c r="E16" s="993" t="s">
        <v>1157</v>
      </c>
      <c r="F16" s="993" t="s">
        <v>1157</v>
      </c>
      <c r="G16" s="993" t="s">
        <v>1157</v>
      </c>
      <c r="H16" s="993" t="s">
        <v>1157</v>
      </c>
    </row>
    <row r="17" spans="1:13" x14ac:dyDescent="0.25">
      <c r="A17" s="2978" t="s">
        <v>902</v>
      </c>
      <c r="B17" s="2978"/>
      <c r="C17" s="2978"/>
      <c r="D17" s="1205"/>
      <c r="E17" s="1205"/>
      <c r="F17" s="1205"/>
      <c r="G17" s="1205"/>
      <c r="H17" s="1205"/>
    </row>
    <row r="18" spans="1:13" ht="17.100000000000001" customHeight="1" x14ac:dyDescent="0.25">
      <c r="A18" s="868" t="s">
        <v>1439</v>
      </c>
      <c r="B18" s="998"/>
      <c r="C18" s="869"/>
      <c r="D18" s="2979"/>
      <c r="E18" s="2979"/>
      <c r="F18" s="2979"/>
      <c r="G18" s="2979"/>
      <c r="H18" s="2979"/>
    </row>
    <row r="19" spans="1:13" ht="17.100000000000001" customHeight="1" x14ac:dyDescent="0.25">
      <c r="A19" s="998" t="s">
        <v>1440</v>
      </c>
      <c r="B19" s="998"/>
      <c r="C19" s="869"/>
      <c r="D19" s="2980"/>
      <c r="E19" s="2980"/>
      <c r="F19" s="2980"/>
      <c r="G19" s="2980"/>
      <c r="H19" s="2980"/>
    </row>
    <row r="20" spans="1:13" ht="31.35" customHeight="1" x14ac:dyDescent="0.25">
      <c r="A20" s="2982" t="s">
        <v>1441</v>
      </c>
      <c r="B20" s="2982"/>
      <c r="C20" s="2982"/>
      <c r="D20" s="1207"/>
      <c r="E20" s="1207"/>
      <c r="F20" s="1207"/>
      <c r="G20" s="1207"/>
      <c r="H20" s="1207"/>
      <c r="J20" s="2988" t="s">
        <v>4896</v>
      </c>
      <c r="K20" s="2988"/>
      <c r="L20" s="2343" t="s">
        <v>5070</v>
      </c>
      <c r="M20" s="2343" t="s">
        <v>4982</v>
      </c>
    </row>
    <row r="21" spans="1:13" ht="17.100000000000001" customHeight="1" x14ac:dyDescent="0.25">
      <c r="A21" s="2993" t="s">
        <v>1742</v>
      </c>
      <c r="B21" s="2696"/>
      <c r="C21" s="2994"/>
      <c r="D21" s="1207"/>
      <c r="E21" s="1207"/>
      <c r="F21" s="1207"/>
      <c r="G21" s="1207"/>
      <c r="H21" s="1207"/>
      <c r="J21" s="1257" t="s">
        <v>1743</v>
      </c>
      <c r="K21" s="1225"/>
      <c r="L21" s="2343" t="s">
        <v>5071</v>
      </c>
      <c r="M21" s="2343" t="s">
        <v>4982</v>
      </c>
    </row>
    <row r="22" spans="1:13" ht="17.100000000000001" customHeight="1" x14ac:dyDescent="0.25">
      <c r="A22" s="2982" t="s">
        <v>1442</v>
      </c>
      <c r="B22" s="2982"/>
      <c r="C22" s="2995"/>
      <c r="D22" s="1207"/>
      <c r="E22" s="1207"/>
      <c r="F22" s="1207"/>
      <c r="G22" s="1207"/>
      <c r="H22" s="1207"/>
      <c r="I22" s="1001"/>
      <c r="J22" s="2989" t="s">
        <v>4902</v>
      </c>
      <c r="K22" s="2990"/>
      <c r="L22" s="2343" t="s">
        <v>5072</v>
      </c>
      <c r="M22" s="2343" t="s">
        <v>4982</v>
      </c>
    </row>
    <row r="23" spans="1:13" ht="17.100000000000001" customHeight="1" x14ac:dyDescent="0.25">
      <c r="A23" s="2983" t="s">
        <v>960</v>
      </c>
      <c r="B23" s="2984"/>
      <c r="C23" s="2985"/>
      <c r="D23" s="1207"/>
      <c r="E23" s="1207"/>
      <c r="F23" s="1207"/>
      <c r="G23" s="1207"/>
      <c r="H23" s="1207"/>
      <c r="I23" s="1001"/>
      <c r="J23" s="2991"/>
      <c r="K23" s="2991"/>
      <c r="L23" s="2343" t="s">
        <v>5073</v>
      </c>
      <c r="M23" s="2343" t="s">
        <v>4982</v>
      </c>
    </row>
    <row r="24" spans="1:13" ht="17.100000000000001" customHeight="1" x14ac:dyDescent="0.25">
      <c r="A24" s="2982" t="s">
        <v>961</v>
      </c>
      <c r="B24" s="2984"/>
      <c r="C24" s="2985"/>
      <c r="D24" s="1207"/>
      <c r="E24" s="1207"/>
      <c r="F24" s="1207"/>
      <c r="G24" s="1207"/>
      <c r="H24" s="1207"/>
      <c r="I24" s="1001"/>
      <c r="J24" s="2991"/>
      <c r="K24" s="2991"/>
      <c r="L24" s="2343" t="s">
        <v>5074</v>
      </c>
      <c r="M24" s="2343" t="s">
        <v>4982</v>
      </c>
    </row>
    <row r="25" spans="1:13" ht="15.75" customHeight="1" x14ac:dyDescent="0.25">
      <c r="A25" s="998" t="s">
        <v>792</v>
      </c>
      <c r="B25" s="869"/>
      <c r="C25" s="869"/>
      <c r="D25" s="1003"/>
      <c r="E25" s="1003"/>
      <c r="F25" s="1003"/>
      <c r="G25" s="1003"/>
      <c r="H25" s="1003"/>
      <c r="J25" s="2992"/>
      <c r="K25" s="2992"/>
    </row>
    <row r="26" spans="1:13" ht="17.100000000000001" customHeight="1" x14ac:dyDescent="0.25">
      <c r="A26" s="2986" t="s">
        <v>3944</v>
      </c>
      <c r="B26" s="2987"/>
      <c r="C26" s="2987"/>
      <c r="D26" s="1207"/>
      <c r="E26" s="1207"/>
      <c r="F26" s="1207"/>
      <c r="G26" s="1207"/>
      <c r="H26" s="1207"/>
      <c r="J26" s="1001"/>
      <c r="L26" s="2343" t="s">
        <v>378</v>
      </c>
      <c r="M26" s="2343"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2986" t="s">
        <v>3944</v>
      </c>
      <c r="B27" s="2987"/>
      <c r="C27" s="2987"/>
      <c r="D27" s="1207">
        <v>0</v>
      </c>
      <c r="E27" s="1207"/>
      <c r="F27" s="1207"/>
      <c r="G27" s="1207"/>
      <c r="H27" s="1207"/>
      <c r="L27" s="2343" t="s">
        <v>378</v>
      </c>
      <c r="M27" s="2343"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2986" t="s">
        <v>3944</v>
      </c>
      <c r="B28" s="2987"/>
      <c r="C28" s="2987"/>
      <c r="D28" s="1207"/>
      <c r="E28" s="1207"/>
      <c r="F28" s="1207"/>
      <c r="G28" s="1207"/>
      <c r="H28" s="1207"/>
      <c r="L28" s="2343" t="s">
        <v>378</v>
      </c>
      <c r="M28" s="2343" t="str">
        <f t="shared" si="0"/>
        <v>No Function</v>
      </c>
    </row>
    <row r="29" spans="1:13" ht="17.100000000000001" customHeight="1" x14ac:dyDescent="0.25">
      <c r="A29" s="998" t="s">
        <v>1443</v>
      </c>
      <c r="B29" s="1004"/>
      <c r="C29" s="1004"/>
      <c r="D29" s="1003"/>
      <c r="E29" s="1003"/>
      <c r="F29" s="1003"/>
      <c r="G29" s="1003"/>
      <c r="H29" s="1003"/>
    </row>
    <row r="30" spans="1:13" ht="17.100000000000001" customHeight="1" x14ac:dyDescent="0.25">
      <c r="A30" s="2986" t="s">
        <v>3944</v>
      </c>
      <c r="B30" s="2987"/>
      <c r="C30" s="2987"/>
      <c r="D30" s="1207"/>
      <c r="E30" s="1207"/>
      <c r="F30" s="1207"/>
      <c r="G30" s="1207"/>
      <c r="H30" s="1207"/>
      <c r="L30" s="2343" t="s">
        <v>5075</v>
      </c>
      <c r="M30" s="2343"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2986" t="s">
        <v>3944</v>
      </c>
      <c r="B31" s="2987"/>
      <c r="C31" s="2987"/>
      <c r="D31" s="1207"/>
      <c r="E31" s="1207"/>
      <c r="F31" s="1207"/>
      <c r="G31" s="1207"/>
      <c r="H31" s="1207"/>
      <c r="L31" s="2343" t="s">
        <v>5075</v>
      </c>
      <c r="M31" s="2343"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2986" t="s">
        <v>3944</v>
      </c>
      <c r="B32" s="2987"/>
      <c r="C32" s="2987"/>
      <c r="D32" s="1207"/>
      <c r="E32" s="1207"/>
      <c r="F32" s="1207"/>
      <c r="G32" s="1207"/>
      <c r="H32" s="1207"/>
      <c r="L32" s="2343" t="s">
        <v>5075</v>
      </c>
      <c r="M32" s="2343"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s="2265" customFormat="1" ht="17.100000000000001" customHeight="1" x14ac:dyDescent="0.25">
      <c r="A33" s="2996" t="s">
        <v>3944</v>
      </c>
      <c r="B33" s="2996"/>
      <c r="C33" s="2997"/>
      <c r="D33" s="1207"/>
      <c r="E33" s="1207"/>
      <c r="F33" s="1207"/>
      <c r="G33" s="1207"/>
      <c r="H33" s="1207"/>
      <c r="L33" s="2343" t="s">
        <v>5075</v>
      </c>
      <c r="M33" s="2343" t="str">
        <f t="shared" si="1"/>
        <v>No Function</v>
      </c>
    </row>
    <row r="34" spans="1:13" ht="17.100000000000001" customHeight="1" x14ac:dyDescent="0.25">
      <c r="A34" s="2986" t="s">
        <v>3944</v>
      </c>
      <c r="B34" s="2987"/>
      <c r="C34" s="2987"/>
      <c r="D34" s="1207"/>
      <c r="E34" s="1207"/>
      <c r="F34" s="1207"/>
      <c r="G34" s="1207"/>
      <c r="H34" s="1207"/>
      <c r="L34" s="2343" t="s">
        <v>5075</v>
      </c>
      <c r="M34" s="2343" t="str">
        <f t="shared" si="1"/>
        <v>No Function</v>
      </c>
    </row>
    <row r="35" spans="1:13" ht="17.100000000000001" customHeight="1" x14ac:dyDescent="0.25">
      <c r="A35" s="998" t="s">
        <v>1444</v>
      </c>
      <c r="B35" s="1004"/>
      <c r="C35" s="1004"/>
      <c r="D35" s="1003"/>
      <c r="E35" s="1003"/>
      <c r="F35" s="1003"/>
      <c r="G35" s="1003"/>
      <c r="H35" s="1003"/>
    </row>
    <row r="36" spans="1:13" ht="17.100000000000001" customHeight="1" x14ac:dyDescent="0.25">
      <c r="A36" s="2986" t="s">
        <v>3944</v>
      </c>
      <c r="B36" s="2987"/>
      <c r="C36" s="2987"/>
      <c r="D36" s="1207"/>
      <c r="E36" s="1207"/>
      <c r="F36" s="1207"/>
      <c r="G36" s="1207"/>
      <c r="H36" s="1207"/>
      <c r="L36" s="2343" t="s">
        <v>1735</v>
      </c>
      <c r="M36" s="2343"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2986" t="s">
        <v>3944</v>
      </c>
      <c r="B37" s="2987"/>
      <c r="C37" s="2987"/>
      <c r="D37" s="1207"/>
      <c r="E37" s="1207"/>
      <c r="F37" s="1207"/>
      <c r="G37" s="1207"/>
      <c r="H37" s="1207"/>
      <c r="L37" s="2343" t="s">
        <v>1735</v>
      </c>
      <c r="M37" s="2343" t="str">
        <f t="shared" si="2"/>
        <v>No Function</v>
      </c>
    </row>
    <row r="38" spans="1:13" ht="17.100000000000001" customHeight="1" x14ac:dyDescent="0.25">
      <c r="A38" s="2999" t="s">
        <v>1445</v>
      </c>
      <c r="B38" s="3000"/>
      <c r="C38" s="3001"/>
      <c r="D38" s="1208"/>
      <c r="E38" s="1208"/>
      <c r="F38" s="1208"/>
      <c r="G38" s="1208"/>
      <c r="H38" s="1208"/>
      <c r="J38" s="3002"/>
      <c r="K38" s="3003"/>
      <c r="L38" s="2343" t="s">
        <v>1445</v>
      </c>
      <c r="M38" s="2343" t="s">
        <v>4982</v>
      </c>
    </row>
    <row r="39" spans="1:13" ht="28.5" customHeight="1" thickBot="1" x14ac:dyDescent="0.3">
      <c r="A39" s="3004" t="s">
        <v>4897</v>
      </c>
      <c r="B39" s="3003"/>
      <c r="C39" s="2995"/>
      <c r="D39" s="1005">
        <f>SUM(D20:D24)+SUM(D26:D28)+SUM(D30:D34)+SUM(D36:D38)</f>
        <v>0</v>
      </c>
      <c r="E39" s="1005">
        <f>SUM(E20:E24)+SUM(E26:E28)+SUM(E30:E34)+SUM(E36:E38)</f>
        <v>0</v>
      </c>
      <c r="F39" s="1005">
        <f>SUM(F20:F24)+SUM(F26:F28)+SUM(F30:F34)+SUM(F36:F38)</f>
        <v>0</v>
      </c>
      <c r="G39" s="1005">
        <f>SUM(G20:G24)+SUM(G26:G28)+SUM(G30:G34)+SUM(G36:G38)</f>
        <v>0</v>
      </c>
      <c r="H39" s="1005">
        <f>SUM(H20:H24)+SUM(H26:H28)+SUM(H30:H34)+SUM(H36:H38)</f>
        <v>0</v>
      </c>
      <c r="J39" s="3003"/>
      <c r="K39" s="3003"/>
    </row>
    <row r="40" spans="1:13" ht="12.75" customHeight="1" thickTop="1" x14ac:dyDescent="0.25">
      <c r="A40" s="1006"/>
      <c r="B40" s="1006"/>
      <c r="C40" s="1006"/>
      <c r="D40" s="1006"/>
      <c r="E40" s="1006"/>
      <c r="F40" s="1006"/>
      <c r="G40" s="1006"/>
      <c r="H40" s="1006"/>
    </row>
    <row r="41" spans="1:13" ht="12.75" customHeight="1" x14ac:dyDescent="0.25">
      <c r="A41" s="868" t="s">
        <v>634</v>
      </c>
      <c r="B41" s="1007" t="s">
        <v>1446</v>
      </c>
      <c r="C41" s="869"/>
      <c r="D41" s="998"/>
      <c r="E41" s="998"/>
      <c r="F41" s="998"/>
      <c r="G41" s="998"/>
      <c r="H41" s="998"/>
    </row>
    <row r="42" spans="1:13" ht="12.75" customHeight="1" x14ac:dyDescent="0.25">
      <c r="A42" s="868"/>
      <c r="B42" s="1007" t="s">
        <v>1447</v>
      </c>
      <c r="C42" s="869"/>
      <c r="D42" s="998"/>
      <c r="E42" s="998"/>
      <c r="F42" s="998"/>
      <c r="G42" s="998"/>
      <c r="H42" s="998"/>
    </row>
    <row r="43" spans="1:13" ht="12.75" customHeight="1" x14ac:dyDescent="0.25">
      <c r="A43" s="868"/>
      <c r="B43" s="1007" t="s">
        <v>1291</v>
      </c>
      <c r="C43" s="869"/>
      <c r="D43" s="998"/>
      <c r="E43" s="998"/>
      <c r="F43" s="998"/>
      <c r="G43" s="998"/>
      <c r="H43" s="998"/>
    </row>
    <row r="44" spans="1:13" ht="15" customHeight="1" x14ac:dyDescent="0.25">
      <c r="A44" s="868" t="s">
        <v>636</v>
      </c>
      <c r="B44" s="1007" t="s">
        <v>482</v>
      </c>
      <c r="C44" s="869"/>
      <c r="D44" s="998"/>
      <c r="E44" s="998"/>
      <c r="F44" s="998"/>
      <c r="G44" s="998"/>
      <c r="H44" s="998"/>
    </row>
    <row r="45" spans="1:13" ht="12.75" customHeight="1" x14ac:dyDescent="0.25">
      <c r="A45" s="868"/>
      <c r="B45" s="869"/>
      <c r="C45" s="869"/>
      <c r="D45" s="998"/>
      <c r="E45" s="998"/>
      <c r="F45" s="998"/>
      <c r="G45" s="998"/>
      <c r="H45" s="998"/>
    </row>
    <row r="46" spans="1:13" x14ac:dyDescent="0.25">
      <c r="D46" s="3005" t="s">
        <v>3505</v>
      </c>
      <c r="E46" s="3005"/>
      <c r="F46" s="3005"/>
      <c r="G46" s="3005"/>
      <c r="H46" s="3005"/>
    </row>
    <row r="47" spans="1:13" ht="17.100000000000001" customHeight="1" x14ac:dyDescent="0.25">
      <c r="A47" s="998" t="s">
        <v>378</v>
      </c>
      <c r="B47" s="998"/>
      <c r="C47" s="998"/>
      <c r="D47" s="1395">
        <f>D26+D27+D28+D21</f>
        <v>0</v>
      </c>
      <c r="E47" s="1395">
        <f>E26+E27+E28+E21</f>
        <v>0</v>
      </c>
      <c r="F47" s="1395">
        <f>F26+F27+F28+F21</f>
        <v>0</v>
      </c>
      <c r="G47" s="1395">
        <f>G26+G27+G28+G21</f>
        <v>0</v>
      </c>
      <c r="H47" s="1395">
        <f>H26+H27+H28+H21</f>
        <v>0</v>
      </c>
    </row>
    <row r="48" spans="1:13" ht="17.100000000000001" customHeight="1" x14ac:dyDescent="0.25">
      <c r="A48" s="998" t="s">
        <v>923</v>
      </c>
      <c r="B48" s="998"/>
      <c r="C48" s="998"/>
      <c r="D48" s="1395">
        <f>D20+SUM(D22:D24)+SUM(D30:D34)+SUM(D36:D38)</f>
        <v>0</v>
      </c>
      <c r="E48" s="1395">
        <f>E20+SUM(E22:E24)+SUM(E30:E34)+SUM(E36:E38)</f>
        <v>0</v>
      </c>
      <c r="F48" s="1395">
        <f>F20+SUM(F22:F24)+SUM(F30:F34)+SUM(F36:F38)</f>
        <v>0</v>
      </c>
      <c r="G48" s="1395">
        <f>G20+SUM(G22:G24)+SUM(G30:G34)+SUM(G36:G38)</f>
        <v>0</v>
      </c>
      <c r="H48" s="1395">
        <f>H20+SUM(H22:H24)+SUM(H30:H34)+SUM(H36:H38)</f>
        <v>0</v>
      </c>
    </row>
    <row r="49" spans="1:8" ht="17.100000000000001" customHeight="1" thickBot="1" x14ac:dyDescent="0.3">
      <c r="A49" s="998" t="s">
        <v>1889</v>
      </c>
      <c r="B49" s="998"/>
      <c r="C49" s="998"/>
      <c r="D49" s="1009">
        <f>SUM(D47:D48)</f>
        <v>0</v>
      </c>
      <c r="E49" s="1009">
        <f>SUM(E47:E48)</f>
        <v>0</v>
      </c>
      <c r="F49" s="1009">
        <f>SUM(F47:F48)</f>
        <v>0</v>
      </c>
      <c r="G49" s="1009">
        <f>SUM(G47:G48)</f>
        <v>0</v>
      </c>
      <c r="H49" s="1009">
        <f>SUM(H47:H48)</f>
        <v>0</v>
      </c>
    </row>
    <row r="50" spans="1:8" ht="17.100000000000001" customHeight="1" thickTop="1" x14ac:dyDescent="0.25">
      <c r="A50" s="2998" t="s">
        <v>593</v>
      </c>
      <c r="B50" s="2998"/>
      <c r="C50" s="2998"/>
      <c r="D50" s="1010"/>
      <c r="E50" s="1206"/>
      <c r="F50" s="1206"/>
      <c r="G50" s="1206"/>
      <c r="H50" s="1206"/>
    </row>
  </sheetData>
  <sheetProtection algorithmName="SHA-512" hashValue="xo+ZCvwOyGRKJh6czld0nEoWKQqzBnE1FXA+FwqNuwPEhEeADV9xzY0HFEwkKejMSJ1Q7JLhZ8t6sbwgH3PTxg==" saltValue="9/JREap4Hdpm+bjTnMchug==" spinCount="100000" sheet="1" objects="1" scenarios="1" autoFilter="0"/>
  <customSheetViews>
    <customSheetView guid="{B08879A4-635B-4C39-9937-AC7883D562FC}" fitToPage="1">
      <selection activeCell="A17" sqref="A17:C17"/>
      <pageMargins left="0.75" right="0.5" top="0.5" bottom="0.75" header="0.3" footer="0.3"/>
      <pageSetup scale="83" orientation="portrait" r:id="rId1"/>
      <headerFooter alignWithMargins="0">
        <oddFooter>&amp;R&amp;A</oddFooter>
      </headerFooter>
    </customSheetView>
    <customSheetView guid="{9FCFC836-1CA5-48BF-958D-24D2EA94B219}" fitToPage="1">
      <selection activeCell="A17" sqref="A17:C17"/>
      <pageMargins left="0.75" right="0.5" top="0.5" bottom="0.75" header="0.3" footer="0.3"/>
      <pageSetup scale="83" orientation="portrait" r:id="rId2"/>
      <headerFooter alignWithMargins="0">
        <oddFooter>&amp;R&amp;A</oddFooter>
      </headerFooter>
    </customSheetView>
  </customSheetViews>
  <mergeCells count="38">
    <mergeCell ref="A50:C50"/>
    <mergeCell ref="A36:C36"/>
    <mergeCell ref="A37:C37"/>
    <mergeCell ref="A38:C38"/>
    <mergeCell ref="J38:K39"/>
    <mergeCell ref="A39:C39"/>
    <mergeCell ref="D46:H46"/>
    <mergeCell ref="A27:C27"/>
    <mergeCell ref="A28:C28"/>
    <mergeCell ref="A30:C30"/>
    <mergeCell ref="A32:C32"/>
    <mergeCell ref="A34:C34"/>
    <mergeCell ref="A31:C31"/>
    <mergeCell ref="A33:C33"/>
    <mergeCell ref="A23:C23"/>
    <mergeCell ref="A24:C24"/>
    <mergeCell ref="A26:C26"/>
    <mergeCell ref="J20:K20"/>
    <mergeCell ref="J22:K25"/>
    <mergeCell ref="A21:C21"/>
    <mergeCell ref="A22:C22"/>
    <mergeCell ref="A14:H14"/>
    <mergeCell ref="A17:C17"/>
    <mergeCell ref="D18:D19"/>
    <mergeCell ref="A16:C16"/>
    <mergeCell ref="A20:C20"/>
    <mergeCell ref="E18:E19"/>
    <mergeCell ref="F18:F19"/>
    <mergeCell ref="G18:G19"/>
    <mergeCell ref="H18:H19"/>
    <mergeCell ref="F7:I7"/>
    <mergeCell ref="F8:I8"/>
    <mergeCell ref="F9:I9"/>
    <mergeCell ref="A1:H1"/>
    <mergeCell ref="A2:H2"/>
    <mergeCell ref="A3:H3"/>
    <mergeCell ref="A4:H4"/>
    <mergeCell ref="F6:I6"/>
  </mergeCells>
  <conditionalFormatting sqref="I1">
    <cfRule type="cellIs" dxfId="106" priority="2" stopIfTrue="1" operator="equal">
      <formula>"na"</formula>
    </cfRule>
  </conditionalFormatting>
  <conditionalFormatting sqref="H5">
    <cfRule type="cellIs" dxfId="105" priority="1"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display="https://www.osc.nc.gov/1015-statewide-accounting-policy-fund-balance-reporting" xr:uid="{25D6A107-8A30-410F-BA63-98B35CCEBF2C}"/>
  </hyperlinks>
  <pageMargins left="0.75" right="0.5" top="0.5" bottom="0.75" header="0.3" footer="0.3"/>
  <pageSetup scale="83" orientation="portrait" r:id="rId4"/>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topLeftCell="A4" workbookViewId="0">
      <selection activeCell="O23" sqref="O23"/>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2" width="15.7109375" style="2302" customWidth="1"/>
    <col min="13" max="13" width="21" style="2302" customWidth="1"/>
    <col min="14" max="16384" width="9.42578125" style="867"/>
  </cols>
  <sheetData>
    <row r="1" spans="1:9" ht="18" customHeight="1" x14ac:dyDescent="0.25">
      <c r="A1" s="2767" t="str">
        <f>Index!A1</f>
        <v xml:space="preserve">                                                               Office of the State Controller                                                                </v>
      </c>
      <c r="B1" s="2767"/>
      <c r="C1" s="2767"/>
      <c r="D1" s="2767"/>
      <c r="E1" s="2767"/>
      <c r="F1" s="2767"/>
      <c r="G1" s="2767"/>
      <c r="H1" s="2767"/>
      <c r="I1" s="910"/>
    </row>
    <row r="2" spans="1:9" ht="18" customHeight="1" x14ac:dyDescent="0.25">
      <c r="A2" s="2973" t="str">
        <f>Index!A2</f>
        <v>2022 ACFR Worksheets</v>
      </c>
      <c r="B2" s="2973"/>
      <c r="C2" s="2973"/>
      <c r="D2" s="2973"/>
      <c r="E2" s="2973"/>
      <c r="F2" s="2973"/>
      <c r="G2" s="2973"/>
      <c r="H2" s="2973"/>
    </row>
    <row r="3" spans="1:9" ht="18" customHeight="1" x14ac:dyDescent="0.25">
      <c r="A3" s="2973" t="s">
        <v>1437</v>
      </c>
      <c r="B3" s="2973"/>
      <c r="C3" s="2973"/>
      <c r="D3" s="2973"/>
      <c r="E3" s="2973"/>
      <c r="F3" s="2973"/>
      <c r="G3" s="2973"/>
      <c r="H3" s="2973"/>
    </row>
    <row r="4" spans="1:9" ht="18" customHeight="1" x14ac:dyDescent="0.25">
      <c r="A4" s="2973" t="s">
        <v>3507</v>
      </c>
      <c r="B4" s="2973"/>
      <c r="C4" s="2973"/>
      <c r="D4" s="2973"/>
      <c r="E4" s="2973"/>
      <c r="F4" s="2973"/>
      <c r="G4" s="2973"/>
      <c r="H4" s="2973"/>
      <c r="I4" s="984"/>
    </row>
    <row r="5" spans="1:9" ht="18" customHeight="1" x14ac:dyDescent="0.25">
      <c r="A5" s="985"/>
      <c r="B5" s="985"/>
      <c r="C5" s="985"/>
      <c r="D5" s="985"/>
      <c r="E5" s="985"/>
      <c r="F5" s="986" t="s">
        <v>1091</v>
      </c>
      <c r="G5" s="985"/>
      <c r="H5" s="1431" t="str">
        <f>IF(Index!$B$53="na","NA","")</f>
        <v/>
      </c>
      <c r="I5" s="985"/>
    </row>
    <row r="6" spans="1:9" ht="18" customHeight="1" x14ac:dyDescent="0.25">
      <c r="A6" s="985"/>
      <c r="B6" s="985"/>
      <c r="C6" s="987"/>
      <c r="D6" s="985"/>
      <c r="E6" s="988" t="s">
        <v>327</v>
      </c>
      <c r="F6" s="2755" t="str">
        <f>+Index!$E$10</f>
        <v>01</v>
      </c>
      <c r="G6" s="2755"/>
      <c r="H6" s="2755"/>
      <c r="I6" s="2755"/>
    </row>
    <row r="7" spans="1:9" ht="18" customHeight="1" x14ac:dyDescent="0.25">
      <c r="A7" s="985"/>
      <c r="B7" s="985"/>
      <c r="C7" s="985"/>
      <c r="D7" s="985"/>
      <c r="E7" s="988" t="s">
        <v>1154</v>
      </c>
      <c r="F7" s="2751" t="str">
        <f>+Index!$E$11</f>
        <v>North Carolina General Assembly</v>
      </c>
      <c r="G7" s="2751"/>
      <c r="H7" s="2751"/>
      <c r="I7" s="2751"/>
    </row>
    <row r="8" spans="1:9" ht="18" customHeight="1" x14ac:dyDescent="0.25">
      <c r="A8" s="985" t="s">
        <v>477</v>
      </c>
      <c r="B8" s="985"/>
      <c r="C8" s="989" t="s">
        <v>778</v>
      </c>
      <c r="D8" s="985"/>
      <c r="E8" s="988" t="s">
        <v>972</v>
      </c>
      <c r="F8" s="2752" t="str">
        <f>CONCATENATE(Index!$E$12," ",Index!$E$14)</f>
        <v xml:space="preserve"> </v>
      </c>
      <c r="G8" s="2752"/>
      <c r="H8" s="2752"/>
      <c r="I8" s="2752"/>
    </row>
    <row r="9" spans="1:9" ht="18" customHeight="1" x14ac:dyDescent="0.25">
      <c r="A9" s="985"/>
      <c r="B9" s="985"/>
      <c r="C9" s="987"/>
      <c r="D9" s="985"/>
      <c r="E9" s="988" t="s">
        <v>348</v>
      </c>
      <c r="F9" s="2752">
        <f>+Index!$E$13</f>
        <v>0</v>
      </c>
      <c r="G9" s="2752"/>
      <c r="H9" s="2752"/>
      <c r="I9" s="2752"/>
    </row>
    <row r="10" spans="1:9" ht="14.1" customHeight="1" thickBot="1" x14ac:dyDescent="0.3">
      <c r="A10" s="990"/>
      <c r="B10" s="990"/>
      <c r="C10" s="990"/>
      <c r="D10" s="990"/>
      <c r="E10" s="990"/>
      <c r="F10" s="990"/>
      <c r="G10" s="990"/>
      <c r="H10" s="990"/>
      <c r="I10" s="985"/>
    </row>
    <row r="11" spans="1:9" x14ac:dyDescent="0.25">
      <c r="A11" s="985"/>
      <c r="B11" s="985"/>
      <c r="C11" s="985"/>
      <c r="D11" s="985"/>
      <c r="E11" s="985"/>
      <c r="F11" s="985"/>
      <c r="G11" s="985"/>
      <c r="H11" s="985"/>
      <c r="I11" s="985"/>
    </row>
    <row r="12" spans="1:9" x14ac:dyDescent="0.25">
      <c r="B12" s="985"/>
      <c r="C12" s="1720" t="s">
        <v>4249</v>
      </c>
      <c r="D12" s="1161" t="s">
        <v>1438</v>
      </c>
      <c r="E12" s="985"/>
      <c r="G12" s="985"/>
      <c r="H12" s="985"/>
      <c r="I12" s="985"/>
    </row>
    <row r="13" spans="1:9" ht="17.100000000000001" customHeight="1" x14ac:dyDescent="0.25">
      <c r="A13" s="985"/>
      <c r="B13" s="985"/>
      <c r="C13" s="985"/>
      <c r="D13" s="985"/>
      <c r="E13" s="985"/>
      <c r="F13" s="985"/>
      <c r="G13" s="985"/>
      <c r="H13" s="985"/>
      <c r="I13" s="985"/>
    </row>
    <row r="14" spans="1:9" ht="30" customHeight="1" x14ac:dyDescent="0.25">
      <c r="A14" s="2974" t="s">
        <v>4895</v>
      </c>
      <c r="B14" s="2975"/>
      <c r="C14" s="2976"/>
      <c r="D14" s="2976"/>
      <c r="E14" s="2976"/>
      <c r="F14" s="2976"/>
      <c r="G14" s="2976"/>
      <c r="H14" s="2977"/>
      <c r="I14" s="992"/>
    </row>
    <row r="15" spans="1:9" ht="17.100000000000001" customHeight="1" x14ac:dyDescent="0.25">
      <c r="A15" s="991"/>
      <c r="B15" s="991"/>
      <c r="C15" s="992"/>
      <c r="D15" s="992"/>
      <c r="E15" s="992"/>
      <c r="F15" s="992"/>
      <c r="G15" s="992"/>
      <c r="H15" s="992"/>
      <c r="I15" s="992"/>
    </row>
    <row r="16" spans="1:9" x14ac:dyDescent="0.25">
      <c r="A16" s="985"/>
      <c r="B16" s="985"/>
      <c r="C16" s="985"/>
      <c r="D16" s="993" t="s">
        <v>1157</v>
      </c>
      <c r="E16" s="994" t="s">
        <v>1157</v>
      </c>
      <c r="F16" s="994" t="s">
        <v>1157</v>
      </c>
      <c r="G16" s="994" t="s">
        <v>1157</v>
      </c>
      <c r="H16" s="994" t="s">
        <v>1157</v>
      </c>
      <c r="I16" s="1011"/>
    </row>
    <row r="17" spans="1:13" x14ac:dyDescent="0.25">
      <c r="A17" s="2978" t="s">
        <v>902</v>
      </c>
      <c r="B17" s="2978"/>
      <c r="C17" s="2978"/>
      <c r="D17" s="995"/>
      <c r="E17" s="996"/>
      <c r="F17" s="995"/>
      <c r="G17" s="995"/>
      <c r="H17" s="997"/>
      <c r="I17" s="1012"/>
    </row>
    <row r="18" spans="1:13" ht="17.100000000000001" customHeight="1" x14ac:dyDescent="0.25">
      <c r="A18" s="868" t="s">
        <v>1439</v>
      </c>
      <c r="B18" s="998"/>
      <c r="C18" s="869"/>
      <c r="D18" s="2979"/>
      <c r="E18" s="2979"/>
      <c r="F18" s="2979"/>
      <c r="G18" s="2979"/>
      <c r="H18" s="2979"/>
      <c r="I18" s="1013"/>
    </row>
    <row r="19" spans="1:13" ht="17.100000000000001" customHeight="1" x14ac:dyDescent="0.25">
      <c r="A19" s="998" t="s">
        <v>1440</v>
      </c>
      <c r="B19" s="998"/>
      <c r="C19" s="869"/>
      <c r="D19" s="2980"/>
      <c r="E19" s="2980"/>
      <c r="F19" s="2980"/>
      <c r="G19" s="2980"/>
      <c r="H19" s="2980"/>
      <c r="I19" s="1013"/>
    </row>
    <row r="20" spans="1:13" ht="28.35" customHeight="1" x14ac:dyDescent="0.25">
      <c r="A20" s="2982" t="s">
        <v>1441</v>
      </c>
      <c r="B20" s="2982"/>
      <c r="C20" s="2982"/>
      <c r="D20" s="999"/>
      <c r="E20" s="999"/>
      <c r="F20" s="999"/>
      <c r="G20" s="999"/>
      <c r="H20" s="1000"/>
      <c r="I20" s="1013"/>
      <c r="J20" s="2988" t="s">
        <v>4896</v>
      </c>
      <c r="K20" s="2988"/>
      <c r="L20" s="2343" t="s">
        <v>5070</v>
      </c>
      <c r="M20" s="2343" t="s">
        <v>4982</v>
      </c>
    </row>
    <row r="21" spans="1:13" ht="17.100000000000001" customHeight="1" x14ac:dyDescent="0.25">
      <c r="A21" s="2993" t="s">
        <v>1742</v>
      </c>
      <c r="B21" s="2696"/>
      <c r="C21" s="2994"/>
      <c r="D21" s="999"/>
      <c r="E21" s="999"/>
      <c r="F21" s="999"/>
      <c r="G21" s="999"/>
      <c r="H21" s="1000"/>
      <c r="I21" s="1013"/>
      <c r="J21" s="3006" t="s">
        <v>1743</v>
      </c>
      <c r="K21" s="2817"/>
      <c r="L21" s="2343" t="s">
        <v>5071</v>
      </c>
      <c r="M21" s="2343" t="s">
        <v>4982</v>
      </c>
    </row>
    <row r="22" spans="1:13" ht="17.100000000000001" customHeight="1" x14ac:dyDescent="0.25">
      <c r="A22" s="998" t="s">
        <v>792</v>
      </c>
      <c r="B22" s="869"/>
      <c r="C22" s="869"/>
      <c r="D22" s="1002"/>
      <c r="E22" s="1003"/>
      <c r="F22" s="1003"/>
      <c r="G22" s="1003"/>
      <c r="H22" s="1003"/>
      <c r="I22" s="1013"/>
      <c r="J22" s="2991"/>
      <c r="K22" s="2991"/>
      <c r="L22" s="2343"/>
      <c r="M22" s="2343"/>
    </row>
    <row r="23" spans="1:13" ht="17.100000000000001" customHeight="1" x14ac:dyDescent="0.25">
      <c r="A23" s="2986" t="s">
        <v>1037</v>
      </c>
      <c r="B23" s="2987"/>
      <c r="C23" s="2987"/>
      <c r="D23" s="999"/>
      <c r="E23" s="999"/>
      <c r="F23" s="999"/>
      <c r="G23" s="999"/>
      <c r="H23" s="1000"/>
      <c r="I23" s="1013"/>
      <c r="J23" s="2991"/>
      <c r="K23" s="2991"/>
      <c r="L23" s="2343" t="s">
        <v>378</v>
      </c>
      <c r="M23" s="2343"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Prim Sec Ed</v>
      </c>
    </row>
    <row r="24" spans="1:13" ht="17.100000000000001" customHeight="1" x14ac:dyDescent="0.25">
      <c r="A24" s="2986" t="s">
        <v>128</v>
      </c>
      <c r="B24" s="2987"/>
      <c r="C24" s="2987"/>
      <c r="D24" s="999"/>
      <c r="E24" s="999"/>
      <c r="F24" s="999"/>
      <c r="G24" s="999"/>
      <c r="H24" s="1000"/>
      <c r="I24" s="1013"/>
      <c r="J24" s="2992"/>
      <c r="K24" s="2992"/>
      <c r="L24" s="2343" t="s">
        <v>378</v>
      </c>
      <c r="M24" s="2343"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Gen Gov</v>
      </c>
    </row>
    <row r="25" spans="1:13" s="2133" customFormat="1" ht="17.100000000000001" customHeight="1" x14ac:dyDescent="0.25">
      <c r="A25" s="2986" t="s">
        <v>3855</v>
      </c>
      <c r="B25" s="2987"/>
      <c r="C25" s="2987"/>
      <c r="D25" s="999"/>
      <c r="E25" s="999"/>
      <c r="F25" s="999"/>
      <c r="G25" s="999"/>
      <c r="H25" s="1000"/>
      <c r="I25" s="1013"/>
      <c r="J25" s="2134"/>
      <c r="K25" s="2134"/>
      <c r="L25" s="2343" t="s">
        <v>378</v>
      </c>
      <c r="M25" s="2343" t="str">
        <f t="shared" si="0"/>
        <v>Higher Ed stu aid</v>
      </c>
    </row>
    <row r="26" spans="1:13" ht="17.100000000000001" customHeight="1" x14ac:dyDescent="0.25">
      <c r="A26" s="2986" t="s">
        <v>110</v>
      </c>
      <c r="B26" s="2987"/>
      <c r="C26" s="2987"/>
      <c r="D26" s="999"/>
      <c r="E26" s="999"/>
      <c r="F26" s="999"/>
      <c r="G26" s="999"/>
      <c r="H26" s="1000"/>
      <c r="I26" s="1013"/>
      <c r="L26" s="2343" t="s">
        <v>378</v>
      </c>
      <c r="M26" s="2343" t="str">
        <f t="shared" si="0"/>
        <v>Higher Ed</v>
      </c>
    </row>
    <row r="27" spans="1:13" ht="17.100000000000001" customHeight="1" x14ac:dyDescent="0.25">
      <c r="A27" s="998" t="s">
        <v>1443</v>
      </c>
      <c r="B27" s="1004"/>
      <c r="C27" s="1004"/>
      <c r="D27" s="1002"/>
      <c r="E27" s="1002"/>
      <c r="F27" s="1002"/>
      <c r="G27" s="1002"/>
      <c r="H27" s="1003"/>
      <c r="I27" s="1013"/>
      <c r="L27" s="2343"/>
      <c r="M27" s="2343"/>
    </row>
    <row r="28" spans="1:13" ht="17.100000000000001" customHeight="1" x14ac:dyDescent="0.25">
      <c r="A28" s="2986" t="s">
        <v>110</v>
      </c>
      <c r="B28" s="2987"/>
      <c r="C28" s="2987"/>
      <c r="D28" s="999"/>
      <c r="E28" s="999"/>
      <c r="F28" s="999"/>
      <c r="G28" s="999"/>
      <c r="H28" s="1000"/>
      <c r="I28" s="1013"/>
      <c r="L28" s="2343" t="s">
        <v>5075</v>
      </c>
      <c r="M28" s="2343" t="str">
        <f t="shared" si="0"/>
        <v>Higher Ed</v>
      </c>
    </row>
    <row r="29" spans="1:13" ht="17.100000000000001" customHeight="1" x14ac:dyDescent="0.25">
      <c r="A29" s="2986" t="s">
        <v>1038</v>
      </c>
      <c r="B29" s="2987"/>
      <c r="C29" s="2987"/>
      <c r="D29" s="999"/>
      <c r="E29" s="999"/>
      <c r="F29" s="999"/>
      <c r="G29" s="999"/>
      <c r="H29" s="1000"/>
      <c r="I29" s="1013"/>
      <c r="L29" s="2343" t="s">
        <v>5075</v>
      </c>
      <c r="M29" s="2343" t="str">
        <f t="shared" si="0"/>
        <v>HHS</v>
      </c>
    </row>
    <row r="30" spans="1:13" ht="17.100000000000001" customHeight="1" x14ac:dyDescent="0.25">
      <c r="A30" s="2986" t="s">
        <v>1037</v>
      </c>
      <c r="B30" s="2987"/>
      <c r="C30" s="2987"/>
      <c r="D30" s="999"/>
      <c r="E30" s="999"/>
      <c r="F30" s="999"/>
      <c r="G30" s="999"/>
      <c r="H30" s="1000"/>
      <c r="I30" s="1013"/>
      <c r="L30" s="2343" t="s">
        <v>5075</v>
      </c>
      <c r="M30" s="2343" t="str">
        <f t="shared" si="0"/>
        <v>Prim Sec Ed</v>
      </c>
    </row>
    <row r="31" spans="1:13" ht="17.100000000000001" customHeight="1" x14ac:dyDescent="0.25">
      <c r="A31" s="998" t="s">
        <v>1444</v>
      </c>
      <c r="B31" s="1004"/>
      <c r="C31" s="1004"/>
      <c r="D31" s="1002"/>
      <c r="E31" s="1002"/>
      <c r="F31" s="1002"/>
      <c r="G31" s="1002"/>
      <c r="H31" s="1003"/>
      <c r="I31" s="1013"/>
      <c r="L31" s="2343"/>
      <c r="M31" s="2343"/>
    </row>
    <row r="32" spans="1:13" ht="17.100000000000001" customHeight="1" x14ac:dyDescent="0.25">
      <c r="A32" s="2986" t="s">
        <v>1038</v>
      </c>
      <c r="B32" s="2987"/>
      <c r="C32" s="2987"/>
      <c r="D32" s="999"/>
      <c r="E32" s="999"/>
      <c r="F32" s="999"/>
      <c r="G32" s="999"/>
      <c r="H32" s="1000"/>
      <c r="I32" s="1013"/>
      <c r="L32" s="2343" t="s">
        <v>1735</v>
      </c>
      <c r="M32" s="2343" t="str">
        <f t="shared" si="0"/>
        <v>HHS</v>
      </c>
    </row>
    <row r="33" spans="1:13" ht="17.100000000000001" customHeight="1" x14ac:dyDescent="0.25">
      <c r="A33" s="2986" t="s">
        <v>1038</v>
      </c>
      <c r="B33" s="2987"/>
      <c r="C33" s="2987"/>
      <c r="D33" s="999"/>
      <c r="E33" s="999"/>
      <c r="F33" s="999"/>
      <c r="G33" s="999"/>
      <c r="H33" s="1000"/>
      <c r="I33" s="1013"/>
      <c r="L33" s="2343" t="s">
        <v>1735</v>
      </c>
      <c r="M33" s="2343" t="str">
        <f t="shared" si="0"/>
        <v>HHS</v>
      </c>
    </row>
    <row r="34" spans="1:13" ht="17.100000000000001" customHeight="1" x14ac:dyDescent="0.25">
      <c r="A34" s="2986" t="s">
        <v>128</v>
      </c>
      <c r="B34" s="2987"/>
      <c r="C34" s="2987"/>
      <c r="D34" s="999"/>
      <c r="E34" s="999"/>
      <c r="F34" s="999"/>
      <c r="G34" s="999"/>
      <c r="H34" s="1000"/>
      <c r="I34" s="1013"/>
      <c r="L34" s="2343" t="s">
        <v>1735</v>
      </c>
      <c r="M34" s="2343" t="str">
        <f t="shared" si="0"/>
        <v>Gen Gov</v>
      </c>
    </row>
    <row r="35" spans="1:13" ht="17.100000000000001" customHeight="1" x14ac:dyDescent="0.25">
      <c r="A35" s="2999" t="s">
        <v>1448</v>
      </c>
      <c r="B35" s="3000"/>
      <c r="C35" s="3001"/>
      <c r="D35" s="999"/>
      <c r="E35" s="999"/>
      <c r="F35" s="999"/>
      <c r="G35" s="999"/>
      <c r="H35" s="1000"/>
      <c r="I35" s="1013"/>
      <c r="J35" s="3002" t="s">
        <v>1449</v>
      </c>
      <c r="K35" s="3003"/>
      <c r="L35" s="2343" t="s">
        <v>1445</v>
      </c>
      <c r="M35" s="2343" t="s">
        <v>4982</v>
      </c>
    </row>
    <row r="36" spans="1:13" ht="27.75" customHeight="1" thickBot="1" x14ac:dyDescent="0.3">
      <c r="A36" s="3004" t="s">
        <v>4897</v>
      </c>
      <c r="B36" s="3003"/>
      <c r="C36" s="2995"/>
      <c r="D36" s="1005">
        <f>D20+D21+SUM(D23:D26)+SUM(D28:D30)+SUM(D32:D35)</f>
        <v>0</v>
      </c>
      <c r="E36" s="1005">
        <f>E20+E21+SUM(E23:E26)+SUM(E28:E30)+SUM(E32:E35)</f>
        <v>0</v>
      </c>
      <c r="F36" s="1005">
        <f>F20+F21+SUM(F23:F26)+SUM(F28:F30)+SUM(F32:F35)</f>
        <v>0</v>
      </c>
      <c r="G36" s="1005">
        <f>G20+G21+SUM(G23:G26)+SUM(G28:G30)+SUM(G32:G35)</f>
        <v>0</v>
      </c>
      <c r="H36" s="1005">
        <f>H20+H21+SUM(H23:H26)+SUM(H28:H30)+SUM(H32:H35)</f>
        <v>0</v>
      </c>
      <c r="I36" s="1014"/>
      <c r="J36" s="3003"/>
      <c r="K36" s="3003"/>
    </row>
    <row r="37" spans="1:13" ht="12.75" customHeight="1" thickTop="1" x14ac:dyDescent="0.25">
      <c r="A37" s="1006"/>
      <c r="B37" s="1006"/>
      <c r="C37" s="1006"/>
      <c r="D37" s="1006"/>
      <c r="E37" s="1006"/>
      <c r="F37" s="1006"/>
      <c r="G37" s="1006"/>
      <c r="H37" s="1006"/>
      <c r="I37" s="1006"/>
      <c r="J37" s="1015"/>
      <c r="K37" s="1015"/>
    </row>
    <row r="38" spans="1:13" ht="12.75" customHeight="1" x14ac:dyDescent="0.25">
      <c r="A38" s="868" t="s">
        <v>634</v>
      </c>
      <c r="B38" s="1007" t="s">
        <v>1446</v>
      </c>
      <c r="C38" s="869"/>
      <c r="D38" s="998"/>
      <c r="E38" s="998"/>
      <c r="F38" s="998"/>
      <c r="G38" s="998"/>
      <c r="H38" s="998"/>
      <c r="I38" s="998"/>
      <c r="J38" s="1016"/>
    </row>
    <row r="39" spans="1:13" ht="12.75" customHeight="1" x14ac:dyDescent="0.25">
      <c r="A39" s="868"/>
      <c r="B39" s="1007" t="s">
        <v>1447</v>
      </c>
      <c r="C39" s="869"/>
      <c r="D39" s="998"/>
      <c r="E39" s="998"/>
      <c r="F39" s="998"/>
      <c r="G39" s="998"/>
      <c r="H39" s="998"/>
      <c r="I39" s="998"/>
    </row>
    <row r="40" spans="1:13" ht="12.75" customHeight="1" x14ac:dyDescent="0.25">
      <c r="A40" s="868"/>
      <c r="B40" s="1007" t="s">
        <v>1291</v>
      </c>
      <c r="C40" s="869"/>
      <c r="D40" s="998"/>
      <c r="E40" s="998"/>
      <c r="F40" s="998"/>
      <c r="G40" s="998"/>
      <c r="H40" s="998"/>
      <c r="I40" s="998"/>
    </row>
    <row r="41" spans="1:13" ht="15" customHeight="1" x14ac:dyDescent="0.25">
      <c r="A41" s="868" t="s">
        <v>636</v>
      </c>
      <c r="B41" s="1007" t="s">
        <v>482</v>
      </c>
      <c r="C41" s="869"/>
      <c r="D41" s="998"/>
      <c r="E41" s="998"/>
      <c r="F41" s="998"/>
      <c r="G41" s="998"/>
      <c r="H41" s="998"/>
      <c r="I41" s="998"/>
    </row>
    <row r="42" spans="1:13" ht="12.75" customHeight="1" x14ac:dyDescent="0.25">
      <c r="A42" s="868"/>
      <c r="B42" s="869"/>
      <c r="C42" s="869"/>
      <c r="D42" s="998"/>
      <c r="E42" s="998"/>
      <c r="F42" s="998"/>
      <c r="G42" s="998"/>
      <c r="H42" s="998"/>
      <c r="I42" s="998"/>
    </row>
    <row r="43" spans="1:13" x14ac:dyDescent="0.25">
      <c r="D43" s="3005" t="s">
        <v>3505</v>
      </c>
      <c r="E43" s="3005"/>
      <c r="F43" s="3005"/>
      <c r="G43" s="3005"/>
      <c r="H43" s="3005"/>
      <c r="I43" s="1017"/>
    </row>
    <row r="44" spans="1:13" ht="17.100000000000001" customHeight="1" x14ac:dyDescent="0.25">
      <c r="A44" s="998" t="s">
        <v>378</v>
      </c>
      <c r="B44" s="998"/>
      <c r="C44" s="998"/>
      <c r="D44" s="1395">
        <f>D23+D24+D26+D21</f>
        <v>0</v>
      </c>
      <c r="E44" s="1395">
        <f>E23+E24+E26+E21</f>
        <v>0</v>
      </c>
      <c r="F44" s="1395">
        <f>F23+F24+F26+F21</f>
        <v>0</v>
      </c>
      <c r="G44" s="1395">
        <f>G23+G24+G26+G21</f>
        <v>0</v>
      </c>
      <c r="H44" s="1395">
        <f>H23+H24+H26+H21</f>
        <v>0</v>
      </c>
      <c r="I44" s="1018"/>
    </row>
    <row r="45" spans="1:13" ht="17.100000000000001" customHeight="1" x14ac:dyDescent="0.25">
      <c r="A45" s="998" t="s">
        <v>923</v>
      </c>
      <c r="B45" s="998"/>
      <c r="C45" s="998"/>
      <c r="D45" s="1395">
        <f>D20+SUM(D28:D30)+SUM(D32:D35)</f>
        <v>0</v>
      </c>
      <c r="E45" s="1395">
        <f>E20+SUM(E28:E30)+SUM(E32:E35)</f>
        <v>0</v>
      </c>
      <c r="F45" s="1395">
        <f>F20+SUM(F28:F30)+SUM(F32:F35)</f>
        <v>0</v>
      </c>
      <c r="G45" s="1395">
        <f>G20+SUM(G28:G30)+SUM(G32:G35)</f>
        <v>0</v>
      </c>
      <c r="H45" s="1395">
        <f>H20+SUM(H28:H30)+SUM(H32:H35)</f>
        <v>0</v>
      </c>
      <c r="I45" s="1019"/>
    </row>
    <row r="46" spans="1:13" ht="17.100000000000001" customHeight="1" thickBot="1" x14ac:dyDescent="0.3">
      <c r="A46" s="998" t="s">
        <v>1889</v>
      </c>
      <c r="B46" s="998"/>
      <c r="C46" s="998"/>
      <c r="D46" s="1009">
        <f>SUM(D44:D45)</f>
        <v>0</v>
      </c>
      <c r="E46" s="1009">
        <f>SUM(E44:E45)</f>
        <v>0</v>
      </c>
      <c r="F46" s="1009">
        <f>SUM(F44:F45)</f>
        <v>0</v>
      </c>
      <c r="G46" s="1009">
        <f>SUM(G44:G45)</f>
        <v>0</v>
      </c>
      <c r="H46" s="1009">
        <f>SUM(H44:H45)</f>
        <v>0</v>
      </c>
      <c r="I46" s="1019"/>
    </row>
    <row r="47" spans="1:13" ht="17.100000000000001" customHeight="1" thickTop="1" x14ac:dyDescent="0.25">
      <c r="A47" s="2998" t="s">
        <v>593</v>
      </c>
      <c r="B47" s="2998"/>
      <c r="C47" s="2998"/>
      <c r="D47" s="1010"/>
      <c r="E47" s="1010" t="str">
        <f>IF(E48&lt;&gt;0,"Out of Balance","")</f>
        <v/>
      </c>
      <c r="F47" s="1010" t="str">
        <f>IF(F48&lt;&gt;0,"Out of Balance","")</f>
        <v/>
      </c>
      <c r="G47" s="1010" t="str">
        <f>IF(G48&lt;&gt;0,"Out of Balance","")</f>
        <v/>
      </c>
      <c r="H47" s="1010" t="str">
        <f>IF(H48&lt;&gt;0,"Out of Balance","")</f>
        <v/>
      </c>
      <c r="I47" s="1010"/>
    </row>
  </sheetData>
  <sheetProtection algorithmName="SHA-512" hashValue="Keu5psRW1nTgQqIpzesWWeankLXPYUc2GC+29nMnrflo+XONQf7AOIhvlJtowbN3KfHxGnvBMGBoqBBZEwlxAQ==" saltValue="kgTeNuXT+IrIgik9d4s6/A==" spinCount="100000" sheet="1" objects="1" scenarios="1" autoFilter="0"/>
  <customSheetViews>
    <customSheetView guid="{B08879A4-635B-4C39-9937-AC7883D562FC}" fitToPage="1" topLeftCell="A16">
      <selection activeCell="A26" sqref="A26:C26"/>
      <pageMargins left="0.75" right="0.5" top="0.5" bottom="0.75" header="0.3" footer="0.3"/>
      <pageSetup scale="83" orientation="portrait" r:id="rId1"/>
      <headerFooter>
        <oddFooter>&amp;R&amp;A</oddFooter>
      </headerFooter>
    </customSheetView>
    <customSheetView guid="{9FCFC836-1CA5-48BF-958D-24D2EA94B219}" fitToPage="1" topLeftCell="A16">
      <selection activeCell="A26" sqref="A26:C26"/>
      <pageMargins left="0.75" right="0.5" top="0.5" bottom="0.75" header="0.3" footer="0.3"/>
      <pageSetup scale="83" orientation="portrait" r:id="rId2"/>
      <headerFooter>
        <oddFooter>&amp;R&amp;A</oddFooter>
      </headerFooter>
    </customSheetView>
  </customSheetViews>
  <mergeCells count="35">
    <mergeCell ref="D43:H43"/>
    <mergeCell ref="A47:C47"/>
    <mergeCell ref="A30:C30"/>
    <mergeCell ref="A32:C32"/>
    <mergeCell ref="A33:C33"/>
    <mergeCell ref="A34:C34"/>
    <mergeCell ref="A35:C35"/>
    <mergeCell ref="J35:K36"/>
    <mergeCell ref="A36:C36"/>
    <mergeCell ref="A20:C20"/>
    <mergeCell ref="A23:C23"/>
    <mergeCell ref="A24:C24"/>
    <mergeCell ref="A26:C26"/>
    <mergeCell ref="A28:C28"/>
    <mergeCell ref="A29:C29"/>
    <mergeCell ref="J20:K20"/>
    <mergeCell ref="A21:C21"/>
    <mergeCell ref="A25:C25"/>
    <mergeCell ref="A1:H1"/>
    <mergeCell ref="A2:H2"/>
    <mergeCell ref="A3:H3"/>
    <mergeCell ref="A4:H4"/>
    <mergeCell ref="F6:I6"/>
    <mergeCell ref="A14:H14"/>
    <mergeCell ref="J22:K24"/>
    <mergeCell ref="J21:K21"/>
    <mergeCell ref="F7:I7"/>
    <mergeCell ref="F8:I8"/>
    <mergeCell ref="F9:I9"/>
    <mergeCell ref="A17:C17"/>
    <mergeCell ref="D18:D19"/>
    <mergeCell ref="E18:E19"/>
    <mergeCell ref="F18:F19"/>
    <mergeCell ref="G18:G19"/>
    <mergeCell ref="H18:H19"/>
  </mergeCells>
  <conditionalFormatting sqref="I2:J3 I1">
    <cfRule type="cellIs" dxfId="104" priority="3" stopIfTrue="1" operator="equal">
      <formula>"na"</formula>
    </cfRule>
  </conditionalFormatting>
  <conditionalFormatting sqref="I1">
    <cfRule type="cellIs" dxfId="103" priority="2" stopIfTrue="1" operator="equal">
      <formula>"na"</formula>
    </cfRule>
  </conditionalFormatting>
  <conditionalFormatting sqref="H5">
    <cfRule type="containsText" dxfId="102" priority="1" stopIfTrue="1" operator="containsText" text="NA">
      <formula>NOT(ISERROR(SEARCH("NA",H5)))</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D35: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3:I26 D28:I30 D32:I34 D20:I21"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75" right="0.5" top="0.5" bottom="0.75" header="0.3" footer="0.3"/>
  <pageSetup scale="83" orientation="portrait" r:id="rId4"/>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M54"/>
  <sheetViews>
    <sheetView zoomScaleNormal="100" workbookViewId="0">
      <selection activeCell="Q16" sqref="Q16"/>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3" width="9.42578125" style="2302"/>
    <col min="14" max="16384" width="9.42578125" style="867"/>
  </cols>
  <sheetData>
    <row r="1" spans="1:9" ht="18" customHeight="1" x14ac:dyDescent="0.25">
      <c r="A1" s="2767" t="str">
        <f>Index!A1</f>
        <v xml:space="preserve">                                                               Office of the State Controller                                                                </v>
      </c>
      <c r="B1" s="2767"/>
      <c r="C1" s="2767"/>
      <c r="D1" s="2767"/>
      <c r="E1" s="2767"/>
      <c r="F1" s="2767"/>
      <c r="G1" s="2767"/>
      <c r="H1" s="2767"/>
      <c r="I1" s="1424"/>
    </row>
    <row r="2" spans="1:9" ht="18" customHeight="1" x14ac:dyDescent="0.25">
      <c r="A2" s="2973" t="str">
        <f>Index!A2</f>
        <v>2022 ACFR Worksheets</v>
      </c>
      <c r="B2" s="2973"/>
      <c r="C2" s="2973"/>
      <c r="D2" s="2973"/>
      <c r="E2" s="2973"/>
      <c r="F2" s="2973"/>
      <c r="G2" s="2973"/>
      <c r="H2" s="2973"/>
    </row>
    <row r="3" spans="1:9" ht="18" customHeight="1" x14ac:dyDescent="0.25">
      <c r="A3" s="2973" t="s">
        <v>1437</v>
      </c>
      <c r="B3" s="2973"/>
      <c r="C3" s="2973"/>
      <c r="D3" s="2973"/>
      <c r="E3" s="2973"/>
      <c r="F3" s="2973"/>
      <c r="G3" s="2973"/>
      <c r="H3" s="2973"/>
    </row>
    <row r="4" spans="1:9" ht="18" customHeight="1" x14ac:dyDescent="0.25">
      <c r="A4" s="2973" t="s">
        <v>3508</v>
      </c>
      <c r="B4" s="2973"/>
      <c r="C4" s="2973"/>
      <c r="D4" s="2973"/>
      <c r="E4" s="2973"/>
      <c r="F4" s="2973"/>
      <c r="G4" s="2973"/>
      <c r="H4" s="2973"/>
    </row>
    <row r="5" spans="1:9" ht="18" customHeight="1" x14ac:dyDescent="0.25">
      <c r="A5" s="985"/>
      <c r="B5" s="985"/>
      <c r="C5" s="985"/>
      <c r="D5" s="985"/>
      <c r="E5" s="985"/>
      <c r="F5" s="986" t="s">
        <v>1091</v>
      </c>
      <c r="G5" s="985"/>
      <c r="H5" s="910" t="str">
        <f>IF(Index!$B$54="na","NA","")</f>
        <v/>
      </c>
    </row>
    <row r="6" spans="1:9" ht="18" customHeight="1" x14ac:dyDescent="0.25">
      <c r="A6" s="985"/>
      <c r="B6" s="985"/>
      <c r="C6" s="987"/>
      <c r="D6" s="985"/>
      <c r="E6" s="988" t="s">
        <v>327</v>
      </c>
      <c r="F6" s="2755" t="str">
        <f>+Index!$E$10</f>
        <v>01</v>
      </c>
      <c r="G6" s="2755"/>
      <c r="H6" s="2755"/>
      <c r="I6" s="2755"/>
    </row>
    <row r="7" spans="1:9" ht="18" customHeight="1" x14ac:dyDescent="0.25">
      <c r="A7" s="985"/>
      <c r="B7" s="985"/>
      <c r="C7" s="985"/>
      <c r="D7" s="985"/>
      <c r="E7" s="988" t="s">
        <v>1154</v>
      </c>
      <c r="F7" s="2751" t="str">
        <f>+Index!$E$11</f>
        <v>North Carolina General Assembly</v>
      </c>
      <c r="G7" s="2751"/>
      <c r="H7" s="2751"/>
      <c r="I7" s="2751"/>
    </row>
    <row r="8" spans="1:9" ht="18" customHeight="1" x14ac:dyDescent="0.25">
      <c r="A8" s="985" t="s">
        <v>477</v>
      </c>
      <c r="B8" s="985"/>
      <c r="C8" s="989" t="s">
        <v>779</v>
      </c>
      <c r="D8" s="985"/>
      <c r="E8" s="988" t="s">
        <v>972</v>
      </c>
      <c r="F8" s="2752" t="str">
        <f>CONCATENATE(Index!$E$12," ",Index!$E$14)</f>
        <v xml:space="preserve"> </v>
      </c>
      <c r="G8" s="2752"/>
      <c r="H8" s="2752"/>
      <c r="I8" s="2752"/>
    </row>
    <row r="9" spans="1:9" ht="18" customHeight="1" x14ac:dyDescent="0.25">
      <c r="A9" s="985"/>
      <c r="B9" s="985"/>
      <c r="C9" s="987"/>
      <c r="D9" s="985"/>
      <c r="E9" s="988" t="s">
        <v>348</v>
      </c>
      <c r="F9" s="2752">
        <f>+Index!$E$13</f>
        <v>0</v>
      </c>
      <c r="G9" s="2752"/>
      <c r="H9" s="2752"/>
      <c r="I9" s="2752"/>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C12" s="1720" t="s">
        <v>4289</v>
      </c>
      <c r="D12" s="1161" t="s">
        <v>1438</v>
      </c>
      <c r="E12" s="985"/>
      <c r="G12" s="985"/>
      <c r="H12" s="985"/>
    </row>
    <row r="13" spans="1:9" ht="17.100000000000001" customHeight="1" x14ac:dyDescent="0.25">
      <c r="A13" s="985"/>
      <c r="B13" s="985"/>
      <c r="C13" s="985"/>
      <c r="D13" s="985"/>
      <c r="E13" s="985"/>
      <c r="F13" s="985"/>
      <c r="G13" s="985"/>
      <c r="H13" s="985"/>
    </row>
    <row r="14" spans="1:9" ht="30" customHeight="1" x14ac:dyDescent="0.25">
      <c r="A14" s="2974" t="s">
        <v>4895</v>
      </c>
      <c r="B14" s="2975"/>
      <c r="C14" s="2976"/>
      <c r="D14" s="2976"/>
      <c r="E14" s="2976"/>
      <c r="F14" s="2976"/>
      <c r="G14" s="2976"/>
      <c r="H14" s="2977"/>
    </row>
    <row r="15" spans="1:9" ht="17.100000000000001" customHeight="1" x14ac:dyDescent="0.25">
      <c r="A15" s="991"/>
      <c r="B15" s="991"/>
      <c r="C15" s="992"/>
      <c r="D15" s="992"/>
      <c r="E15" s="992"/>
      <c r="F15" s="992"/>
      <c r="G15" s="992"/>
      <c r="H15" s="992"/>
    </row>
    <row r="16" spans="1:9" x14ac:dyDescent="0.25">
      <c r="A16" s="985"/>
      <c r="B16" s="985"/>
      <c r="C16" s="985"/>
      <c r="D16" s="993" t="s">
        <v>1157</v>
      </c>
      <c r="E16" s="994" t="s">
        <v>1157</v>
      </c>
      <c r="F16" s="994" t="s">
        <v>1157</v>
      </c>
      <c r="G16" s="994" t="s">
        <v>1157</v>
      </c>
      <c r="H16" s="994" t="s">
        <v>1157</v>
      </c>
    </row>
    <row r="17" spans="1:13" x14ac:dyDescent="0.25">
      <c r="A17" s="2978" t="s">
        <v>902</v>
      </c>
      <c r="B17" s="2978"/>
      <c r="C17" s="2978"/>
      <c r="D17" s="995"/>
      <c r="E17" s="996"/>
      <c r="F17" s="995"/>
      <c r="G17" s="995"/>
      <c r="H17" s="997"/>
    </row>
    <row r="18" spans="1:13" ht="17.100000000000001" customHeight="1" x14ac:dyDescent="0.25">
      <c r="A18" s="868" t="s">
        <v>1439</v>
      </c>
      <c r="B18" s="998"/>
      <c r="C18" s="869"/>
      <c r="D18" s="2979"/>
      <c r="E18" s="2979"/>
      <c r="F18" s="2979"/>
      <c r="G18" s="2979"/>
      <c r="H18" s="2979"/>
    </row>
    <row r="19" spans="1:13" ht="17.100000000000001" customHeight="1" x14ac:dyDescent="0.25">
      <c r="A19" s="998" t="s">
        <v>1440</v>
      </c>
      <c r="B19" s="998"/>
      <c r="C19" s="869"/>
      <c r="D19" s="2980"/>
      <c r="E19" s="2980"/>
      <c r="F19" s="2980"/>
      <c r="G19" s="2980"/>
      <c r="H19" s="2980"/>
    </row>
    <row r="20" spans="1:13" ht="28.35" customHeight="1" x14ac:dyDescent="0.25">
      <c r="A20" s="2982" t="s">
        <v>1441</v>
      </c>
      <c r="B20" s="2982"/>
      <c r="C20" s="2982"/>
      <c r="D20" s="999"/>
      <c r="E20" s="999"/>
      <c r="F20" s="999"/>
      <c r="G20" s="999"/>
      <c r="H20" s="1000"/>
      <c r="J20" s="2988" t="s">
        <v>4896</v>
      </c>
      <c r="K20" s="2988"/>
      <c r="L20" s="2344" t="s">
        <v>5070</v>
      </c>
      <c r="M20" s="2344" t="s">
        <v>4982</v>
      </c>
    </row>
    <row r="21" spans="1:13" ht="17.100000000000001" customHeight="1" x14ac:dyDescent="0.25">
      <c r="A21" s="2993" t="s">
        <v>1742</v>
      </c>
      <c r="B21" s="2696"/>
      <c r="C21" s="2994"/>
      <c r="D21" s="999"/>
      <c r="E21" s="999"/>
      <c r="F21" s="999"/>
      <c r="G21" s="999"/>
      <c r="H21" s="1000"/>
      <c r="J21" s="3006" t="s">
        <v>1743</v>
      </c>
      <c r="K21" s="2817"/>
      <c r="L21" s="2344" t="s">
        <v>5071</v>
      </c>
      <c r="M21" s="2344" t="s">
        <v>4982</v>
      </c>
    </row>
    <row r="22" spans="1:13" ht="17.100000000000001" customHeight="1" x14ac:dyDescent="0.25">
      <c r="A22" s="998" t="s">
        <v>792</v>
      </c>
      <c r="B22" s="869"/>
      <c r="C22" s="869"/>
      <c r="D22" s="1002"/>
      <c r="E22" s="1003"/>
      <c r="F22" s="1003"/>
      <c r="G22" s="1003"/>
      <c r="H22" s="1003"/>
      <c r="J22" s="1496"/>
      <c r="K22" s="1496"/>
      <c r="L22" s="2344"/>
      <c r="M22" s="2344"/>
    </row>
    <row r="23" spans="1:13" ht="17.100000000000001" customHeight="1" x14ac:dyDescent="0.25">
      <c r="A23" s="2993" t="s">
        <v>4179</v>
      </c>
      <c r="B23" s="3007"/>
      <c r="C23" s="3007"/>
      <c r="D23" s="999"/>
      <c r="E23" s="999"/>
      <c r="F23" s="999"/>
      <c r="G23" s="999"/>
      <c r="H23" s="1000"/>
      <c r="J23" s="1496"/>
      <c r="K23" s="1496"/>
      <c r="L23" s="2344" t="s">
        <v>378</v>
      </c>
      <c r="M23" s="2344" t="s">
        <v>5077</v>
      </c>
    </row>
    <row r="24" spans="1:13" ht="17.100000000000001" customHeight="1" x14ac:dyDescent="0.25">
      <c r="A24" s="2993" t="s">
        <v>4290</v>
      </c>
      <c r="B24" s="3007"/>
      <c r="C24" s="3007"/>
      <c r="D24" s="999"/>
      <c r="E24" s="999"/>
      <c r="F24" s="999"/>
      <c r="G24" s="999"/>
      <c r="H24" s="1000"/>
      <c r="J24" s="1497"/>
      <c r="K24" s="1497"/>
      <c r="L24" s="2344" t="s">
        <v>378</v>
      </c>
      <c r="M24" s="2344" t="s">
        <v>5078</v>
      </c>
    </row>
    <row r="25" spans="1:13" ht="17.100000000000001" customHeight="1" x14ac:dyDescent="0.25">
      <c r="A25" s="2993" t="s">
        <v>4180</v>
      </c>
      <c r="B25" s="3007"/>
      <c r="C25" s="3007"/>
      <c r="D25" s="999"/>
      <c r="E25" s="999"/>
      <c r="F25" s="999"/>
      <c r="G25" s="999"/>
      <c r="H25" s="1000"/>
      <c r="L25" s="2344" t="s">
        <v>378</v>
      </c>
      <c r="M25" s="2344" t="s">
        <v>5079</v>
      </c>
    </row>
    <row r="26" spans="1:13" ht="17.100000000000001" customHeight="1" x14ac:dyDescent="0.25">
      <c r="A26" s="998" t="s">
        <v>1443</v>
      </c>
      <c r="B26" s="1004"/>
      <c r="C26" s="1004"/>
      <c r="D26" s="1002"/>
      <c r="E26" s="1002"/>
      <c r="F26" s="1002"/>
      <c r="G26" s="1002"/>
      <c r="H26" s="1003"/>
      <c r="L26" s="2344"/>
      <c r="M26" s="2344"/>
    </row>
    <row r="27" spans="1:13" ht="17.100000000000001" customHeight="1" x14ac:dyDescent="0.25">
      <c r="A27" s="2993" t="s">
        <v>4179</v>
      </c>
      <c r="B27" s="3007"/>
      <c r="C27" s="3007"/>
      <c r="D27" s="999"/>
      <c r="E27" s="999"/>
      <c r="F27" s="999"/>
      <c r="G27" s="999"/>
      <c r="H27" s="1000"/>
      <c r="L27" s="2344" t="s">
        <v>5075</v>
      </c>
      <c r="M27" s="2344" t="s">
        <v>5077</v>
      </c>
    </row>
    <row r="28" spans="1:13" ht="17.100000000000001" customHeight="1" x14ac:dyDescent="0.25">
      <c r="A28" s="2993" t="s">
        <v>128</v>
      </c>
      <c r="B28" s="3007"/>
      <c r="C28" s="3007"/>
      <c r="D28" s="999"/>
      <c r="E28" s="999"/>
      <c r="F28" s="999"/>
      <c r="G28" s="999"/>
      <c r="H28" s="1000"/>
      <c r="L28" s="2344" t="s">
        <v>5075</v>
      </c>
      <c r="M28" s="2344" t="s">
        <v>4992</v>
      </c>
    </row>
    <row r="29" spans="1:13" ht="17.100000000000001" customHeight="1" x14ac:dyDescent="0.25">
      <c r="A29" s="2993" t="s">
        <v>4180</v>
      </c>
      <c r="B29" s="3007"/>
      <c r="C29" s="3007"/>
      <c r="D29" s="999"/>
      <c r="E29" s="999"/>
      <c r="F29" s="999"/>
      <c r="G29" s="999"/>
      <c r="H29" s="1000"/>
      <c r="L29" s="2344" t="s">
        <v>5075</v>
      </c>
      <c r="M29" s="2344" t="s">
        <v>5079</v>
      </c>
    </row>
    <row r="30" spans="1:13" ht="17.100000000000001" customHeight="1" x14ac:dyDescent="0.25">
      <c r="A30" s="998" t="s">
        <v>1444</v>
      </c>
      <c r="B30" s="1004"/>
      <c r="C30" s="1004"/>
      <c r="D30" s="1002"/>
      <c r="E30" s="1002"/>
      <c r="F30" s="1002"/>
      <c r="G30" s="1002"/>
      <c r="H30" s="1003"/>
      <c r="L30" s="2344"/>
      <c r="M30" s="2344"/>
    </row>
    <row r="31" spans="1:13" ht="17.100000000000001" customHeight="1" x14ac:dyDescent="0.25">
      <c r="A31" s="2993" t="s">
        <v>4179</v>
      </c>
      <c r="B31" s="3007"/>
      <c r="C31" s="3007"/>
      <c r="D31" s="999"/>
      <c r="E31" s="999"/>
      <c r="F31" s="999"/>
      <c r="G31" s="999"/>
      <c r="H31" s="1000"/>
      <c r="L31" s="2344" t="s">
        <v>1735</v>
      </c>
      <c r="M31" s="2344" t="s">
        <v>5077</v>
      </c>
    </row>
    <row r="32" spans="1:13" ht="17.100000000000001" customHeight="1" x14ac:dyDescent="0.25">
      <c r="A32" s="2993" t="s">
        <v>128</v>
      </c>
      <c r="B32" s="3007"/>
      <c r="C32" s="3007"/>
      <c r="D32" s="999"/>
      <c r="E32" s="999"/>
      <c r="F32" s="999"/>
      <c r="G32" s="999"/>
      <c r="H32" s="1000"/>
      <c r="L32" s="2344" t="s">
        <v>1735</v>
      </c>
      <c r="M32" s="2344" t="s">
        <v>4992</v>
      </c>
    </row>
    <row r="33" spans="1:13" ht="17.100000000000001" customHeight="1" x14ac:dyDescent="0.25">
      <c r="A33" s="2993" t="s">
        <v>4180</v>
      </c>
      <c r="B33" s="3007"/>
      <c r="C33" s="3007"/>
      <c r="D33" s="999"/>
      <c r="E33" s="999"/>
      <c r="F33" s="999"/>
      <c r="G33" s="999"/>
      <c r="H33" s="1000"/>
      <c r="L33" s="2344" t="s">
        <v>1735</v>
      </c>
      <c r="M33" s="2344" t="s">
        <v>5079</v>
      </c>
    </row>
    <row r="34" spans="1:13" ht="17.100000000000001" customHeight="1" x14ac:dyDescent="0.25">
      <c r="A34" s="2999" t="s">
        <v>1448</v>
      </c>
      <c r="B34" s="3000"/>
      <c r="C34" s="3001"/>
      <c r="D34" s="999"/>
      <c r="E34" s="999"/>
      <c r="F34" s="999"/>
      <c r="G34" s="999"/>
      <c r="H34" s="1000"/>
      <c r="I34" s="1001"/>
      <c r="J34" s="3002" t="s">
        <v>1449</v>
      </c>
      <c r="K34" s="3003"/>
      <c r="L34" s="2344" t="s">
        <v>1445</v>
      </c>
      <c r="M34" s="2344" t="s">
        <v>4982</v>
      </c>
    </row>
    <row r="35" spans="1:13" ht="29.25" customHeight="1" thickBot="1" x14ac:dyDescent="0.3">
      <c r="A35" s="3004" t="s">
        <v>4897</v>
      </c>
      <c r="B35" s="3003"/>
      <c r="C35" s="2995"/>
      <c r="D35" s="1005">
        <f>SUM(D20:D21)+SUM(D23:D25)+SUM(D27:D29)+SUM(D31:D34)</f>
        <v>0</v>
      </c>
      <c r="E35" s="1005">
        <f>SUM(E20:E21)+SUM(E23:E25)+SUM(E27:E29)+SUM(E31:E34)</f>
        <v>0</v>
      </c>
      <c r="F35" s="1005">
        <f>SUM(F20:F21)+SUM(F23:F25)+SUM(F27:F29)+SUM(F31:F34)</f>
        <v>0</v>
      </c>
      <c r="G35" s="1005">
        <f>SUM(G20:G21)+SUM(G23:G25)+SUM(G27:G29)+SUM(G31:G34)</f>
        <v>0</v>
      </c>
      <c r="H35" s="1005">
        <f>SUM(H20:H21)+SUM(H23:H25)+SUM(H27:H29)+SUM(H31:H34)</f>
        <v>0</v>
      </c>
      <c r="J35" s="3003"/>
      <c r="K35" s="3003"/>
    </row>
    <row r="36" spans="1:13" ht="12.75" customHeight="1" thickTop="1" x14ac:dyDescent="0.25">
      <c r="A36" s="1006"/>
      <c r="B36" s="1006"/>
      <c r="C36" s="1006"/>
      <c r="D36" s="1006"/>
      <c r="E36" s="1006"/>
      <c r="F36" s="1006"/>
      <c r="G36" s="1006"/>
      <c r="H36" s="1006"/>
    </row>
    <row r="37" spans="1:13" ht="12.75" customHeight="1" x14ac:dyDescent="0.25">
      <c r="A37" s="868" t="s">
        <v>634</v>
      </c>
      <c r="B37" s="1007" t="s">
        <v>1446</v>
      </c>
      <c r="C37" s="869"/>
      <c r="D37" s="998"/>
      <c r="E37" s="998"/>
      <c r="F37" s="998"/>
      <c r="G37" s="998"/>
      <c r="H37" s="998"/>
    </row>
    <row r="38" spans="1:13" ht="12.75" customHeight="1" x14ac:dyDescent="0.25">
      <c r="A38" s="868"/>
      <c r="B38" s="1007" t="s">
        <v>1447</v>
      </c>
      <c r="C38" s="869"/>
      <c r="D38" s="998"/>
      <c r="E38" s="998"/>
      <c r="F38" s="998"/>
      <c r="G38" s="998"/>
      <c r="H38" s="998"/>
    </row>
    <row r="39" spans="1:13" ht="12.75" customHeight="1" x14ac:dyDescent="0.25">
      <c r="A39" s="868"/>
      <c r="B39" s="1007" t="s">
        <v>1291</v>
      </c>
      <c r="C39" s="869"/>
      <c r="D39" s="998"/>
      <c r="E39" s="998"/>
      <c r="F39" s="998"/>
      <c r="G39" s="998"/>
      <c r="H39" s="998"/>
    </row>
    <row r="40" spans="1:13" ht="15" customHeight="1" x14ac:dyDescent="0.25">
      <c r="A40" s="868" t="s">
        <v>636</v>
      </c>
      <c r="B40" s="1007" t="s">
        <v>482</v>
      </c>
      <c r="C40" s="869"/>
      <c r="D40" s="998"/>
      <c r="E40" s="998"/>
      <c r="F40" s="998"/>
      <c r="G40" s="998"/>
      <c r="H40" s="998"/>
    </row>
    <row r="41" spans="1:13" ht="12.75" customHeight="1" x14ac:dyDescent="0.25">
      <c r="A41" s="868"/>
      <c r="B41" s="869"/>
      <c r="C41" s="869"/>
      <c r="D41" s="998"/>
      <c r="E41" s="998"/>
      <c r="F41" s="998"/>
      <c r="G41" s="998"/>
      <c r="H41" s="998"/>
    </row>
    <row r="42" spans="1:13" x14ac:dyDescent="0.25">
      <c r="D42" s="3005" t="s">
        <v>3505</v>
      </c>
      <c r="E42" s="3005"/>
      <c r="F42" s="3005"/>
      <c r="G42" s="3005"/>
      <c r="H42" s="3005"/>
    </row>
    <row r="43" spans="1:13" ht="17.100000000000001" customHeight="1" x14ac:dyDescent="0.25">
      <c r="A43" s="998" t="s">
        <v>378</v>
      </c>
      <c r="B43" s="998"/>
      <c r="C43" s="998"/>
      <c r="D43" s="1395">
        <f>D23+D24+D25+D21</f>
        <v>0</v>
      </c>
      <c r="E43" s="1395">
        <f>E23+E24+E25+E21</f>
        <v>0</v>
      </c>
      <c r="F43" s="1395">
        <f>F23+F24+F25+F21</f>
        <v>0</v>
      </c>
      <c r="G43" s="1395">
        <f>G23+G24+G25+G21</f>
        <v>0</v>
      </c>
      <c r="H43" s="1395">
        <f>H23+H24+H25+H21</f>
        <v>0</v>
      </c>
    </row>
    <row r="44" spans="1:13" ht="17.100000000000001" customHeight="1" thickBot="1" x14ac:dyDescent="0.3">
      <c r="A44" s="998" t="s">
        <v>923</v>
      </c>
      <c r="B44" s="998"/>
      <c r="C44" s="998"/>
      <c r="D44" s="1008">
        <f>D20+SUM(D27:D29)+SUM(D31:D34)</f>
        <v>0</v>
      </c>
      <c r="E44" s="1008">
        <f>E20+SUM(E27:E29)+SUM(E31:E34)</f>
        <v>0</v>
      </c>
      <c r="F44" s="1008">
        <f>F20+SUM(F27:F29)+SUM(F31:F34)</f>
        <v>0</v>
      </c>
      <c r="G44" s="1008">
        <f>G20+SUM(G27:G29)+SUM(G31:G34)</f>
        <v>0</v>
      </c>
      <c r="H44" s="1008">
        <f>H20+SUM(H27:H29)+SUM(H31:H34)</f>
        <v>0</v>
      </c>
    </row>
    <row r="45" spans="1:13" ht="17.100000000000001" customHeight="1" thickBot="1" x14ac:dyDescent="0.3">
      <c r="A45" s="998" t="s">
        <v>1889</v>
      </c>
      <c r="B45" s="998"/>
      <c r="C45" s="998"/>
      <c r="D45" s="1009">
        <f>SUM(D43:D44)</f>
        <v>0</v>
      </c>
      <c r="E45" s="1009">
        <f>SUM(E43:E44)</f>
        <v>0</v>
      </c>
      <c r="F45" s="1009">
        <f>SUM(F43:F44)</f>
        <v>0</v>
      </c>
      <c r="G45" s="1009">
        <f>SUM(G43:G44)</f>
        <v>0</v>
      </c>
      <c r="H45" s="1009">
        <f>SUM(H43:H44)</f>
        <v>0</v>
      </c>
    </row>
    <row r="46" spans="1:13" ht="17.100000000000001" customHeight="1" thickTop="1" x14ac:dyDescent="0.25">
      <c r="A46" s="2998" t="s">
        <v>593</v>
      </c>
      <c r="B46" s="2998"/>
      <c r="C46" s="2998"/>
      <c r="D46" s="1010"/>
      <c r="E46" s="1010" t="str">
        <f>IF(E47&lt;&gt;0,"Out of Balance","")</f>
        <v/>
      </c>
      <c r="F46" s="1010" t="str">
        <f>IF(F47&lt;&gt;0,"Out of Balance","")</f>
        <v/>
      </c>
      <c r="G46" s="1010" t="str">
        <f>IF(G47&lt;&gt;0,"Out of Balance","")</f>
        <v/>
      </c>
      <c r="H46" s="1010" t="str">
        <f>IF(H47&lt;&gt;0,"Out of Balance","")</f>
        <v/>
      </c>
    </row>
    <row r="48" spans="1:13" x14ac:dyDescent="0.25">
      <c r="A48" s="272" t="s">
        <v>4181</v>
      </c>
      <c r="B48"/>
      <c r="C48"/>
      <c r="D48"/>
      <c r="E48"/>
      <c r="F48"/>
    </row>
    <row r="49" spans="1:8" x14ac:dyDescent="0.25">
      <c r="A49" s="272" t="s">
        <v>4182</v>
      </c>
      <c r="B49"/>
      <c r="C49"/>
      <c r="D49"/>
      <c r="E49"/>
      <c r="F49"/>
    </row>
    <row r="50" spans="1:8" ht="7.5" customHeight="1" x14ac:dyDescent="0.25">
      <c r="A50" s="272"/>
      <c r="B50"/>
      <c r="C50"/>
      <c r="D50"/>
      <c r="E50"/>
      <c r="F50"/>
    </row>
    <row r="51" spans="1:8" x14ac:dyDescent="0.25">
      <c r="A51" s="1584"/>
      <c r="B51" s="1584"/>
      <c r="C51" s="1584"/>
      <c r="D51" s="1584"/>
      <c r="E51" s="1584"/>
      <c r="F51" s="1584"/>
      <c r="G51" s="1584"/>
      <c r="H51" s="1584"/>
    </row>
    <row r="52" spans="1:8" x14ac:dyDescent="0.25">
      <c r="A52" s="1585"/>
      <c r="B52" s="1585"/>
      <c r="C52" s="1585"/>
      <c r="D52" s="1585"/>
      <c r="E52" s="1585"/>
      <c r="F52" s="1585"/>
      <c r="G52" s="1585"/>
      <c r="H52" s="1585"/>
    </row>
    <row r="53" spans="1:8" x14ac:dyDescent="0.25">
      <c r="A53" s="1585"/>
      <c r="B53" s="1585"/>
      <c r="C53" s="1585"/>
      <c r="D53" s="1585"/>
      <c r="E53" s="1585"/>
      <c r="F53" s="1585"/>
      <c r="G53" s="1585"/>
      <c r="H53" s="1585"/>
    </row>
    <row r="54" spans="1:8" x14ac:dyDescent="0.25">
      <c r="A54" s="1585"/>
      <c r="B54" s="1585"/>
      <c r="C54" s="1585"/>
      <c r="D54" s="1585"/>
      <c r="E54" s="1585"/>
      <c r="F54" s="1585"/>
      <c r="G54" s="1585"/>
      <c r="H54" s="1585"/>
    </row>
  </sheetData>
  <sheetProtection algorithmName="SHA-512" hashValue="mj0QatZVGjx+bPuZs3cHZQKm/LoqcNVtc52GXvbGOcz4NcbAQviCs+WK36XLSoeAEzXMD+ZZ6m8j0B6oyxSeXQ==" saltValue="OXGvZUiviOJfg3kbOUP1/A==" spinCount="100000" sheet="1" objects="1" scenarios="1" autoFilter="0"/>
  <customSheetViews>
    <customSheetView guid="{B08879A4-635B-4C39-9937-AC7883D562FC}" fitToPage="1" topLeftCell="A13">
      <selection activeCell="A28" sqref="A28:C28"/>
      <pageMargins left="0.75" right="0.5" top="0.5" bottom="0.75" header="0.3" footer="0.3"/>
      <pageSetup scale="83" orientation="portrait" r:id="rId1"/>
      <headerFooter>
        <oddFooter>&amp;R&amp;A</oddFooter>
      </headerFooter>
    </customSheetView>
    <customSheetView guid="{9FCFC836-1CA5-48BF-958D-24D2EA94B219}" fitToPage="1" topLeftCell="A13">
      <selection activeCell="A28" sqref="A28:C28"/>
      <pageMargins left="0.75" right="0.5" top="0.5" bottom="0.75" header="0.3" footer="0.3"/>
      <pageSetup scale="83" orientation="portrait" r:id="rId2"/>
      <headerFooter>
        <oddFooter>&amp;R&amp;A</oddFooter>
      </headerFooter>
    </customSheetView>
  </customSheetViews>
  <mergeCells count="33">
    <mergeCell ref="D42:H42"/>
    <mergeCell ref="A46:C46"/>
    <mergeCell ref="A29:C29"/>
    <mergeCell ref="A31:C31"/>
    <mergeCell ref="A32:C32"/>
    <mergeCell ref="A33:C33"/>
    <mergeCell ref="A34:C34"/>
    <mergeCell ref="J34:K35"/>
    <mergeCell ref="A35:C35"/>
    <mergeCell ref="A20:C20"/>
    <mergeCell ref="A23:C23"/>
    <mergeCell ref="A24:C24"/>
    <mergeCell ref="A25:C25"/>
    <mergeCell ref="A27:C27"/>
    <mergeCell ref="A28:C28"/>
    <mergeCell ref="J20:K20"/>
    <mergeCell ref="A21:C21"/>
    <mergeCell ref="A1:H1"/>
    <mergeCell ref="A2:H2"/>
    <mergeCell ref="A3:H3"/>
    <mergeCell ref="A4:H4"/>
    <mergeCell ref="F6:I6"/>
    <mergeCell ref="A14:H14"/>
    <mergeCell ref="J21:K21"/>
    <mergeCell ref="F7:I7"/>
    <mergeCell ref="F8:I8"/>
    <mergeCell ref="F9:I9"/>
    <mergeCell ref="A17:C17"/>
    <mergeCell ref="D18:D19"/>
    <mergeCell ref="E18:E19"/>
    <mergeCell ref="F18:F19"/>
    <mergeCell ref="G18:G19"/>
    <mergeCell ref="H18:H19"/>
  </mergeCells>
  <conditionalFormatting sqref="I1:I3">
    <cfRule type="cellIs" dxfId="101" priority="6" stopIfTrue="1" operator="equal">
      <formula>"na"</formula>
    </cfRule>
  </conditionalFormatting>
  <conditionalFormatting sqref="I2:J3 I1">
    <cfRule type="cellIs" dxfId="100" priority="5" stopIfTrue="1" operator="equal">
      <formula>"na"</formula>
    </cfRule>
  </conditionalFormatting>
  <conditionalFormatting sqref="I1">
    <cfRule type="cellIs" dxfId="99" priority="4" stopIfTrue="1" operator="equal">
      <formula>"na"</formula>
    </cfRule>
  </conditionalFormatting>
  <conditionalFormatting sqref="H5">
    <cfRule type="cellIs" dxfId="98" priority="3" stopIfTrue="1" operator="equal">
      <formula>"na"</formula>
    </cfRule>
  </conditionalFormatting>
  <conditionalFormatting sqref="H5">
    <cfRule type="cellIs" dxfId="97" priority="2" stopIfTrue="1" operator="equal">
      <formula>"na"</formula>
    </cfRule>
  </conditionalFormatting>
  <conditionalFormatting sqref="H5">
    <cfRule type="cellIs" dxfId="96" priority="1"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75" right="0.5" top="0.5" bottom="0.75" header="0.3" footer="0.3"/>
  <pageSetup scale="79" orientation="portrait" r:id="rId4"/>
  <headerFooter>
    <oddFooter>&amp;R&amp;A</oddFooter>
  </headerFooter>
  <rowBreaks count="1" manualBreakCount="1">
    <brk id="55"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workbookViewId="0">
      <selection activeCell="O19" sqref="O19"/>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3" width="11.85546875" style="2302" bestFit="1" customWidth="1"/>
    <col min="14" max="16384" width="9.42578125" style="867"/>
  </cols>
  <sheetData>
    <row r="1" spans="1:9" ht="18" customHeight="1" x14ac:dyDescent="0.25">
      <c r="A1" s="2767" t="str">
        <f>Index!A1</f>
        <v xml:space="preserve">                                                               Office of the State Controller                                                                </v>
      </c>
      <c r="B1" s="2767"/>
      <c r="C1" s="2767"/>
      <c r="D1" s="2767"/>
      <c r="E1" s="2767"/>
      <c r="F1" s="2767"/>
      <c r="G1" s="2767"/>
      <c r="H1" s="2767"/>
      <c r="I1" s="1424"/>
    </row>
    <row r="2" spans="1:9" ht="18" customHeight="1" x14ac:dyDescent="0.25">
      <c r="A2" s="2973" t="str">
        <f>Index!A2</f>
        <v>2022 ACFR Worksheets</v>
      </c>
      <c r="B2" s="2973"/>
      <c r="C2" s="2973"/>
      <c r="D2" s="2973"/>
      <c r="E2" s="2973"/>
      <c r="F2" s="2973"/>
      <c r="G2" s="2973"/>
      <c r="H2" s="2973"/>
    </row>
    <row r="3" spans="1:9" ht="18" customHeight="1" x14ac:dyDescent="0.25">
      <c r="A3" s="2973" t="s">
        <v>1437</v>
      </c>
      <c r="B3" s="2973"/>
      <c r="C3" s="2973"/>
      <c r="D3" s="2973"/>
      <c r="E3" s="2973"/>
      <c r="F3" s="2973"/>
      <c r="G3" s="2973"/>
      <c r="H3" s="2973"/>
    </row>
    <row r="4" spans="1:9" ht="18" customHeight="1" x14ac:dyDescent="0.25">
      <c r="A4" s="2973" t="s">
        <v>3509</v>
      </c>
      <c r="B4" s="2973"/>
      <c r="C4" s="2973"/>
      <c r="D4" s="2973"/>
      <c r="E4" s="2973"/>
      <c r="F4" s="2973"/>
      <c r="G4" s="2973"/>
      <c r="H4" s="2973"/>
    </row>
    <row r="5" spans="1:9" ht="18" customHeight="1" x14ac:dyDescent="0.25">
      <c r="A5" s="985"/>
      <c r="B5" s="985"/>
      <c r="C5" s="985"/>
      <c r="D5" s="985"/>
      <c r="E5" s="985"/>
      <c r="F5" s="986" t="s">
        <v>1091</v>
      </c>
      <c r="G5" s="985"/>
      <c r="H5" s="1431" t="str">
        <f>IF(Index!$B$55="na", "NA", "")</f>
        <v/>
      </c>
    </row>
    <row r="6" spans="1:9" ht="18" customHeight="1" x14ac:dyDescent="0.25">
      <c r="A6" s="985"/>
      <c r="B6" s="985"/>
      <c r="C6" s="987"/>
      <c r="D6" s="985"/>
      <c r="E6" s="988" t="s">
        <v>327</v>
      </c>
      <c r="F6" s="2755" t="str">
        <f>+Index!$E$10</f>
        <v>01</v>
      </c>
      <c r="G6" s="2755"/>
      <c r="H6" s="2755"/>
      <c r="I6" s="2755"/>
    </row>
    <row r="7" spans="1:9" ht="18" customHeight="1" x14ac:dyDescent="0.25">
      <c r="A7" s="985"/>
      <c r="B7" s="985"/>
      <c r="C7" s="985"/>
      <c r="D7" s="985"/>
      <c r="E7" s="988" t="s">
        <v>1154</v>
      </c>
      <c r="F7" s="2751" t="str">
        <f>+Index!$E$11</f>
        <v>North Carolina General Assembly</v>
      </c>
      <c r="G7" s="2751"/>
      <c r="H7" s="2751"/>
      <c r="I7" s="2751"/>
    </row>
    <row r="8" spans="1:9" ht="18" customHeight="1" x14ac:dyDescent="0.25">
      <c r="A8" s="985" t="s">
        <v>477</v>
      </c>
      <c r="B8" s="985"/>
      <c r="C8" s="989" t="s">
        <v>146</v>
      </c>
      <c r="D8" s="985"/>
      <c r="E8" s="988" t="s">
        <v>972</v>
      </c>
      <c r="F8" s="2752" t="str">
        <f>CONCATENATE(Index!$E$12," ",Index!$E$14)</f>
        <v xml:space="preserve"> </v>
      </c>
      <c r="G8" s="2752"/>
      <c r="H8" s="2752"/>
      <c r="I8" s="2752"/>
    </row>
    <row r="9" spans="1:9" ht="18" customHeight="1" x14ac:dyDescent="0.25">
      <c r="A9" s="985"/>
      <c r="B9" s="985"/>
      <c r="C9" s="987"/>
      <c r="D9" s="985"/>
      <c r="E9" s="988" t="s">
        <v>348</v>
      </c>
      <c r="F9" s="2752">
        <f>+Index!$E$13</f>
        <v>0</v>
      </c>
      <c r="G9" s="2752"/>
      <c r="H9" s="2752"/>
      <c r="I9" s="2752"/>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A12" s="1721" t="s">
        <v>4249</v>
      </c>
      <c r="B12" s="985"/>
      <c r="C12" s="1161" t="s">
        <v>1438</v>
      </c>
      <c r="D12" s="1161"/>
      <c r="E12" s="985"/>
      <c r="G12" s="985"/>
      <c r="H12" s="985"/>
    </row>
    <row r="13" spans="1:9" ht="17.100000000000001" customHeight="1" x14ac:dyDescent="0.25">
      <c r="A13" s="985"/>
      <c r="B13" s="985"/>
      <c r="C13" s="985"/>
      <c r="D13" s="985"/>
      <c r="E13" s="985"/>
      <c r="F13" s="985"/>
      <c r="G13" s="985"/>
      <c r="H13" s="985"/>
    </row>
    <row r="14" spans="1:9" ht="30" customHeight="1" x14ac:dyDescent="0.25">
      <c r="A14" s="2974" t="s">
        <v>4895</v>
      </c>
      <c r="B14" s="2975"/>
      <c r="C14" s="2976"/>
      <c r="D14" s="2976"/>
      <c r="E14" s="2976"/>
      <c r="F14" s="2976"/>
      <c r="G14" s="2976"/>
      <c r="H14" s="2977"/>
    </row>
    <row r="15" spans="1:9" ht="17.100000000000001" customHeight="1" x14ac:dyDescent="0.25">
      <c r="A15" s="991"/>
      <c r="B15" s="991"/>
      <c r="C15" s="992"/>
      <c r="D15" s="992"/>
      <c r="E15" s="992"/>
      <c r="F15" s="992"/>
      <c r="G15" s="992"/>
      <c r="H15" s="992"/>
    </row>
    <row r="16" spans="1:9" x14ac:dyDescent="0.25">
      <c r="A16" s="985"/>
      <c r="B16" s="985"/>
      <c r="C16" s="985"/>
      <c r="D16" s="993" t="s">
        <v>1157</v>
      </c>
      <c r="E16" s="994" t="s">
        <v>1157</v>
      </c>
      <c r="F16" s="994" t="s">
        <v>1157</v>
      </c>
      <c r="G16" s="994" t="s">
        <v>1157</v>
      </c>
      <c r="H16" s="994" t="s">
        <v>1157</v>
      </c>
    </row>
    <row r="17" spans="1:13" x14ac:dyDescent="0.25">
      <c r="A17" s="2978" t="s">
        <v>902</v>
      </c>
      <c r="B17" s="2978"/>
      <c r="C17" s="2978"/>
      <c r="D17" s="995"/>
      <c r="E17" s="996"/>
      <c r="F17" s="995"/>
      <c r="G17" s="995"/>
      <c r="H17" s="997"/>
    </row>
    <row r="18" spans="1:13" ht="17.100000000000001" customHeight="1" x14ac:dyDescent="0.25">
      <c r="A18" s="868" t="s">
        <v>1439</v>
      </c>
      <c r="B18" s="998"/>
      <c r="C18" s="869"/>
      <c r="D18" s="2979"/>
      <c r="E18" s="2979"/>
      <c r="F18" s="2979"/>
      <c r="G18" s="2979"/>
      <c r="H18" s="2979"/>
    </row>
    <row r="19" spans="1:13" ht="17.100000000000001" customHeight="1" x14ac:dyDescent="0.25">
      <c r="A19" s="998" t="s">
        <v>1440</v>
      </c>
      <c r="B19" s="998"/>
      <c r="C19" s="869"/>
      <c r="D19" s="2980"/>
      <c r="E19" s="2980"/>
      <c r="F19" s="2980"/>
      <c r="G19" s="2980"/>
      <c r="H19" s="2980"/>
      <c r="L19" s="2343"/>
    </row>
    <row r="20" spans="1:13" ht="17.100000000000001" customHeight="1" x14ac:dyDescent="0.25">
      <c r="A20" s="2982" t="s">
        <v>1450</v>
      </c>
      <c r="B20" s="2982"/>
      <c r="C20" s="2982"/>
      <c r="D20" s="1002"/>
      <c r="E20" s="1003"/>
      <c r="F20" s="1003"/>
      <c r="G20" s="1003"/>
      <c r="H20" s="1003"/>
      <c r="L20" s="2343"/>
      <c r="M20" s="2343"/>
    </row>
    <row r="21" spans="1:13" s="2458" customFormat="1" ht="17.100000000000001" customHeight="1" x14ac:dyDescent="0.25">
      <c r="A21" s="2986" t="s">
        <v>3944</v>
      </c>
      <c r="B21" s="2987"/>
      <c r="C21" s="2987"/>
      <c r="D21" s="999"/>
      <c r="E21" s="999"/>
      <c r="F21" s="999"/>
      <c r="G21" s="999"/>
      <c r="H21" s="1000"/>
      <c r="L21" s="2343" t="s">
        <v>5071</v>
      </c>
      <c r="M21" s="2343"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2982" t="s">
        <v>1441</v>
      </c>
      <c r="B22" s="2982"/>
      <c r="C22" s="2982"/>
      <c r="D22" s="999"/>
      <c r="E22" s="999"/>
      <c r="F22" s="999"/>
      <c r="G22" s="999"/>
      <c r="H22" s="1000"/>
      <c r="J22" s="2988" t="s">
        <v>4896</v>
      </c>
      <c r="K22" s="2988"/>
      <c r="L22" s="2343" t="s">
        <v>5070</v>
      </c>
      <c r="M22" s="2343" t="s">
        <v>4982</v>
      </c>
    </row>
    <row r="23" spans="1:13" ht="17.100000000000001" customHeight="1" x14ac:dyDescent="0.25">
      <c r="A23" s="998" t="s">
        <v>792</v>
      </c>
      <c r="B23" s="869"/>
      <c r="C23" s="869"/>
      <c r="D23" s="1002"/>
      <c r="E23" s="1003"/>
      <c r="F23" s="1003"/>
      <c r="G23" s="1003"/>
      <c r="H23" s="1003"/>
      <c r="J23" s="2991"/>
      <c r="K23" s="2991"/>
      <c r="L23" s="2343"/>
      <c r="M23" s="2343"/>
    </row>
    <row r="24" spans="1:13" ht="17.100000000000001" customHeight="1" x14ac:dyDescent="0.25">
      <c r="A24" s="2986" t="s">
        <v>3944</v>
      </c>
      <c r="B24" s="2987"/>
      <c r="C24" s="2987"/>
      <c r="D24" s="999"/>
      <c r="E24" s="999"/>
      <c r="F24" s="999"/>
      <c r="G24" s="999"/>
      <c r="H24" s="999"/>
      <c r="J24" s="2991"/>
      <c r="K24" s="2991"/>
      <c r="L24" s="2343" t="s">
        <v>378</v>
      </c>
      <c r="M24" s="2343"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2986" t="s">
        <v>3944</v>
      </c>
      <c r="B25" s="2987"/>
      <c r="C25" s="2987"/>
      <c r="D25" s="999"/>
      <c r="E25" s="999"/>
      <c r="F25" s="999"/>
      <c r="G25" s="999"/>
      <c r="H25" s="1000"/>
      <c r="J25" s="2992"/>
      <c r="K25" s="2992"/>
      <c r="L25" s="2343" t="s">
        <v>378</v>
      </c>
      <c r="M25" s="2343"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2986" t="s">
        <v>3944</v>
      </c>
      <c r="B26" s="2987"/>
      <c r="C26" s="2987"/>
      <c r="D26" s="999"/>
      <c r="E26" s="999"/>
      <c r="F26" s="999"/>
      <c r="G26" s="999"/>
      <c r="H26" s="1000"/>
      <c r="L26" s="2343" t="s">
        <v>378</v>
      </c>
      <c r="M26" s="2343" t="str">
        <f t="shared" si="1"/>
        <v>No Function</v>
      </c>
    </row>
    <row r="27" spans="1:13" ht="17.100000000000001" customHeight="1" x14ac:dyDescent="0.25">
      <c r="A27" s="998" t="s">
        <v>1443</v>
      </c>
      <c r="B27" s="1004"/>
      <c r="C27" s="1004"/>
      <c r="D27" s="1002"/>
      <c r="E27" s="1002"/>
      <c r="F27" s="1002"/>
      <c r="G27" s="1002"/>
      <c r="H27" s="1003"/>
      <c r="L27" s="2343"/>
      <c r="M27" s="2343"/>
    </row>
    <row r="28" spans="1:13" ht="17.100000000000001" customHeight="1" x14ac:dyDescent="0.25">
      <c r="A28" s="2986" t="s">
        <v>3944</v>
      </c>
      <c r="B28" s="2987"/>
      <c r="C28" s="2987"/>
      <c r="D28" s="999"/>
      <c r="E28" s="999"/>
      <c r="F28" s="999"/>
      <c r="G28" s="999"/>
      <c r="H28" s="1000"/>
      <c r="L28" s="2343" t="s">
        <v>5075</v>
      </c>
      <c r="M28" s="2343" t="str">
        <f t="shared" si="1"/>
        <v>No Function</v>
      </c>
    </row>
    <row r="29" spans="1:13" ht="17.100000000000001" customHeight="1" x14ac:dyDescent="0.25">
      <c r="A29" s="2986" t="s">
        <v>3944</v>
      </c>
      <c r="B29" s="2987"/>
      <c r="C29" s="2987"/>
      <c r="D29" s="999"/>
      <c r="E29" s="999"/>
      <c r="F29" s="999"/>
      <c r="G29" s="999"/>
      <c r="H29" s="999"/>
      <c r="L29" s="2343" t="s">
        <v>5075</v>
      </c>
      <c r="M29" s="2343" t="str">
        <f t="shared" si="1"/>
        <v>No Function</v>
      </c>
    </row>
    <row r="30" spans="1:13" ht="17.100000000000001" customHeight="1" x14ac:dyDescent="0.25">
      <c r="A30" s="2986" t="s">
        <v>3944</v>
      </c>
      <c r="B30" s="2987"/>
      <c r="C30" s="2987"/>
      <c r="D30" s="999"/>
      <c r="E30" s="999"/>
      <c r="F30" s="999"/>
      <c r="G30" s="999"/>
      <c r="H30" s="1000"/>
      <c r="L30" s="2343" t="s">
        <v>5075</v>
      </c>
      <c r="M30" s="2343" t="str">
        <f t="shared" si="1"/>
        <v>No Function</v>
      </c>
    </row>
    <row r="31" spans="1:13" ht="17.100000000000001" customHeight="1" x14ac:dyDescent="0.25">
      <c r="A31" s="998" t="s">
        <v>1444</v>
      </c>
      <c r="B31" s="1004"/>
      <c r="C31" s="1004"/>
      <c r="D31" s="1002"/>
      <c r="E31" s="1002"/>
      <c r="F31" s="1002"/>
      <c r="G31" s="1002"/>
      <c r="H31" s="1003"/>
      <c r="L31" s="2343"/>
      <c r="M31" s="2343"/>
    </row>
    <row r="32" spans="1:13" ht="17.100000000000001" customHeight="1" x14ac:dyDescent="0.25">
      <c r="A32" s="2986" t="s">
        <v>3944</v>
      </c>
      <c r="B32" s="2987"/>
      <c r="C32" s="2987"/>
      <c r="D32" s="999"/>
      <c r="E32" s="999"/>
      <c r="F32" s="999"/>
      <c r="G32" s="999"/>
      <c r="H32" s="1000"/>
      <c r="L32" s="2343" t="s">
        <v>1735</v>
      </c>
      <c r="M32" s="2343" t="str">
        <f t="shared" si="1"/>
        <v>No Function</v>
      </c>
    </row>
    <row r="33" spans="1:13" ht="17.100000000000001" customHeight="1" x14ac:dyDescent="0.25">
      <c r="A33" s="2986" t="s">
        <v>3944</v>
      </c>
      <c r="B33" s="2987"/>
      <c r="C33" s="2987"/>
      <c r="D33" s="999"/>
      <c r="E33" s="999"/>
      <c r="F33" s="999"/>
      <c r="G33" s="999"/>
      <c r="H33" s="1000"/>
      <c r="L33" s="2343" t="s">
        <v>1735</v>
      </c>
      <c r="M33" s="2343" t="str">
        <f t="shared" si="1"/>
        <v>No Function</v>
      </c>
    </row>
    <row r="34" spans="1:13" ht="17.100000000000001" customHeight="1" x14ac:dyDescent="0.25">
      <c r="A34" s="2986" t="s">
        <v>3944</v>
      </c>
      <c r="B34" s="2987"/>
      <c r="C34" s="2987"/>
      <c r="D34" s="999"/>
      <c r="E34" s="999"/>
      <c r="F34" s="999"/>
      <c r="G34" s="999"/>
      <c r="H34" s="1000"/>
      <c r="L34" s="2343" t="s">
        <v>1735</v>
      </c>
      <c r="M34" s="2343" t="str">
        <f t="shared" si="1"/>
        <v>No Function</v>
      </c>
    </row>
    <row r="35" spans="1:13" ht="17.100000000000001" customHeight="1" x14ac:dyDescent="0.25">
      <c r="A35" s="2999" t="s">
        <v>1448</v>
      </c>
      <c r="B35" s="3000"/>
      <c r="C35" s="3001"/>
      <c r="D35" s="999"/>
      <c r="E35" s="999"/>
      <c r="F35" s="999"/>
      <c r="G35" s="999"/>
      <c r="H35" s="1000"/>
      <c r="I35" s="1001"/>
      <c r="J35" s="3002" t="s">
        <v>1449</v>
      </c>
      <c r="K35" s="3003"/>
      <c r="L35" s="2343" t="s">
        <v>1445</v>
      </c>
      <c r="M35" s="2343" t="s">
        <v>4982</v>
      </c>
    </row>
    <row r="36" spans="1:13" ht="27.75" customHeight="1" thickBot="1" x14ac:dyDescent="0.3">
      <c r="A36" s="3004" t="s">
        <v>4897</v>
      </c>
      <c r="B36" s="3003"/>
      <c r="C36" s="2995"/>
      <c r="D36" s="1005">
        <f>SUM(D21:D22)+SUM(D24:D26)+SUM(D28:D30)+SUM(D32:D35)</f>
        <v>0</v>
      </c>
      <c r="E36" s="1005">
        <f t="shared" ref="E36:H36" si="2">SUM(E21:E22)+SUM(E24:E26)+SUM(E28:E30)+SUM(E32:E35)</f>
        <v>0</v>
      </c>
      <c r="F36" s="1005">
        <f t="shared" si="2"/>
        <v>0</v>
      </c>
      <c r="G36" s="1005">
        <f t="shared" si="2"/>
        <v>0</v>
      </c>
      <c r="H36" s="1005">
        <f t="shared" si="2"/>
        <v>0</v>
      </c>
      <c r="J36" s="3003"/>
      <c r="K36" s="3003"/>
    </row>
    <row r="37" spans="1:13" ht="12.75" customHeight="1" thickTop="1" x14ac:dyDescent="0.25">
      <c r="A37" s="1006"/>
      <c r="B37" s="1006"/>
      <c r="C37" s="1006"/>
      <c r="D37" s="1006"/>
      <c r="E37" s="1006"/>
      <c r="F37" s="1006"/>
      <c r="G37" s="1006"/>
      <c r="H37" s="1006"/>
    </row>
    <row r="38" spans="1:13" ht="12.75" customHeight="1" x14ac:dyDescent="0.25">
      <c r="A38" s="868" t="s">
        <v>634</v>
      </c>
      <c r="B38" s="1007" t="s">
        <v>1446</v>
      </c>
      <c r="C38" s="869"/>
      <c r="D38" s="998"/>
      <c r="E38" s="998"/>
      <c r="F38" s="998"/>
      <c r="G38" s="998"/>
      <c r="H38" s="998"/>
    </row>
    <row r="39" spans="1:13" ht="12.75" customHeight="1" x14ac:dyDescent="0.25">
      <c r="A39" s="868"/>
      <c r="B39" s="1007" t="s">
        <v>1447</v>
      </c>
      <c r="C39" s="869"/>
      <c r="D39" s="998"/>
      <c r="E39" s="998"/>
      <c r="F39" s="998"/>
      <c r="G39" s="998"/>
      <c r="H39" s="998"/>
    </row>
    <row r="40" spans="1:13" ht="12.75" customHeight="1" x14ac:dyDescent="0.25">
      <c r="A40" s="868"/>
      <c r="B40" s="1007" t="s">
        <v>1291</v>
      </c>
      <c r="C40" s="869"/>
      <c r="D40" s="998"/>
      <c r="E40" s="998"/>
      <c r="F40" s="998"/>
      <c r="G40" s="998"/>
      <c r="H40" s="998"/>
    </row>
    <row r="41" spans="1:13" ht="15" customHeight="1" x14ac:dyDescent="0.25">
      <c r="A41" s="868" t="s">
        <v>636</v>
      </c>
      <c r="B41" s="1007" t="s">
        <v>482</v>
      </c>
      <c r="C41" s="869"/>
      <c r="D41" s="998"/>
      <c r="E41" s="998"/>
      <c r="F41" s="998"/>
      <c r="G41" s="998"/>
      <c r="H41" s="998"/>
    </row>
    <row r="42" spans="1:13" ht="12.75" customHeight="1" x14ac:dyDescent="0.25">
      <c r="A42" s="868"/>
      <c r="B42" s="869"/>
      <c r="C42" s="869"/>
      <c r="D42" s="998"/>
      <c r="E42" s="998"/>
      <c r="F42" s="998"/>
      <c r="G42" s="998"/>
      <c r="H42" s="998"/>
    </row>
    <row r="43" spans="1:13" x14ac:dyDescent="0.25">
      <c r="D43" s="3005" t="s">
        <v>3505</v>
      </c>
      <c r="E43" s="3005"/>
      <c r="F43" s="3005"/>
      <c r="G43" s="3005"/>
      <c r="H43" s="3005"/>
    </row>
    <row r="44" spans="1:13" ht="17.100000000000001" customHeight="1" x14ac:dyDescent="0.25">
      <c r="A44" s="998" t="s">
        <v>378</v>
      </c>
      <c r="B44" s="998"/>
      <c r="C44" s="998"/>
      <c r="D44" s="1395">
        <f>D21+D24+D25+D26</f>
        <v>0</v>
      </c>
      <c r="E44" s="1395">
        <f t="shared" ref="E44:H44" si="3">E21+E24+E25+E26</f>
        <v>0</v>
      </c>
      <c r="F44" s="1395">
        <f t="shared" si="3"/>
        <v>0</v>
      </c>
      <c r="G44" s="1395">
        <f t="shared" si="3"/>
        <v>0</v>
      </c>
      <c r="H44" s="1395">
        <f t="shared" si="3"/>
        <v>0</v>
      </c>
    </row>
    <row r="45" spans="1:13" ht="17.100000000000001" customHeight="1" thickBot="1" x14ac:dyDescent="0.3">
      <c r="A45" s="998" t="s">
        <v>923</v>
      </c>
      <c r="B45" s="998"/>
      <c r="C45" s="998"/>
      <c r="D45" s="1396">
        <f>D22+SUM(D28:D30)+SUM(D32:D35)</f>
        <v>0</v>
      </c>
      <c r="E45" s="1396">
        <f>E22+SUM(E28:E30)+SUM(E32:E35)</f>
        <v>0</v>
      </c>
      <c r="F45" s="1396">
        <f>F22+SUM(F28:F30)+SUM(F32:F35)</f>
        <v>0</v>
      </c>
      <c r="G45" s="1396">
        <f>G22+SUM(G28:G30)+SUM(G32:G35)</f>
        <v>0</v>
      </c>
      <c r="H45" s="1396">
        <f>H22+SUM(H28:H30)+SUM(H32:H35)</f>
        <v>0</v>
      </c>
    </row>
    <row r="46" spans="1:13" ht="17.100000000000001" customHeight="1" thickBot="1" x14ac:dyDescent="0.3">
      <c r="A46" s="998" t="s">
        <v>1889</v>
      </c>
      <c r="B46" s="998"/>
      <c r="C46" s="998"/>
      <c r="D46" s="1009">
        <f>SUM(D44:D45)</f>
        <v>0</v>
      </c>
      <c r="E46" s="1009">
        <f>SUM(E44:E45)</f>
        <v>0</v>
      </c>
      <c r="F46" s="1009">
        <f>SUM(F44:F45)</f>
        <v>0</v>
      </c>
      <c r="G46" s="1009">
        <f>SUM(G44:G45)</f>
        <v>0</v>
      </c>
      <c r="H46" s="1009">
        <f>SUM(H44:H45)</f>
        <v>0</v>
      </c>
    </row>
    <row r="47" spans="1:13" ht="17.100000000000001" customHeight="1" thickTop="1" x14ac:dyDescent="0.25">
      <c r="A47" s="2998" t="s">
        <v>593</v>
      </c>
      <c r="B47" s="2998"/>
      <c r="C47" s="2998"/>
      <c r="D47" s="1010"/>
      <c r="E47" s="1010" t="str">
        <f>IF(E48&lt;&gt;0,"Out of Balance","")</f>
        <v/>
      </c>
      <c r="F47" s="1010" t="str">
        <f>IF(F48&lt;&gt;0,"Out of Balance","")</f>
        <v/>
      </c>
      <c r="G47" s="1010" t="str">
        <f>IF(G48&lt;&gt;0,"Out of Balance","")</f>
        <v/>
      </c>
      <c r="H47" s="1010" t="str">
        <f>IF(H48&lt;&gt;0,"Out of Balance","")</f>
        <v/>
      </c>
    </row>
    <row r="48" spans="1:13" x14ac:dyDescent="0.25">
      <c r="J48" s="3009" t="s">
        <v>3627</v>
      </c>
      <c r="K48" s="3009"/>
    </row>
    <row r="49" spans="1:11" x14ac:dyDescent="0.25">
      <c r="A49" s="3008" t="s">
        <v>3626</v>
      </c>
      <c r="B49" s="3008"/>
      <c r="C49" s="867" t="s">
        <v>3822</v>
      </c>
      <c r="G49" s="1442"/>
      <c r="H49" s="1473">
        <v>0</v>
      </c>
      <c r="J49" s="3009"/>
      <c r="K49" s="3009"/>
    </row>
  </sheetData>
  <sheetProtection algorithmName="SHA-512" hashValue="QXgmaZWO+Z2LQuocrq/Ihh71hqX53mVbSq5rrTBjJp431dpav+L1+RGf5UAmgsM75mRB7HP2ofSZZkCYTqe72Q==" saltValue="exmjqyMUVvrNsGDrlSeoiA==" spinCount="100000" sheet="1" objects="1" scenarios="1" autoFilter="0"/>
  <customSheetViews>
    <customSheetView guid="{B08879A4-635B-4C39-9937-AC7883D562FC}" fitToPage="1" topLeftCell="A16">
      <selection activeCell="A29" sqref="A29:C29"/>
      <pageMargins left="0.75" right="0.5" top="0.5" bottom="0.75" header="0.3" footer="0.3"/>
      <pageSetup scale="83" orientation="portrait" r:id="rId1"/>
      <headerFooter>
        <oddFooter>&amp;R&amp;A</oddFooter>
      </headerFooter>
    </customSheetView>
    <customSheetView guid="{9FCFC836-1CA5-48BF-958D-24D2EA94B219}" fitToPage="1" topLeftCell="A16">
      <selection activeCell="A29" sqref="A29:C29"/>
      <pageMargins left="0.75" right="0.5" top="0.5" bottom="0.75" header="0.3" footer="0.3"/>
      <pageSetup scale="83" orientation="portrait" r:id="rId2"/>
      <headerFooter>
        <oddFooter>&amp;R&amp;A</oddFooter>
      </headerFooter>
    </customSheetView>
  </customSheetViews>
  <mergeCells count="36">
    <mergeCell ref="J23:K25"/>
    <mergeCell ref="J22:K22"/>
    <mergeCell ref="J35:K36"/>
    <mergeCell ref="A36:C36"/>
    <mergeCell ref="D43:H43"/>
    <mergeCell ref="A28:C28"/>
    <mergeCell ref="A26:C26"/>
    <mergeCell ref="A47:C47"/>
    <mergeCell ref="A29:C29"/>
    <mergeCell ref="A30:C30"/>
    <mergeCell ref="A32:C32"/>
    <mergeCell ref="A33:C33"/>
    <mergeCell ref="A34:C34"/>
    <mergeCell ref="A35:C35"/>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21:C21"/>
    <mergeCell ref="A1:H1"/>
    <mergeCell ref="A2:H2"/>
    <mergeCell ref="A3:H3"/>
    <mergeCell ref="A4:H4"/>
    <mergeCell ref="F6:I6"/>
  </mergeCells>
  <conditionalFormatting sqref="I1:I3">
    <cfRule type="cellIs" dxfId="95" priority="5" stopIfTrue="1" operator="equal">
      <formula>"na"</formula>
    </cfRule>
  </conditionalFormatting>
  <conditionalFormatting sqref="I1:I3">
    <cfRule type="cellIs" dxfId="94" priority="4" stopIfTrue="1" operator="equal">
      <formula>"na"</formula>
    </cfRule>
  </conditionalFormatting>
  <conditionalFormatting sqref="I2:J3 I1">
    <cfRule type="cellIs" dxfId="93" priority="3" stopIfTrue="1" operator="equal">
      <formula>"na"</formula>
    </cfRule>
  </conditionalFormatting>
  <conditionalFormatting sqref="I1">
    <cfRule type="cellIs" dxfId="92" priority="2" stopIfTrue="1" operator="equal">
      <formula>"na"</formula>
    </cfRule>
  </conditionalFormatting>
  <conditionalFormatting sqref="H5">
    <cfRule type="containsText" dxfId="91" priority="1" stopIfTrue="1" operator="containsText" text="NA">
      <formula>NOT(ISERROR(SEARCH("NA",H5)))</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75" right="0.5" top="0.5" bottom="0.75" header="0.3" footer="0.3"/>
  <pageSetup scale="83" orientation="portrait" r:id="rId4"/>
  <headerFooter>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pageSetUpPr fitToPage="1"/>
  </sheetPr>
  <dimension ref="A1:O37"/>
  <sheetViews>
    <sheetView topLeftCell="B9" zoomScaleNormal="100" workbookViewId="0">
      <selection activeCell="K30" sqref="K30"/>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style="2407" bestFit="1" customWidth="1"/>
    <col min="13" max="13" width="11.85546875" style="2407" bestFit="1" customWidth="1"/>
    <col min="14" max="15" width="9.140625" style="2407"/>
  </cols>
  <sheetData>
    <row r="1" spans="1:15" s="114" customFormat="1" ht="15" customHeight="1" x14ac:dyDescent="0.25">
      <c r="A1" s="750"/>
      <c r="B1" s="2767" t="str">
        <f>Index!A1</f>
        <v xml:space="preserve">                                                               Office of the State Controller                                                                </v>
      </c>
      <c r="C1" s="2767"/>
      <c r="D1" s="2767"/>
      <c r="E1" s="2767"/>
      <c r="F1" s="2767"/>
      <c r="G1" s="2767"/>
      <c r="H1" s="2767"/>
      <c r="I1" s="2767"/>
      <c r="J1" s="818"/>
      <c r="K1" s="818"/>
      <c r="L1" s="818"/>
      <c r="M1" s="2775" t="str">
        <f>IF([1]Index!$B$54="na","NA","")</f>
        <v/>
      </c>
      <c r="N1" s="130"/>
      <c r="O1" s="2410" t="s">
        <v>5181</v>
      </c>
    </row>
    <row r="2" spans="1:15" s="114" customFormat="1" ht="15" customHeight="1" x14ac:dyDescent="0.25">
      <c r="B2" s="3012" t="str">
        <f>+Index!$A$2</f>
        <v>2022 ACFR Worksheets</v>
      </c>
      <c r="C2" s="3012"/>
      <c r="D2" s="3012"/>
      <c r="E2" s="3012"/>
      <c r="F2" s="3012"/>
      <c r="G2" s="3012"/>
      <c r="H2" s="3012"/>
      <c r="I2" s="3012"/>
      <c r="J2" s="1965"/>
      <c r="K2" s="1965"/>
      <c r="L2" s="2411"/>
      <c r="M2" s="2775"/>
      <c r="N2" s="130"/>
      <c r="O2" s="130"/>
    </row>
    <row r="3" spans="1:15" s="114" customFormat="1" ht="15" customHeight="1" x14ac:dyDescent="0.25">
      <c r="C3" s="814"/>
      <c r="D3" s="814"/>
      <c r="E3" s="814"/>
      <c r="F3" s="814" t="s">
        <v>1887</v>
      </c>
      <c r="G3" s="814"/>
      <c r="H3" s="814"/>
      <c r="I3" s="1431" t="str">
        <f>IF(Index!$B$56="na", "NA", "")</f>
        <v/>
      </c>
      <c r="J3" s="1965"/>
      <c r="K3" s="1965"/>
      <c r="L3" s="2411"/>
      <c r="M3" s="2775"/>
      <c r="N3" s="130"/>
      <c r="O3" s="130"/>
    </row>
    <row r="4" spans="1:15" s="114" customFormat="1" ht="15" customHeight="1" x14ac:dyDescent="0.25">
      <c r="B4" s="3012" t="s">
        <v>3522</v>
      </c>
      <c r="C4" s="3012"/>
      <c r="D4" s="3012"/>
      <c r="E4" s="3012"/>
      <c r="F4" s="3012"/>
      <c r="G4" s="3012"/>
      <c r="H4" s="3012"/>
      <c r="I4" s="3012"/>
      <c r="J4" s="1965"/>
      <c r="K4" s="1965"/>
      <c r="L4" s="2411"/>
      <c r="M4" s="130"/>
      <c r="N4" s="130"/>
      <c r="O4" s="130"/>
    </row>
    <row r="5" spans="1:15" s="114" customFormat="1" ht="15" customHeight="1" x14ac:dyDescent="0.25">
      <c r="B5" s="814"/>
      <c r="C5" s="814"/>
      <c r="D5" s="814"/>
      <c r="E5" s="814"/>
      <c r="F5" s="814"/>
      <c r="G5" s="1964" t="s">
        <v>1458</v>
      </c>
      <c r="I5" s="814"/>
      <c r="J5" s="814"/>
      <c r="K5" s="814"/>
      <c r="L5" s="2409"/>
      <c r="M5" s="130"/>
      <c r="N5" s="130"/>
      <c r="O5" s="130"/>
    </row>
    <row r="6" spans="1:15" s="114" customFormat="1" ht="16.5" customHeight="1" x14ac:dyDescent="0.25">
      <c r="B6" s="1966" t="s">
        <v>972</v>
      </c>
      <c r="C6" s="3017" t="str">
        <f>CONCATENATE(Index!$E$12," ",Index!$E$14)</f>
        <v xml:space="preserve"> </v>
      </c>
      <c r="D6" s="3017"/>
      <c r="E6" s="3017"/>
      <c r="F6" s="110" t="s">
        <v>327</v>
      </c>
      <c r="G6" s="3013" t="str">
        <f>+Index!$E$10</f>
        <v>01</v>
      </c>
      <c r="H6" s="3013"/>
      <c r="I6" s="3013"/>
      <c r="L6" s="2409"/>
      <c r="M6" s="130"/>
      <c r="N6" s="130"/>
      <c r="O6" s="130"/>
    </row>
    <row r="7" spans="1:15" s="116" customFormat="1" ht="15.75" customHeight="1" x14ac:dyDescent="0.2">
      <c r="B7" s="110" t="s">
        <v>348</v>
      </c>
      <c r="C7" s="3018">
        <f>+Index!$E$13</f>
        <v>0</v>
      </c>
      <c r="D7" s="3018"/>
      <c r="E7" s="3018"/>
      <c r="F7" s="110" t="s">
        <v>1154</v>
      </c>
      <c r="G7" s="3014" t="str">
        <f>+Index!$E$11</f>
        <v>North Carolina General Assembly</v>
      </c>
      <c r="H7" s="3014"/>
      <c r="I7" s="3014"/>
      <c r="J7" s="115"/>
      <c r="K7" s="115"/>
      <c r="L7" s="1006"/>
      <c r="M7" s="2408"/>
      <c r="N7" s="2408"/>
      <c r="O7" s="2408"/>
    </row>
    <row r="8" spans="1:15" s="111" customFormat="1" ht="18" hidden="1" customHeight="1" x14ac:dyDescent="0.2">
      <c r="J8" s="110"/>
      <c r="K8" s="3011"/>
      <c r="L8" s="3011"/>
      <c r="M8" s="2408"/>
      <c r="N8" s="2408"/>
      <c r="O8" s="2408"/>
    </row>
    <row r="9" spans="1:15" s="111" customFormat="1" ht="9.75" customHeight="1" thickBot="1" x14ac:dyDescent="0.25">
      <c r="B9" s="119"/>
      <c r="C9" s="119"/>
      <c r="D9" s="119"/>
      <c r="E9" s="119"/>
      <c r="F9" s="119"/>
      <c r="G9" s="119"/>
      <c r="H9" s="119"/>
      <c r="I9" s="119"/>
      <c r="J9" s="110"/>
      <c r="K9" s="117"/>
      <c r="L9" s="2412"/>
      <c r="M9" s="2408"/>
      <c r="N9" s="2408"/>
      <c r="O9" s="2408"/>
    </row>
    <row r="10" spans="1:15" s="111" customFormat="1" ht="15" customHeight="1" x14ac:dyDescent="0.25">
      <c r="B10" s="1721" t="s">
        <v>4249</v>
      </c>
      <c r="C10" s="985"/>
      <c r="D10" s="985"/>
      <c r="E10" s="1161" t="s">
        <v>4826</v>
      </c>
      <c r="F10" s="985"/>
      <c r="G10" s="867"/>
      <c r="H10" s="985"/>
      <c r="I10" s="985"/>
      <c r="K10" s="110"/>
      <c r="L10" s="2412"/>
      <c r="M10" s="2408"/>
      <c r="N10" s="2408"/>
      <c r="O10" s="2408"/>
    </row>
    <row r="11" spans="1:15" s="111" customFormat="1" ht="18" customHeight="1" x14ac:dyDescent="0.2">
      <c r="B11" s="985"/>
      <c r="C11" s="985"/>
      <c r="D11" s="985"/>
      <c r="E11" s="985"/>
      <c r="F11" s="985"/>
      <c r="G11" s="985"/>
      <c r="H11" s="985"/>
      <c r="I11" s="985"/>
      <c r="J11"/>
      <c r="K11"/>
      <c r="L11" s="2407"/>
      <c r="M11" s="2408"/>
      <c r="N11" s="2408"/>
      <c r="O11" s="2408"/>
    </row>
    <row r="12" spans="1:15" s="111" customFormat="1" ht="15" customHeight="1" x14ac:dyDescent="0.2">
      <c r="B12" s="2974" t="s">
        <v>5657</v>
      </c>
      <c r="C12" s="2975"/>
      <c r="D12" s="2976"/>
      <c r="E12" s="2976"/>
      <c r="F12" s="2976"/>
      <c r="G12" s="2976"/>
      <c r="H12" s="2976"/>
      <c r="I12" s="2977"/>
      <c r="J12"/>
      <c r="K12"/>
      <c r="L12" s="2407"/>
      <c r="M12" s="2408"/>
      <c r="N12" s="2408"/>
      <c r="O12" s="2408"/>
    </row>
    <row r="13" spans="1:15" s="111" customFormat="1" ht="18" customHeight="1" x14ac:dyDescent="0.2">
      <c r="B13" s="991"/>
      <c r="C13" s="991"/>
      <c r="D13" s="1959" t="s">
        <v>4580</v>
      </c>
      <c r="E13" s="1994" t="s">
        <v>4588</v>
      </c>
      <c r="F13" s="1994" t="s">
        <v>4588</v>
      </c>
      <c r="G13" s="1994" t="s">
        <v>4588</v>
      </c>
      <c r="H13" s="1994" t="s">
        <v>4588</v>
      </c>
      <c r="I13" s="1994" t="s">
        <v>4588</v>
      </c>
      <c r="J13"/>
      <c r="K13"/>
      <c r="L13" s="2407"/>
      <c r="M13" s="2408"/>
      <c r="N13" s="2408"/>
      <c r="O13" s="2408"/>
    </row>
    <row r="14" spans="1:15" s="111" customFormat="1" ht="18" customHeight="1" x14ac:dyDescent="0.2">
      <c r="B14" s="2981"/>
      <c r="C14" s="2981"/>
      <c r="D14" s="2981"/>
      <c r="E14" s="993" t="s">
        <v>1157</v>
      </c>
      <c r="F14" s="993" t="s">
        <v>1157</v>
      </c>
      <c r="G14" s="993" t="s">
        <v>1157</v>
      </c>
      <c r="H14" s="993" t="s">
        <v>1157</v>
      </c>
      <c r="I14" s="993" t="s">
        <v>1157</v>
      </c>
      <c r="J14"/>
      <c r="K14"/>
      <c r="L14" s="2407"/>
      <c r="M14" s="2408"/>
      <c r="N14" s="2408"/>
      <c r="O14" s="2408"/>
    </row>
    <row r="15" spans="1:15" s="111" customFormat="1" ht="18" customHeight="1" x14ac:dyDescent="0.2">
      <c r="B15" s="2978" t="s">
        <v>902</v>
      </c>
      <c r="C15" s="2978"/>
      <c r="D15" s="2978"/>
      <c r="E15" s="1205"/>
      <c r="F15" s="1205"/>
      <c r="G15" s="1205"/>
      <c r="H15" s="1205"/>
      <c r="I15" s="1205"/>
      <c r="J15"/>
      <c r="K15"/>
      <c r="L15" s="2407"/>
      <c r="M15" s="2408"/>
      <c r="N15" s="2408"/>
      <c r="O15" s="2408"/>
    </row>
    <row r="16" spans="1:15" s="111" customFormat="1" ht="18" customHeight="1" x14ac:dyDescent="0.2">
      <c r="B16" s="868" t="s">
        <v>1905</v>
      </c>
      <c r="C16" s="998"/>
      <c r="D16" s="869"/>
      <c r="E16" s="1960"/>
      <c r="F16" s="1960"/>
      <c r="G16" s="1960"/>
      <c r="H16" s="1960"/>
      <c r="I16" s="1960"/>
      <c r="J16"/>
      <c r="K16"/>
      <c r="L16" s="2407"/>
      <c r="M16" s="2408"/>
      <c r="N16" s="2408"/>
      <c r="O16" s="2408"/>
    </row>
    <row r="17" spans="1:15" s="111" customFormat="1" ht="18" customHeight="1" x14ac:dyDescent="0.25">
      <c r="B17" s="3015" t="s">
        <v>5787</v>
      </c>
      <c r="C17" s="2982"/>
      <c r="D17" s="3016"/>
      <c r="E17" s="1207"/>
      <c r="F17" s="1207"/>
      <c r="G17" s="1207"/>
      <c r="H17" s="1207"/>
      <c r="I17" s="1207"/>
      <c r="J17"/>
      <c r="K17"/>
      <c r="L17" s="2343" t="s">
        <v>5123</v>
      </c>
      <c r="M17" s="2343" t="s">
        <v>4982</v>
      </c>
      <c r="N17" s="2408"/>
      <c r="O17" s="2408"/>
    </row>
    <row r="18" spans="1:15" s="111" customFormat="1" ht="18" customHeight="1" x14ac:dyDescent="0.25">
      <c r="B18" s="998" t="s">
        <v>4579</v>
      </c>
      <c r="C18" s="869"/>
      <c r="D18" s="869"/>
      <c r="E18" s="1003"/>
      <c r="F18" s="1003"/>
      <c r="G18" s="1003"/>
      <c r="H18" s="1003"/>
      <c r="I18" s="1003"/>
      <c r="J18"/>
      <c r="K18"/>
      <c r="L18" s="2343"/>
      <c r="M18" s="2343"/>
      <c r="N18" s="2408"/>
      <c r="O18" s="2408"/>
    </row>
    <row r="19" spans="1:15" s="111" customFormat="1" ht="18" customHeight="1" x14ac:dyDescent="0.25">
      <c r="B19" s="2986" t="s">
        <v>3944</v>
      </c>
      <c r="C19" s="2987"/>
      <c r="D19" s="2987"/>
      <c r="E19" s="1207"/>
      <c r="F19" s="1207"/>
      <c r="G19" s="1207"/>
      <c r="H19" s="1207"/>
      <c r="I19" s="1207"/>
      <c r="J19"/>
      <c r="K19"/>
      <c r="L19" s="2343" t="s">
        <v>1114</v>
      </c>
      <c r="M19" s="2343"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2408"/>
      <c r="O19" s="2408"/>
    </row>
    <row r="20" spans="1:15" s="111" customFormat="1" ht="18" customHeight="1" x14ac:dyDescent="0.25">
      <c r="B20" s="2986" t="s">
        <v>3944</v>
      </c>
      <c r="C20" s="2987"/>
      <c r="D20" s="2987"/>
      <c r="E20" s="1207"/>
      <c r="F20" s="1207"/>
      <c r="G20" s="1207"/>
      <c r="H20" s="1207"/>
      <c r="I20" s="1207"/>
      <c r="J20"/>
      <c r="K20"/>
      <c r="L20" s="2343" t="s">
        <v>1114</v>
      </c>
      <c r="M20" s="2343"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2408"/>
      <c r="O20" s="2408"/>
    </row>
    <row r="21" spans="1:15" s="111" customFormat="1" ht="18" customHeight="1" x14ac:dyDescent="0.25">
      <c r="B21" s="2986" t="s">
        <v>3944</v>
      </c>
      <c r="C21" s="2987"/>
      <c r="D21" s="2987"/>
      <c r="E21" s="1207"/>
      <c r="F21" s="1207"/>
      <c r="G21" s="1207"/>
      <c r="H21" s="1207"/>
      <c r="I21" s="1207"/>
      <c r="J21"/>
      <c r="K21"/>
      <c r="L21" s="2343" t="s">
        <v>1114</v>
      </c>
      <c r="M21" s="2343" t="str">
        <f t="shared" si="0"/>
        <v>No Function</v>
      </c>
      <c r="N21" s="2408"/>
      <c r="O21" s="2408"/>
    </row>
    <row r="22" spans="1:15" ht="18" customHeight="1" x14ac:dyDescent="0.25">
      <c r="B22" s="2999" t="s">
        <v>4578</v>
      </c>
      <c r="C22" s="3000"/>
      <c r="D22" s="3001"/>
      <c r="E22" s="1208"/>
      <c r="F22" s="1208"/>
      <c r="G22" s="1208"/>
      <c r="H22" s="1208"/>
      <c r="I22" s="1208"/>
      <c r="L22" s="2343" t="s">
        <v>5125</v>
      </c>
      <c r="M22" s="2343"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998" t="s">
        <v>1889</v>
      </c>
      <c r="C23" s="867"/>
      <c r="D23" s="1961"/>
      <c r="E23" s="1005">
        <f>SUM(E17:E17)+SUM(E19:E21)+SUM(E22:E22)</f>
        <v>0</v>
      </c>
      <c r="F23" s="1005">
        <f>SUM(F17:F17)+SUM(F19:F21)+SUM(F22:F22)</f>
        <v>0</v>
      </c>
      <c r="G23" s="1005">
        <f>SUM(G17:G17)+SUM(G19:G21)+SUM(G22:G22)</f>
        <v>0</v>
      </c>
      <c r="H23" s="1005">
        <f>SUM(H17:H17)+SUM(H19:H21)+SUM(H22:H22)</f>
        <v>0</v>
      </c>
      <c r="I23" s="1005">
        <f>SUM(I17:I17)+SUM(I19:I21)+SUM(I22:I22)</f>
        <v>0</v>
      </c>
    </row>
    <row r="24" spans="1:15" ht="18" customHeight="1" thickTop="1" x14ac:dyDescent="0.2">
      <c r="B24" s="1963" t="s">
        <v>4893</v>
      </c>
      <c r="C24" s="1006"/>
      <c r="D24" s="1006"/>
      <c r="E24" s="1006"/>
      <c r="F24" s="1006"/>
      <c r="G24" s="1006"/>
      <c r="H24" s="1006"/>
      <c r="I24" s="1006"/>
    </row>
    <row r="25" spans="1:15" x14ac:dyDescent="0.2">
      <c r="B25" s="1963"/>
      <c r="C25" s="1006"/>
      <c r="D25" s="1006"/>
      <c r="E25" s="1006"/>
      <c r="F25" s="1006"/>
      <c r="G25" s="1006"/>
      <c r="H25" s="1006"/>
      <c r="I25" s="1006"/>
    </row>
    <row r="26" spans="1:15" ht="15" x14ac:dyDescent="0.2">
      <c r="A26" s="443" t="str">
        <f ca="1">MID(CELL("filename",A1),FIND("]",CELL("filename",A1))+1,256)</f>
        <v>420</v>
      </c>
      <c r="B26" s="868" t="s">
        <v>634</v>
      </c>
      <c r="C26" s="1007" t="s">
        <v>1446</v>
      </c>
      <c r="D26" s="869"/>
      <c r="E26" s="998"/>
      <c r="F26" s="998"/>
      <c r="G26" s="998"/>
      <c r="H26" s="998"/>
      <c r="I26" s="998"/>
    </row>
    <row r="27" spans="1:15" ht="15" x14ac:dyDescent="0.2">
      <c r="A27" s="443" t="s">
        <v>446</v>
      </c>
      <c r="B27" s="868"/>
      <c r="C27" s="1007" t="s">
        <v>1447</v>
      </c>
      <c r="D27" s="869"/>
      <c r="E27" s="998"/>
      <c r="F27" s="998"/>
      <c r="G27" s="998"/>
      <c r="H27" s="998"/>
      <c r="I27" s="998"/>
    </row>
    <row r="28" spans="1:15" ht="15" x14ac:dyDescent="0.2">
      <c r="A28" s="443" t="s">
        <v>447</v>
      </c>
      <c r="B28" s="868"/>
      <c r="C28" s="1007" t="s">
        <v>1291</v>
      </c>
      <c r="D28" s="869"/>
      <c r="E28" s="998"/>
      <c r="F28" s="998"/>
      <c r="G28" s="998"/>
      <c r="H28" s="998"/>
      <c r="I28" s="998"/>
    </row>
    <row r="29" spans="1:15" ht="15" x14ac:dyDescent="0.2">
      <c r="A29" s="443" t="s">
        <v>448</v>
      </c>
      <c r="B29" s="868" t="s">
        <v>636</v>
      </c>
      <c r="C29" s="1007" t="s">
        <v>482</v>
      </c>
      <c r="D29" s="869"/>
      <c r="E29" s="998"/>
      <c r="F29" s="998"/>
      <c r="G29" s="998"/>
      <c r="H29" s="998"/>
      <c r="I29" s="998"/>
    </row>
    <row r="30" spans="1:15" ht="15" x14ac:dyDescent="0.2">
      <c r="A30" s="443" t="s">
        <v>450</v>
      </c>
      <c r="B30" s="868"/>
      <c r="C30" s="869"/>
      <c r="D30" s="869"/>
      <c r="E30" s="998"/>
      <c r="F30" s="998"/>
      <c r="G30" s="998"/>
      <c r="H30" s="998"/>
      <c r="I30" s="998"/>
    </row>
    <row r="31" spans="1:15" ht="15" x14ac:dyDescent="0.2">
      <c r="A31" s="443" t="s">
        <v>456</v>
      </c>
      <c r="B31" s="2035"/>
    </row>
    <row r="32" spans="1:15" x14ac:dyDescent="0.2">
      <c r="B32" s="2" t="s">
        <v>4679</v>
      </c>
    </row>
    <row r="33" spans="2:9" ht="17.25" customHeight="1" x14ac:dyDescent="0.2">
      <c r="B33" s="2034" t="s">
        <v>4680</v>
      </c>
      <c r="E33" s="433" t="s">
        <v>1114</v>
      </c>
      <c r="F33" s="1995"/>
    </row>
    <row r="34" spans="2:9" ht="17.25" customHeight="1" x14ac:dyDescent="0.2">
      <c r="C34" s="272"/>
      <c r="E34" s="433" t="s">
        <v>1115</v>
      </c>
      <c r="F34" s="1995"/>
    </row>
    <row r="35" spans="2:9" ht="17.25" customHeight="1" thickBot="1" x14ac:dyDescent="0.25">
      <c r="C35" s="1962"/>
      <c r="E35" s="433" t="s">
        <v>4589</v>
      </c>
      <c r="F35" s="2420">
        <f>F33+F34</f>
        <v>0</v>
      </c>
    </row>
    <row r="36" spans="2:9" ht="13.5" thickTop="1" x14ac:dyDescent="0.2"/>
    <row r="37" spans="2:9" ht="39.75" customHeight="1" x14ac:dyDescent="0.2">
      <c r="B37" s="3010" t="s">
        <v>5786</v>
      </c>
      <c r="C37" s="3010"/>
      <c r="D37" s="3010"/>
      <c r="E37" s="3010"/>
      <c r="F37" s="3010"/>
      <c r="G37" s="3010"/>
      <c r="H37" s="3010"/>
      <c r="I37" s="3010"/>
    </row>
  </sheetData>
  <sheetProtection algorithmName="SHA-512" hashValue="K5ouTxwM1W7m+cZ601j8s6/wDy1QOeu50eYZ7WjLCe+kptrlBZ7g5HRtTn9UK4wQ++0cB8MtAygRyBIy6Abj1Q==" saltValue="so8dyDgl0ypApj1uggThAg=="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94" orientation="portrait" r:id="rId1"/>
      <headerFooter alignWithMargins="0">
        <oddFooter>&amp;R&amp;A</oddFooter>
      </headerFooter>
    </customSheetView>
    <customSheetView guid="{1250FD07-FF56-4A9D-AF9E-C27124A7EBE9}" showGridLines="0" fitToPage="1" showRuler="0">
      <selection activeCell="A36" sqref="A36"/>
      <pageMargins left="0.75" right="0.5" top="0.5" bottom="0.5" header="0.5" footer="0.5"/>
      <pageSetup scale="96" orientation="portrait" r:id="rId2"/>
      <headerFooter alignWithMargins="0">
        <oddFooter>&amp;R&amp;A</oddFooter>
      </headerFooter>
    </customSheetView>
    <customSheetView guid="{BEA4BE86-04D1-4C96-9358-7A260B9D2B2D}" showGridLines="0" fitToPage="1" showRuler="0">
      <selection activeCell="A36" sqref="A36"/>
      <pageMargins left="0.75" right="0.5" top="0.5" bottom="0.5" header="0.5" footer="0.5"/>
      <pageSetup scale="96"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94" orientation="portrait" r:id="rId4"/>
      <headerFooter alignWithMargins="0">
        <oddFooter>&amp;R&amp;A</oddFooter>
      </headerFooter>
    </customSheetView>
  </customSheetViews>
  <mergeCells count="18">
    <mergeCell ref="G7:I7"/>
    <mergeCell ref="B17:D17"/>
    <mergeCell ref="C6:E6"/>
    <mergeCell ref="C7:E7"/>
    <mergeCell ref="B22:D22"/>
    <mergeCell ref="B20:D20"/>
    <mergeCell ref="B21:D21"/>
    <mergeCell ref="B19:D19"/>
    <mergeCell ref="M1:M3"/>
    <mergeCell ref="B1:I1"/>
    <mergeCell ref="B2:I2"/>
    <mergeCell ref="B4:I4"/>
    <mergeCell ref="G6:I6"/>
    <mergeCell ref="B37:I37"/>
    <mergeCell ref="K8:L8"/>
    <mergeCell ref="B12:I12"/>
    <mergeCell ref="B14:D14"/>
    <mergeCell ref="B15:D15"/>
  </mergeCells>
  <phoneticPr fontId="15" type="noConversion"/>
  <conditionalFormatting sqref="I3">
    <cfRule type="containsText" dxfId="90" priority="2" stopIfTrue="1" operator="containsText" text="NA">
      <formula>NOT(ISERROR(SEARCH("NA",I3)))</formula>
    </cfRule>
  </conditionalFormatting>
  <conditionalFormatting sqref="M1:M3">
    <cfRule type="cellIs" dxfId="89"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E17:I17" xr:uid="{445D06A1-53BD-4D93-9BB3-E57278D13FEE}">
      <formula1>0</formula1>
    </dataValidation>
  </dataValidations>
  <hyperlinks>
    <hyperlink ref="E10" r:id="rId5" xr:uid="{FEC799E1-E6A4-4A0C-819E-5B52DCF7AAB0}"/>
    <hyperlink ref="B1:I1" location="Index!A1" display="Index!A1" xr:uid="{987435E2-D5ED-4401-AEC1-C3A2E73B08F7}"/>
  </hyperlinks>
  <pageMargins left="0.75" right="0.5" top="0.5" bottom="0.5" header="0.5" footer="0.5"/>
  <pageSetup scale="91" fitToHeight="0" orientation="landscape" r:id="rId6"/>
  <headerFooter alignWithMargins="0">
    <oddFooter>&amp;R&amp;A</oddFooter>
  </headerFooter>
  <extLst>
    <ext xmlns:x14="http://schemas.microsoft.com/office/spreadsheetml/2009/9/main" uri="{CCE6A557-97BC-4b89-ADB6-D9C93CAAB3DF}">
      <x14:dataValidations xmlns:xm="http://schemas.microsoft.com/office/excel/2006/main" count="2">
        <x14:dataValidation type="list" showErrorMessage="1" xr:uid="{02940D59-BBF4-4AF4-867B-64E88234B9FB}">
          <x14:formula1>
            <xm:f>Notes!$S$4:$S$8</xm:f>
          </x14:formula1>
          <xm:sqref>E13:I13</xm:sqref>
        </x14:dataValidation>
        <x14:dataValidation type="list" allowBlank="1" showInputMessage="1" showErrorMessage="1" xr:uid="{17AFD2D8-39BF-4E55-8A6C-1D2F3207E72B}">
          <x14:formula1>
            <xm:f>Notes!$S$11:$S$21</xm:f>
          </x14:formula1>
          <xm:sqref>B19:D21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dimension ref="A1:P103"/>
  <sheetViews>
    <sheetView zoomScale="120" zoomScaleNormal="120" workbookViewId="0">
      <selection activeCell="M60" sqref="M60"/>
    </sheetView>
  </sheetViews>
  <sheetFormatPr defaultRowHeight="12.75" x14ac:dyDescent="0.2"/>
  <sheetData>
    <row r="1" spans="1:14" ht="15.75" x14ac:dyDescent="0.25">
      <c r="A1" s="2749" t="s">
        <v>1007</v>
      </c>
      <c r="B1" s="2749"/>
      <c r="C1" s="2749"/>
      <c r="D1" s="2749"/>
      <c r="E1" s="2749"/>
      <c r="F1" s="2749"/>
      <c r="G1" s="2749"/>
      <c r="H1" s="2749"/>
      <c r="I1" s="2749"/>
      <c r="J1" s="2749"/>
      <c r="K1" s="2749"/>
      <c r="L1" s="2749"/>
      <c r="M1" s="2749"/>
      <c r="N1" s="2749"/>
    </row>
    <row r="2" spans="1:14" ht="15.75" x14ac:dyDescent="0.25">
      <c r="A2" s="2749" t="str">
        <f>CONCATENATE(YEAR(Data!A2)," ACFR Worksheets")</f>
        <v>2022 ACFR Worksheets</v>
      </c>
      <c r="B2" s="2749"/>
      <c r="C2" s="2749"/>
      <c r="D2" s="2749"/>
      <c r="E2" s="2749"/>
      <c r="F2" s="2749"/>
      <c r="G2" s="2749"/>
      <c r="H2" s="2749"/>
      <c r="I2" s="2749"/>
      <c r="J2" s="2749"/>
      <c r="K2" s="2749"/>
      <c r="L2" s="2749"/>
      <c r="M2" s="2749"/>
      <c r="N2" s="2479"/>
    </row>
    <row r="3" spans="1:14" ht="16.5" thickBot="1" x14ac:dyDescent="0.3">
      <c r="A3" s="2749" t="s">
        <v>5406</v>
      </c>
      <c r="B3" s="2749"/>
      <c r="C3" s="2749"/>
      <c r="D3" s="2749"/>
      <c r="E3" s="2749"/>
      <c r="F3" s="2749"/>
      <c r="G3" s="2749"/>
      <c r="H3" s="2749"/>
      <c r="I3" s="2749"/>
      <c r="J3" s="2749"/>
      <c r="K3" s="2749"/>
      <c r="L3" s="2749"/>
      <c r="M3" s="2749"/>
      <c r="N3" s="2479"/>
    </row>
    <row r="4" spans="1:14" x14ac:dyDescent="0.2">
      <c r="A4" s="2467"/>
      <c r="B4" s="2468"/>
      <c r="C4" s="2471"/>
      <c r="D4" s="2471"/>
      <c r="E4" s="2471"/>
      <c r="F4" s="2471"/>
      <c r="G4" s="2471"/>
      <c r="H4" s="2471"/>
      <c r="I4" s="2471"/>
      <c r="J4" s="2471"/>
      <c r="K4" s="2471"/>
      <c r="L4" s="2471"/>
      <c r="M4" s="2474"/>
      <c r="N4" s="2467"/>
    </row>
    <row r="5" spans="1:14" x14ac:dyDescent="0.2">
      <c r="A5" s="2467"/>
      <c r="B5" s="2469"/>
      <c r="C5" s="2467"/>
      <c r="D5" s="2467"/>
      <c r="E5" s="2467"/>
      <c r="F5" s="2467"/>
      <c r="G5" s="2467"/>
      <c r="H5" s="2467"/>
      <c r="I5" s="2467"/>
      <c r="J5" s="2467"/>
      <c r="K5" s="2467"/>
      <c r="L5" s="2467"/>
      <c r="M5" s="2475"/>
      <c r="N5" s="2467"/>
    </row>
    <row r="6" spans="1:14" ht="15.75" thickBot="1" x14ac:dyDescent="0.3">
      <c r="A6" s="2467"/>
      <c r="B6" s="2469"/>
      <c r="C6" s="2472" t="s">
        <v>5407</v>
      </c>
      <c r="D6" s="2472"/>
      <c r="E6" s="2467"/>
      <c r="F6" s="2467"/>
      <c r="G6" s="2467"/>
      <c r="H6" s="2467"/>
      <c r="I6" s="2467"/>
      <c r="J6" s="2467"/>
      <c r="K6" s="2467"/>
      <c r="L6" s="2467"/>
      <c r="M6" s="2476" t="str">
        <f>AgyIdx</f>
        <v>01</v>
      </c>
      <c r="N6" s="2467"/>
    </row>
    <row r="7" spans="1:14" ht="15" x14ac:dyDescent="0.25">
      <c r="A7" s="2467"/>
      <c r="B7" s="2469"/>
      <c r="C7" s="2472"/>
      <c r="D7" s="2472"/>
      <c r="E7" s="2467"/>
      <c r="F7" s="2467"/>
      <c r="G7" s="2467"/>
      <c r="H7" s="2467"/>
      <c r="I7" s="2467"/>
      <c r="J7" s="2467"/>
      <c r="K7" s="2467"/>
      <c r="L7" s="2467"/>
      <c r="M7" s="2475"/>
      <c r="N7" s="2467"/>
    </row>
    <row r="8" spans="1:14" ht="15.75" thickBot="1" x14ac:dyDescent="0.3">
      <c r="A8" s="2467"/>
      <c r="B8" s="2469"/>
      <c r="C8" s="2473" t="s">
        <v>5445</v>
      </c>
      <c r="D8" s="2472"/>
      <c r="E8" s="2467"/>
      <c r="F8" s="2467"/>
      <c r="G8" s="2467"/>
      <c r="H8" s="2467"/>
      <c r="I8" s="2467"/>
      <c r="J8" s="2467"/>
      <c r="K8" s="2467"/>
      <c r="L8" s="2467"/>
      <c r="M8" s="2502" t="str">
        <f>'905'!P1</f>
        <v/>
      </c>
      <c r="N8" s="2467"/>
    </row>
    <row r="9" spans="1:14" ht="15" x14ac:dyDescent="0.25">
      <c r="A9" s="2467"/>
      <c r="B9" s="2469"/>
      <c r="C9" s="2473" t="s">
        <v>5446</v>
      </c>
      <c r="D9" s="2472"/>
      <c r="E9" s="2467"/>
      <c r="F9" s="2467"/>
      <c r="G9" s="2467"/>
      <c r="H9" s="2467"/>
      <c r="I9" s="2467"/>
      <c r="J9" s="2467"/>
      <c r="K9" s="2467"/>
      <c r="L9" s="2467"/>
      <c r="M9" s="2481"/>
      <c r="N9" s="2467"/>
    </row>
    <row r="10" spans="1:14" ht="15.75" thickBot="1" x14ac:dyDescent="0.3">
      <c r="A10" s="2467"/>
      <c r="B10" s="2469"/>
      <c r="C10" s="2473" t="s">
        <v>5409</v>
      </c>
      <c r="D10" s="2472"/>
      <c r="E10" s="2467"/>
      <c r="F10" s="2467"/>
      <c r="G10" s="2467"/>
      <c r="H10" s="2467"/>
      <c r="I10" s="2467"/>
      <c r="J10" s="2467"/>
      <c r="K10" s="2467"/>
      <c r="L10" s="2467"/>
      <c r="M10" s="2502" t="str">
        <f>'905'!P2</f>
        <v>0100</v>
      </c>
      <c r="N10" s="2467"/>
    </row>
    <row r="11" spans="1:14" s="2467" customFormat="1" ht="15" x14ac:dyDescent="0.25">
      <c r="B11" s="2469"/>
      <c r="C11" s="2655" t="s">
        <v>5441</v>
      </c>
      <c r="D11" s="2472"/>
      <c r="E11" s="2472"/>
      <c r="F11" s="2472"/>
      <c r="G11" s="2472"/>
      <c r="H11" s="2472"/>
      <c r="I11" s="2472"/>
      <c r="J11" s="2472"/>
      <c r="K11" s="2472"/>
      <c r="L11" s="2472"/>
      <c r="M11" s="2475"/>
    </row>
    <row r="12" spans="1:14" ht="15" x14ac:dyDescent="0.25">
      <c r="A12" s="2467"/>
      <c r="B12" s="2469"/>
      <c r="C12" s="665" t="s">
        <v>5410</v>
      </c>
      <c r="D12" s="2472"/>
      <c r="E12" s="2467"/>
      <c r="F12" s="2467"/>
      <c r="G12" s="2467"/>
      <c r="H12" s="2467"/>
      <c r="I12" s="2467"/>
      <c r="J12" s="2467"/>
      <c r="K12" s="2467"/>
      <c r="L12" s="2467"/>
      <c r="M12" s="2495" t="str">
        <f>IF(ISBLANK('101'!F17),"ERROR","OK")</f>
        <v>ERROR</v>
      </c>
      <c r="N12" s="2467"/>
    </row>
    <row r="13" spans="1:14" s="2480" customFormat="1" ht="15" x14ac:dyDescent="0.25">
      <c r="B13" s="2469"/>
      <c r="C13" s="665" t="s">
        <v>5424</v>
      </c>
      <c r="D13" s="2472"/>
      <c r="M13" s="2478" t="str">
        <f>IF('101'!J25="",IF('101'!L25="","ERROR","OK"),IF('101'!L25="","OK","ERROR"))</f>
        <v>ERROR</v>
      </c>
    </row>
    <row r="14" spans="1:14" s="2505" customFormat="1" ht="15" x14ac:dyDescent="0.25">
      <c r="B14" s="2469"/>
      <c r="C14" s="665" t="s">
        <v>5449</v>
      </c>
      <c r="D14" s="2472"/>
      <c r="M14" s="2478" t="str">
        <f>IF('101'!L25="",IF('101'!J25="","ERROR",IF('101'!G26="","OK","ERROR")),IF('101'!G26="","ERROR","OK"))</f>
        <v>ERROR</v>
      </c>
    </row>
    <row r="15" spans="1:14" s="2648" customFormat="1" ht="15" x14ac:dyDescent="0.25">
      <c r="B15" s="2469"/>
      <c r="C15" s="665" t="s">
        <v>5695</v>
      </c>
      <c r="D15" s="2472"/>
      <c r="M15" s="2478" t="str">
        <f>IF('101'!J31="",IF('101'!L31="","ERROR","OK"),IF('101'!L31="","OK","ERROR"))</f>
        <v>ERROR</v>
      </c>
    </row>
    <row r="16" spans="1:14" s="2648" customFormat="1" ht="15" x14ac:dyDescent="0.25">
      <c r="B16" s="2469"/>
      <c r="C16" s="665" t="s">
        <v>5696</v>
      </c>
      <c r="D16" s="2472"/>
      <c r="M16" s="2478" t="str">
        <f>IF('101'!L31="",IF('101'!J31="","ERROR",IF('101'!G32="","OK","ERROR")),IF('101'!G32="","ERROR","OK"))</f>
        <v>ERROR</v>
      </c>
    </row>
    <row r="17" spans="1:14" s="2648" customFormat="1" ht="15" x14ac:dyDescent="0.25">
      <c r="B17" s="2469"/>
      <c r="C17" s="665" t="s">
        <v>5697</v>
      </c>
      <c r="D17" s="2472"/>
      <c r="M17" s="2478" t="str">
        <f>IF(ISBLANK('101'!D37),"ERROR","OK")</f>
        <v>ERROR</v>
      </c>
    </row>
    <row r="18" spans="1:14" s="2480" customFormat="1" ht="15" x14ac:dyDescent="0.25">
      <c r="B18" s="2469"/>
      <c r="C18" s="665" t="s">
        <v>5411</v>
      </c>
      <c r="D18" s="2472"/>
      <c r="M18" s="2478" t="str">
        <f>IF('101'!J50="",IF('101'!L50="","ERROR","OK"),IF('101'!L50="","OK","ERROR"))</f>
        <v>ERROR</v>
      </c>
    </row>
    <row r="19" spans="1:14" s="2505" customFormat="1" ht="15" x14ac:dyDescent="0.25">
      <c r="B19" s="2469"/>
      <c r="C19" s="665" t="s">
        <v>5450</v>
      </c>
      <c r="D19" s="2472"/>
      <c r="M19" s="2478" t="str">
        <f>IF('101'!J50="",IF('101'!L50="","ERROR",IF('101'!C52="","OK","ERROR")),IF('101'!C52="","ERROR","OK"))</f>
        <v>ERROR</v>
      </c>
    </row>
    <row r="20" spans="1:14" s="2480" customFormat="1" ht="15" x14ac:dyDescent="0.25">
      <c r="B20" s="2469"/>
      <c r="C20" s="665" t="s">
        <v>5427</v>
      </c>
      <c r="D20" s="2472"/>
      <c r="M20" s="2478" t="str">
        <f>IF(AND(ISBLANK('101'!H58),ISBLANK('101'!J58),ISBLANK('101'!L58))=TRUE,"ERROR",IF(COUNTIF('101'!H58:L58,"")&gt;1,"OK","ERROR"))</f>
        <v>ERROR</v>
      </c>
    </row>
    <row r="21" spans="1:14" s="2480" customFormat="1" ht="15" x14ac:dyDescent="0.25">
      <c r="B21" s="2469"/>
      <c r="C21" s="665" t="s">
        <v>5412</v>
      </c>
      <c r="D21" s="2472"/>
      <c r="M21" s="2478" t="str">
        <f>IF('101'!J62="",IF('101'!L62="","ERROR","OK"),IF('101'!L62="","OK","ERROR"))</f>
        <v>ERROR</v>
      </c>
    </row>
    <row r="22" spans="1:14" s="2505" customFormat="1" ht="15" x14ac:dyDescent="0.25">
      <c r="B22" s="2469"/>
      <c r="C22" s="665" t="s">
        <v>5451</v>
      </c>
      <c r="D22" s="2472"/>
      <c r="M22" s="2478" t="str">
        <f>IF('101'!J62="",IF('101'!L62="","ERROR",IF('101'!F63="","OK","ERROR")),IF('101'!F63="","ERROR","OK"))</f>
        <v>ERROR</v>
      </c>
    </row>
    <row r="23" spans="1:14" s="2480" customFormat="1" ht="15" x14ac:dyDescent="0.25">
      <c r="B23" s="2469"/>
      <c r="C23" s="665" t="s">
        <v>5428</v>
      </c>
      <c r="D23" s="2472"/>
      <c r="M23" s="2478" t="str">
        <f>IF(AND(ISBLANK('101'!H67),ISBLANK('101'!J67),ISBLANK('101'!L67))=TRUE,"ERROR",IF(COUNTIF('101'!H67:L67,"")&gt;1,"OK","ERROR"))</f>
        <v>ERROR</v>
      </c>
    </row>
    <row r="24" spans="1:14" s="2505" customFormat="1" ht="15" x14ac:dyDescent="0.25">
      <c r="B24" s="2469"/>
      <c r="C24" s="665" t="s">
        <v>5452</v>
      </c>
      <c r="D24" s="2472"/>
      <c r="M24" s="2478" t="str">
        <f>IF('101'!H67="","OK",IF('101'!E68="","ERROR","OK"))</f>
        <v>OK</v>
      </c>
    </row>
    <row r="25" spans="1:14" x14ac:dyDescent="0.2">
      <c r="A25" s="2467"/>
      <c r="B25" s="2469"/>
      <c r="C25" s="665" t="s">
        <v>5413</v>
      </c>
      <c r="D25" s="665"/>
      <c r="E25" s="2467"/>
      <c r="F25" s="2467"/>
      <c r="G25" s="2467"/>
      <c r="H25" s="2467"/>
      <c r="I25" s="2467"/>
      <c r="J25" s="2467"/>
      <c r="K25" s="2467"/>
      <c r="L25" s="2467"/>
      <c r="M25" s="2484" t="str">
        <f>IF('110'!E37="",IF('110'!E38="","ERROR","OK"),IF('110'!E38="","OK","ERROR"))</f>
        <v>ERROR</v>
      </c>
      <c r="N25" s="2467"/>
    </row>
    <row r="26" spans="1:14" x14ac:dyDescent="0.2">
      <c r="A26" s="2467"/>
      <c r="B26" s="2469"/>
      <c r="C26" s="665" t="s">
        <v>5416</v>
      </c>
      <c r="D26" s="665"/>
      <c r="E26" s="2467"/>
      <c r="F26" s="2467"/>
      <c r="G26" s="2467"/>
      <c r="H26" s="2467"/>
      <c r="I26" s="2467"/>
      <c r="J26" s="2467"/>
      <c r="K26" s="2467"/>
      <c r="L26" s="2467"/>
      <c r="M26" s="2484" t="str">
        <f>IF('120'!E31="",IF('120'!E32="","ERROR","OK"),IF('120'!E32="","OK","ERROR"))</f>
        <v>ERROR</v>
      </c>
      <c r="N26" s="2467"/>
    </row>
    <row r="27" spans="1:14" s="2505" customFormat="1" ht="15" x14ac:dyDescent="0.25">
      <c r="B27" s="2469"/>
      <c r="C27" s="665" t="s">
        <v>5453</v>
      </c>
      <c r="D27" s="2472"/>
      <c r="M27" s="2484" t="str">
        <f>IF('120'!D31="",IF(COUNTA('120'!D37:D40)&gt;0,"ERROR","OK"),IF(COUNTA('120'!D37:D40)=1,"OK","ERROR"))</f>
        <v>ERROR</v>
      </c>
    </row>
    <row r="28" spans="1:14" s="2505" customFormat="1" ht="15" x14ac:dyDescent="0.25">
      <c r="B28" s="2469"/>
      <c r="C28" s="665" t="s">
        <v>5454</v>
      </c>
      <c r="D28" s="2472"/>
      <c r="M28" s="2484" t="str">
        <f>IF('201'!R41=0,"OK","ERROR")</f>
        <v>OK</v>
      </c>
    </row>
    <row r="29" spans="1:14" x14ac:dyDescent="0.2">
      <c r="A29" s="2467"/>
      <c r="B29" s="2469"/>
      <c r="C29" s="665" t="s">
        <v>5425</v>
      </c>
      <c r="D29" s="665"/>
      <c r="E29" s="2467"/>
      <c r="F29" s="2467"/>
      <c r="G29" s="2467"/>
      <c r="H29" s="2467"/>
      <c r="I29" s="2467"/>
      <c r="J29" s="2467"/>
      <c r="K29" s="2467"/>
      <c r="L29" s="2467"/>
      <c r="M29" s="2484" t="str">
        <f>IF('202'!T1="NA","OK",IF('202'!E14="",IF('202'!I14="","ERROR","OK"),IF('202'!I14="","OK","ERROR")))</f>
        <v>ERROR</v>
      </c>
      <c r="N29" s="2467"/>
    </row>
    <row r="30" spans="1:14" s="2505" customFormat="1" ht="15" x14ac:dyDescent="0.25">
      <c r="B30" s="2469"/>
      <c r="C30" s="665" t="s">
        <v>5455</v>
      </c>
      <c r="D30" s="2472"/>
      <c r="M30" s="2478" t="str">
        <f>IF('202'!T1="NA","OK",IF('202'!E14="",IF('202'!I14="","ERROR",IF('202'!E18="","OK","ERROR")),IF('202'!E18="","ERROR","OK")))</f>
        <v>ERROR</v>
      </c>
    </row>
    <row r="31" spans="1:14" s="2505" customFormat="1" x14ac:dyDescent="0.2">
      <c r="B31" s="2469"/>
      <c r="C31" s="665" t="s">
        <v>5456</v>
      </c>
      <c r="D31" s="665"/>
      <c r="M31" s="2478" t="str">
        <f>IF('202'!T1="NA","OK",IF('202'!E14="",IF('202'!I14="","ERROR",IF('202'!G20="","OK","ERROR")),IF('202'!G20="","ERROR","OK")))</f>
        <v>ERROR</v>
      </c>
      <c r="N31" s="2038"/>
    </row>
    <row r="32" spans="1:14" s="2483" customFormat="1" x14ac:dyDescent="0.2">
      <c r="B32" s="2469"/>
      <c r="C32" s="665" t="s">
        <v>5426</v>
      </c>
      <c r="D32" s="665"/>
      <c r="M32" s="2478" t="str">
        <f>IF('202'!T1="NA","OK",IF(AND(ISBLANK('202'!E23),ISBLANK('202'!I23),ISBLANK('202'!M23))=TRUE,"ERROR",IF(COUNTIF('202'!E23:M23,"")&gt;1,"OK","ERROR")))</f>
        <v>ERROR</v>
      </c>
      <c r="N32" s="2038"/>
    </row>
    <row r="33" spans="1:14" s="2505" customFormat="1" ht="15" x14ac:dyDescent="0.25">
      <c r="B33" s="2469"/>
      <c r="C33" s="665" t="s">
        <v>5457</v>
      </c>
      <c r="D33" s="2472"/>
      <c r="M33" s="2478" t="str">
        <f>IF('202'!T1="NA","OK",IF('202'!I23="","OK",IF('202'!C26="","ERROR","OK")))</f>
        <v>OK</v>
      </c>
      <c r="N33" s="2038"/>
    </row>
    <row r="34" spans="1:14" x14ac:dyDescent="0.2">
      <c r="A34" s="2467"/>
      <c r="B34" s="2469"/>
      <c r="C34" s="665" t="s">
        <v>5429</v>
      </c>
      <c r="D34" s="665"/>
      <c r="E34" s="2467"/>
      <c r="F34" s="2467"/>
      <c r="G34" s="2467"/>
      <c r="H34" s="2467"/>
      <c r="I34" s="2467"/>
      <c r="J34" s="2467"/>
      <c r="K34" s="2467"/>
      <c r="L34" s="2467"/>
      <c r="M34" s="2484" t="str">
        <f>IF('202'!T1="NA","OK",IF('202'!M28="",IF('202'!Q28="","ERROR","OK"),IF('202'!Q28="","OK","ERROR")))</f>
        <v>ERROR</v>
      </c>
      <c r="N34" s="2038"/>
    </row>
    <row r="35" spans="1:14" s="2505" customFormat="1" ht="15" x14ac:dyDescent="0.25">
      <c r="B35" s="2469"/>
      <c r="C35" s="665" t="s">
        <v>5463</v>
      </c>
      <c r="D35" s="2472"/>
      <c r="M35" s="2478" t="str">
        <f>IF('202'!T1="NA","OK",IF('202'!M28="",IF('202'!Q28="","ERROR",IF('202'!E34="","OK","ERROR")),IF('202'!E34="","ERROR","OK")))</f>
        <v>ERROR</v>
      </c>
      <c r="N35" s="2038" t="s">
        <v>973</v>
      </c>
    </row>
    <row r="36" spans="1:14" s="2483" customFormat="1" x14ac:dyDescent="0.2">
      <c r="B36" s="2469"/>
      <c r="C36" s="665" t="s">
        <v>5430</v>
      </c>
      <c r="D36" s="665"/>
      <c r="M36" s="2478" t="str">
        <f>IF('202'!T1="NA","OK",IF(AND(ISBLANK('202'!E44),ISBLANK('202'!I44),ISBLANK('202'!M44))=TRUE,"ERROR",IF(COUNTIF('202'!E44:M44,"")&gt;1,"OK","ERROR")))</f>
        <v>ERROR</v>
      </c>
      <c r="N36" s="2038"/>
    </row>
    <row r="37" spans="1:14" s="2505" customFormat="1" ht="15" x14ac:dyDescent="0.25">
      <c r="B37" s="2469"/>
      <c r="C37" s="665" t="s">
        <v>5464</v>
      </c>
      <c r="D37" s="2472"/>
      <c r="M37" s="2478" t="str">
        <f>IF('202'!T1="NA","OK",IF('202'!I44="","OK",IF('202'!C47="","ERROR","OK")))</f>
        <v>OK</v>
      </c>
      <c r="N37" s="2038"/>
    </row>
    <row r="38" spans="1:14" x14ac:dyDescent="0.2">
      <c r="A38" s="2467"/>
      <c r="B38" s="2469"/>
      <c r="C38" s="665" t="s">
        <v>5414</v>
      </c>
      <c r="D38" s="665"/>
      <c r="E38" s="2467"/>
      <c r="F38" s="2467"/>
      <c r="G38" s="2467"/>
      <c r="H38" s="2467"/>
      <c r="I38" s="2467"/>
      <c r="J38" s="2467"/>
      <c r="K38" s="2467"/>
      <c r="L38" s="2467"/>
      <c r="M38" s="2484" t="str">
        <f>IF('202'!T1="NA","OK",IF('202'!M49="",IF('202'!Q49="","ERROR","OK"),IF('202'!Q49="","OK","ERROR")))</f>
        <v>ERROR</v>
      </c>
      <c r="N38" s="2038"/>
    </row>
    <row r="39" spans="1:14" s="2505" customFormat="1" ht="15" x14ac:dyDescent="0.25">
      <c r="B39" s="2469"/>
      <c r="C39" s="665" t="s">
        <v>5460</v>
      </c>
      <c r="D39" s="2472"/>
      <c r="M39" s="2478" t="str">
        <f>IF('202'!T1="NA","OK",IF('202'!M49="",IF('202'!Q49="","ERROR",IF('202'!E55="","OK","ERROR")),IF('202'!E55="","ERROR","OK")))</f>
        <v>ERROR</v>
      </c>
      <c r="N39" s="2038"/>
    </row>
    <row r="40" spans="1:14" x14ac:dyDescent="0.2">
      <c r="A40" s="2467"/>
      <c r="B40" s="2469"/>
      <c r="C40" s="665" t="s">
        <v>5415</v>
      </c>
      <c r="D40" s="665"/>
      <c r="E40" s="2467"/>
      <c r="F40" s="2467"/>
      <c r="G40" s="2467"/>
      <c r="H40" s="2467"/>
      <c r="I40" s="2467"/>
      <c r="J40" s="2467"/>
      <c r="K40" s="2467"/>
      <c r="L40" s="2467"/>
      <c r="M40" s="2484" t="str">
        <f>IF('202'!T1="NA","OK",IF('202'!M57="",IF('202'!Q57="","ERROR","OK"),IF('202'!Q57="","OK","ERROR")))</f>
        <v>ERROR</v>
      </c>
      <c r="N40" s="2038"/>
    </row>
    <row r="41" spans="1:14" s="2505" customFormat="1" ht="15" x14ac:dyDescent="0.25">
      <c r="B41" s="2469"/>
      <c r="C41" s="665" t="s">
        <v>5461</v>
      </c>
      <c r="D41" s="2472"/>
      <c r="M41" s="2478" t="str">
        <f>IF('202'!T1="NA","OK",IF('202'!M57="",IF('202'!Q57="","ERROR",IF('202'!E63="","OK","ERROR")),IF('202'!E63="","ERROR","OK")))</f>
        <v>ERROR</v>
      </c>
      <c r="N41" s="2038"/>
    </row>
    <row r="42" spans="1:14" x14ac:dyDescent="0.2">
      <c r="A42" s="2467"/>
      <c r="B42" s="2469"/>
      <c r="C42" s="665" t="s">
        <v>5431</v>
      </c>
      <c r="D42" s="665"/>
      <c r="E42" s="2467"/>
      <c r="F42" s="2467"/>
      <c r="G42" s="2467"/>
      <c r="H42" s="2467"/>
      <c r="I42" s="2467"/>
      <c r="J42" s="2467"/>
      <c r="K42" s="2467"/>
      <c r="L42" s="2467"/>
      <c r="M42" s="2478" t="str">
        <f>IF('202'!T1="NA","OK",IF(AND(ISBLANK('202'!E69),ISBLANK('202'!I69),ISBLANK('202'!M69))=TRUE,"ERROR",IF(COUNTIF('202'!E69:M69,"")&gt;1,"OK","ERROR")))</f>
        <v>ERROR</v>
      </c>
      <c r="N42" s="2038"/>
    </row>
    <row r="43" spans="1:14" s="2505" customFormat="1" ht="15" x14ac:dyDescent="0.25">
      <c r="B43" s="2469"/>
      <c r="C43" s="665" t="s">
        <v>5462</v>
      </c>
      <c r="D43" s="2472"/>
      <c r="M43" s="2478" t="str">
        <f>IF('202'!T1="NA","OK",IF('202'!I69="","OK",IF('202'!C72="","ERROR","OK")))</f>
        <v>OK</v>
      </c>
      <c r="N43" s="2038"/>
    </row>
    <row r="44" spans="1:14" x14ac:dyDescent="0.2">
      <c r="A44" s="2467"/>
      <c r="B44" s="2469"/>
      <c r="C44" s="665" t="s">
        <v>5417</v>
      </c>
      <c r="D44" s="665"/>
      <c r="E44" s="2467"/>
      <c r="F44" s="2467"/>
      <c r="G44" s="2467"/>
      <c r="H44" s="2467"/>
      <c r="I44" s="2467"/>
      <c r="J44" s="2467"/>
      <c r="K44" s="2467"/>
      <c r="L44" s="2467"/>
      <c r="M44" s="2484" t="str">
        <f>IF('203'!T1="NA","OK",IF('203'!E16="",IF('203'!J16="","ERROR","OK"),IF('203'!Q16="","OK","ERROR")))</f>
        <v>ERROR</v>
      </c>
      <c r="N44" s="2038"/>
    </row>
    <row r="45" spans="1:14" x14ac:dyDescent="0.2">
      <c r="A45" s="2467"/>
      <c r="B45" s="2469"/>
      <c r="C45" s="665" t="s">
        <v>5418</v>
      </c>
      <c r="D45" s="665"/>
      <c r="E45" s="2467"/>
      <c r="F45" s="2467"/>
      <c r="G45" s="2467"/>
      <c r="H45" s="2467"/>
      <c r="I45" s="2467"/>
      <c r="J45" s="2467"/>
      <c r="K45" s="2467"/>
      <c r="L45" s="2467"/>
      <c r="M45" s="2484" t="str">
        <f>IF('203'!T1="NA","OK",IF('203'!E28="",IF('203'!J28="","ERROR","OK"),IF('203'!J28="","OK","ERROR")))</f>
        <v>ERROR</v>
      </c>
      <c r="N45" s="2038"/>
    </row>
    <row r="46" spans="1:14" s="2505" customFormat="1" ht="15" x14ac:dyDescent="0.25">
      <c r="B46" s="2469"/>
      <c r="C46" s="665" t="s">
        <v>5458</v>
      </c>
      <c r="D46" s="2472"/>
      <c r="M46" s="2478" t="str">
        <f>IF('203'!T1="NA","OK",IF('203'!E28="",IF('203'!J28="","ERROR",IF('203'!C35="","OK","ERROR")),IF('203'!C35="","ERROR","OK")))</f>
        <v>ERROR</v>
      </c>
      <c r="N46" s="2038"/>
    </row>
    <row r="47" spans="1:14" x14ac:dyDescent="0.2">
      <c r="A47" s="2467"/>
      <c r="B47" s="2469"/>
      <c r="C47" s="665" t="s">
        <v>5419</v>
      </c>
      <c r="D47" s="665"/>
      <c r="E47" s="2467"/>
      <c r="F47" s="2467"/>
      <c r="G47" s="2467"/>
      <c r="H47" s="2467"/>
      <c r="I47" s="2467"/>
      <c r="J47" s="2467"/>
      <c r="K47" s="2467"/>
      <c r="L47" s="2467"/>
      <c r="M47" s="2484" t="str">
        <f>IF('203'!T1="NA","OK",IF('203'!E50="",IF('203'!J50="","ERROR","OK"),IF('203'!J50="","OK","ERROR")))</f>
        <v>ERROR</v>
      </c>
      <c r="N47" s="2038"/>
    </row>
    <row r="48" spans="1:14" s="2505" customFormat="1" ht="15" x14ac:dyDescent="0.25">
      <c r="B48" s="2469"/>
      <c r="C48" s="665" t="s">
        <v>5459</v>
      </c>
      <c r="D48" s="2472"/>
      <c r="M48" s="2478" t="str">
        <f>IF('203'!T1="NA","OK",IF('203'!E50="",IF('203'!J50="","ERROR",IF('203'!C56="","OK","ERROR")),IF('203'!C56="","ERROR","OK")))</f>
        <v>ERROR</v>
      </c>
      <c r="N48" s="2038"/>
    </row>
    <row r="49" spans="2:16" s="2648" customFormat="1" x14ac:dyDescent="0.2">
      <c r="B49" s="2469"/>
      <c r="C49" s="665" t="s">
        <v>5698</v>
      </c>
      <c r="D49" s="665"/>
      <c r="M49" s="2478" t="str">
        <f>IF('203'!T1="NA","OK",IF('203'!E64="",IF('203'!J64="","ERROR","OK"),IF('203'!J64="","OK","ERROR")))</f>
        <v>ERROR</v>
      </c>
      <c r="N49" s="2038"/>
    </row>
    <row r="50" spans="2:16" s="2648" customFormat="1" x14ac:dyDescent="0.2">
      <c r="B50" s="2469"/>
      <c r="C50" s="665" t="s">
        <v>5699</v>
      </c>
      <c r="D50" s="665"/>
      <c r="M50" s="2478" t="str">
        <f>IF('203'!T1="NA","OK",IF('203'!E93="",IF('203'!J93="","ERROR","OK"),IF('203'!J93="","OK","ERROR")))</f>
        <v>ERROR</v>
      </c>
      <c r="N50" s="2038"/>
    </row>
    <row r="51" spans="2:16" s="2503" customFormat="1" x14ac:dyDescent="0.2">
      <c r="B51" s="2469"/>
      <c r="C51" s="665" t="s">
        <v>5447</v>
      </c>
      <c r="D51" s="665"/>
      <c r="M51" s="2495" t="str">
        <f>IF('203'!T1="NA","OK",IF(ISBLANK('203'!C120),"ERROR","OK"))</f>
        <v>ERROR</v>
      </c>
      <c r="N51" s="2038"/>
    </row>
    <row r="52" spans="2:16" s="2648" customFormat="1" x14ac:dyDescent="0.2">
      <c r="B52" s="2469"/>
      <c r="C52" s="665" t="s">
        <v>5701</v>
      </c>
      <c r="D52" s="665"/>
      <c r="E52" s="665"/>
      <c r="M52" s="2495" t="str">
        <f>IF('301'!AD1="NA","OK",IF('301'!G56="",IF('301'!K56="","ERROR","OK"),IF('301'!K56="","OK","ERROR")))</f>
        <v>ERROR</v>
      </c>
      <c r="N52" s="2038"/>
    </row>
    <row r="53" spans="2:16" s="2648" customFormat="1" x14ac:dyDescent="0.2">
      <c r="B53" s="2469"/>
      <c r="C53" s="665" t="s">
        <v>5702</v>
      </c>
      <c r="D53" s="665"/>
      <c r="E53" s="665"/>
      <c r="M53" s="2495" t="str">
        <f>IF('301'!AD1="NA","OK",IF('301'!G56="",IF('301'!K56="","ERROR",IF('301'!G58="","OK","ERROR")),IF('301'!G58="","ERROR","OK")))</f>
        <v>ERROR</v>
      </c>
      <c r="N53" s="2038"/>
    </row>
    <row r="54" spans="2:16" s="2648" customFormat="1" x14ac:dyDescent="0.2">
      <c r="B54" s="2469"/>
      <c r="C54" s="665" t="s">
        <v>5703</v>
      </c>
      <c r="D54" s="665"/>
      <c r="E54" s="665"/>
      <c r="M54" s="2495" t="str">
        <f>IF('301'!AD1="NA","OK",IF(AND(ISBLANK('301'!E63),ISBLANK('301'!G63),ISBLANK('301'!K63))=TRUE,"ERROR",IF(COUNTIF('301'!E63:K63,"")&gt;1,"OK","ERROR")))</f>
        <v>ERROR</v>
      </c>
      <c r="N54" s="2038"/>
    </row>
    <row r="55" spans="2:16" s="2648" customFormat="1" x14ac:dyDescent="0.2">
      <c r="B55" s="2469"/>
      <c r="C55" s="665" t="s">
        <v>5702</v>
      </c>
      <c r="D55" s="665"/>
      <c r="E55" s="665"/>
      <c r="M55" s="2495" t="str">
        <f>IF('301'!AD1="NA","OK",IF('301'!E53="","OK",IF('301'!G65="","ERROR","OK")))</f>
        <v>OK</v>
      </c>
      <c r="N55" s="2038"/>
      <c r="P55" s="2648" t="s">
        <v>973</v>
      </c>
    </row>
    <row r="56" spans="2:16" s="2648" customFormat="1" x14ac:dyDescent="0.2">
      <c r="B56" s="2469"/>
      <c r="C56" s="665" t="s">
        <v>5706</v>
      </c>
      <c r="D56" s="665"/>
      <c r="E56" s="665"/>
      <c r="M56" s="2495" t="str">
        <f>IF('301'!AD1="NA","OK",IF('301'!G72="",IF('301'!K72="","ERROR","OK"),IF('301'!K72="","OK","ERROR")))</f>
        <v>ERROR</v>
      </c>
      <c r="N56" s="2038"/>
    </row>
    <row r="57" spans="2:16" s="2648" customFormat="1" x14ac:dyDescent="0.2">
      <c r="B57" s="2469"/>
      <c r="C57" s="665" t="s">
        <v>5704</v>
      </c>
      <c r="D57" s="665"/>
      <c r="E57" s="665"/>
      <c r="M57" s="2495" t="str">
        <f>IF('301'!AD1="NA","OK",IF('301'!G77="",IF('301'!K77="","ERROR","OK"),IF('301'!K77="","OK","ERROR")))</f>
        <v>ERROR</v>
      </c>
      <c r="N57" s="2038"/>
    </row>
    <row r="58" spans="2:16" s="2648" customFormat="1" x14ac:dyDescent="0.2">
      <c r="B58" s="2469"/>
      <c r="C58" s="665" t="s">
        <v>5702</v>
      </c>
      <c r="D58" s="665"/>
      <c r="E58" s="665"/>
      <c r="M58" s="2495" t="str">
        <f>IF('301'!AD1="NA","OK",IF('301'!G77="",IF('301'!K77="","ERROR",IF('301'!G79="","OK","ERROR")),IF('301'!G79="","ERROR","OK")))</f>
        <v>ERROR</v>
      </c>
      <c r="N58" s="2038"/>
    </row>
    <row r="59" spans="2:16" s="2648" customFormat="1" x14ac:dyDescent="0.2">
      <c r="B59" s="2469"/>
      <c r="C59" s="665" t="s">
        <v>5705</v>
      </c>
      <c r="D59" s="665"/>
      <c r="E59" s="665"/>
      <c r="M59" s="2495" t="str">
        <f>IF('301'!AD1="NA","OK",IF(AND(ISBLANK('301'!E84),ISBLANK('301'!G84),ISBLANK('301'!K84))=TRUE,"ERROR",IF(COUNTIF('301'!E84:K84,"")&gt;1,"OK","ERROR")))</f>
        <v>ERROR</v>
      </c>
      <c r="N59" s="2038"/>
    </row>
    <row r="60" spans="2:16" s="2648" customFormat="1" x14ac:dyDescent="0.2">
      <c r="B60" s="2469"/>
      <c r="C60" s="665" t="s">
        <v>5702</v>
      </c>
      <c r="D60" s="665"/>
      <c r="E60" s="665"/>
      <c r="M60" s="2495" t="str">
        <f>IF('301'!AD1="NA","OK",IF('301'!E84="","OK",IF('301'!G86="","ERROR","OK")))</f>
        <v>OK</v>
      </c>
      <c r="N60" s="2038"/>
    </row>
    <row r="61" spans="2:16" s="2648" customFormat="1" x14ac:dyDescent="0.2">
      <c r="B61" s="2469"/>
      <c r="C61" s="665" t="s">
        <v>5700</v>
      </c>
      <c r="D61" s="665"/>
      <c r="M61" s="2495" t="str">
        <f>IF('305'!P1="NA","OK",IF('305'!K43="",IF('305'!O43="","ERROR","OK"),IF('305'!O43="","OK","ERROR")))</f>
        <v>ERROR</v>
      </c>
      <c r="N61" s="2038"/>
    </row>
    <row r="62" spans="2:16" s="2505" customFormat="1" x14ac:dyDescent="0.2">
      <c r="B62" s="2469"/>
      <c r="C62" s="665" t="s">
        <v>5465</v>
      </c>
      <c r="D62" s="665"/>
      <c r="M62" s="2484" t="str">
        <f>IF('322'!N1="NA","OK",IF('322'!C28="",IF('322'!C29="","ERROR","OK"),IF('203'!C29="","OK","ERROR")))</f>
        <v>ERROR</v>
      </c>
      <c r="N62" s="2038"/>
    </row>
    <row r="63" spans="2:16" s="2505" customFormat="1" x14ac:dyDescent="0.2">
      <c r="B63" s="2469"/>
      <c r="C63" s="665" t="s">
        <v>5466</v>
      </c>
      <c r="D63" s="665"/>
      <c r="M63" s="2495" t="str">
        <f>IF('330'!O1="NA","OK",IF('330'!M58='330'!M63,"OK","ERROR"))</f>
        <v>OK</v>
      </c>
      <c r="N63" s="2038"/>
    </row>
    <row r="64" spans="2:16" s="2504" customFormat="1" x14ac:dyDescent="0.2">
      <c r="B64" s="2469"/>
      <c r="C64" s="665" t="s">
        <v>5448</v>
      </c>
      <c r="D64" s="665"/>
      <c r="M64" s="2484" t="str">
        <f>IF('338'!J1="NA","OK",IF('338'!D28="",IF('338'!D29="","ERROR","OK"),IF('338'!D29="","OK","ERROR")))</f>
        <v>ERROR</v>
      </c>
      <c r="N64" s="2038"/>
    </row>
    <row r="65" spans="1:14" x14ac:dyDescent="0.2">
      <c r="A65" s="2467"/>
      <c r="B65" s="2469"/>
      <c r="C65" s="665" t="s">
        <v>5421</v>
      </c>
      <c r="D65" s="665"/>
      <c r="E65" s="2467"/>
      <c r="F65" s="2467"/>
      <c r="G65" s="2467"/>
      <c r="H65" s="2467"/>
      <c r="I65" s="2467"/>
      <c r="J65" s="2467"/>
      <c r="K65" s="2467"/>
      <c r="L65" s="2467"/>
      <c r="M65" s="2484" t="str">
        <f>IF('345'!F30="",IF('345'!I30="","ERROR","OK"),IF('345'!I30="","OK","ERROR"))</f>
        <v>ERROR</v>
      </c>
      <c r="N65" s="2467"/>
    </row>
    <row r="66" spans="1:14" s="2482" customFormat="1" x14ac:dyDescent="0.2">
      <c r="B66" s="2469"/>
      <c r="C66" s="665" t="s">
        <v>5422</v>
      </c>
      <c r="D66" s="665"/>
      <c r="M66" s="2484" t="str">
        <f>IF('345'!F39="",IF('345'!I39="","ERROR","OK"),IF('345'!I39="","OK","ERROR"))</f>
        <v>ERROR</v>
      </c>
    </row>
    <row r="67" spans="1:14" s="2505" customFormat="1" ht="15" x14ac:dyDescent="0.25">
      <c r="B67" s="2469"/>
      <c r="C67" s="665" t="s">
        <v>5467</v>
      </c>
      <c r="D67" s="2472"/>
      <c r="M67" s="2478" t="str">
        <f>IF('345'!F39="",IF('345'!I39="","ERROR",IF('345'!D43="","OK","ERROR")),IF('345'!D43="","ERROR","OK"))</f>
        <v>ERROR</v>
      </c>
    </row>
    <row r="68" spans="1:14" s="2482" customFormat="1" x14ac:dyDescent="0.2">
      <c r="B68" s="2469"/>
      <c r="C68" s="665" t="s">
        <v>5420</v>
      </c>
      <c r="D68" s="665"/>
      <c r="M68" s="2484" t="str">
        <f>IF('345'!K52="",IF('345'!K53="","ERROR","OK"),IF('345'!K53="","OK","ERROR"))</f>
        <v>ERROR</v>
      </c>
    </row>
    <row r="69" spans="1:14" x14ac:dyDescent="0.2">
      <c r="A69" s="2467"/>
      <c r="B69" s="2469"/>
      <c r="C69" s="665" t="s">
        <v>5432</v>
      </c>
      <c r="D69" s="665"/>
      <c r="E69" s="2467"/>
      <c r="F69" s="2467"/>
      <c r="G69" s="2467"/>
      <c r="H69" s="2467"/>
      <c r="I69" s="2467"/>
      <c r="J69" s="2467"/>
      <c r="K69" s="2467"/>
      <c r="L69" s="2467"/>
      <c r="M69" s="2484" t="str">
        <f>IF('355'!C29="",IF('355'!E29="","ERROR","OK"),IF('355'!E29="","OK","ERROR"))</f>
        <v>ERROR</v>
      </c>
      <c r="N69" s="2467"/>
    </row>
    <row r="70" spans="1:14" s="2488" customFormat="1" x14ac:dyDescent="0.2">
      <c r="B70" s="2469"/>
      <c r="C70" s="665" t="s">
        <v>5433</v>
      </c>
      <c r="D70" s="665"/>
      <c r="M70" s="2484" t="str">
        <f>IF('355'!J43="",IF('355'!L43="","ERROR","OK"),IF('355'!L43="","OK","ERROR"))</f>
        <v>ERROR</v>
      </c>
    </row>
    <row r="71" spans="1:14" s="2505" customFormat="1" x14ac:dyDescent="0.2">
      <c r="B71" s="2469"/>
      <c r="C71" s="665" t="s">
        <v>5468</v>
      </c>
      <c r="D71" s="665"/>
      <c r="M71" s="2484" t="str">
        <f>IF('370'!J1="NA","OK",IF('370'!H18="",IF('370'!J18="","ERROR","OK"),IF('370'!J18="","OK","ERROR")))</f>
        <v>ERROR</v>
      </c>
      <c r="N71" s="2038"/>
    </row>
    <row r="72" spans="1:14" s="2505" customFormat="1" x14ac:dyDescent="0.2">
      <c r="B72" s="2469"/>
      <c r="C72" s="665" t="s">
        <v>5469</v>
      </c>
      <c r="D72" s="665"/>
      <c r="M72" s="2484" t="str">
        <f>IF('370'!J1="NA","OK",IF('370'!H20="",IF('370'!J20="","ERROR","OK"),IF('370'!J20="","OK","ERROR")))</f>
        <v>ERROR</v>
      </c>
      <c r="N72" s="2038"/>
    </row>
    <row r="73" spans="1:14" s="2490" customFormat="1" x14ac:dyDescent="0.2">
      <c r="B73" s="2469"/>
      <c r="C73" s="665" t="s">
        <v>5434</v>
      </c>
      <c r="D73" s="665"/>
      <c r="M73" s="2484" t="str">
        <f>IF('375-A'!L1="NA","OK",IF('375-A'!C21="",IF('375-A'!C22="","ERROR","OK"),IF('375-A'!C22="","OK","ERROR")))</f>
        <v>ERROR</v>
      </c>
      <c r="N73" s="2038"/>
    </row>
    <row r="74" spans="1:14" s="2505" customFormat="1" ht="15" x14ac:dyDescent="0.25">
      <c r="B74" s="2469"/>
      <c r="C74" s="665" t="s">
        <v>5470</v>
      </c>
      <c r="D74" s="2472"/>
      <c r="M74" s="2478" t="str">
        <f>IF('375-A'!L1="NA","OK",IF('375-A'!C21="",IF('375-A'!C22="","ERROR",IF('375-A'!A31="","OK","ERROR")),IF('375-A'!A31="","ERROR","OK")))</f>
        <v>ERROR</v>
      </c>
      <c r="N74" s="2038"/>
    </row>
    <row r="75" spans="1:14" s="2490" customFormat="1" x14ac:dyDescent="0.2">
      <c r="B75" s="2469"/>
      <c r="C75" s="665" t="s">
        <v>5435</v>
      </c>
      <c r="D75" s="665"/>
      <c r="M75" s="2484" t="str">
        <f>IF('375-B'!L1="NA","OK",IF('375-B'!C20="",IF('375-B'!C21="","ERROR","OK"),IF('375-B'!C21="","OK","ERROR")))</f>
        <v>ERROR</v>
      </c>
      <c r="N75" s="2038"/>
    </row>
    <row r="76" spans="1:14" s="2505" customFormat="1" ht="15" x14ac:dyDescent="0.25">
      <c r="B76" s="2469"/>
      <c r="C76" s="665" t="s">
        <v>5471</v>
      </c>
      <c r="D76" s="2472"/>
      <c r="M76" s="2478" t="str">
        <f>IF('375-B'!L1="NA","OK",IF('375-B'!C20="",IF('375-B'!C21="","ERROR",IF('375-B'!A30="","OK","ERROR")),IF('375-B'!A30="","ERROR","OK")))</f>
        <v>ERROR</v>
      </c>
      <c r="N76" s="2038"/>
    </row>
    <row r="77" spans="1:14" s="2482" customFormat="1" x14ac:dyDescent="0.2">
      <c r="A77" s="2485"/>
      <c r="B77" s="2487"/>
      <c r="C77" s="2486" t="s">
        <v>5423</v>
      </c>
      <c r="D77" s="665"/>
      <c r="M77" s="2484" t="str">
        <f>IF('425'!D17="",IF('425'!H17="","ERROR","OK"),IF('425'!H17="","OK","ERROR"))</f>
        <v>ERROR</v>
      </c>
    </row>
    <row r="78" spans="1:14" s="2505" customFormat="1" ht="15" x14ac:dyDescent="0.25">
      <c r="A78" s="2485"/>
      <c r="B78" s="2487"/>
      <c r="C78" s="665" t="s">
        <v>5472</v>
      </c>
      <c r="D78" s="2472"/>
      <c r="M78" s="2478" t="str">
        <f>IF('425'!D17="",IF('425'!H17="","ERROR",IF('425'!B20="","OK","ERROR")),IF('425'!B20="","ERROR","OK"))</f>
        <v>ERROR</v>
      </c>
    </row>
    <row r="79" spans="1:14" s="2493" customFormat="1" x14ac:dyDescent="0.2">
      <c r="B79" s="2469"/>
      <c r="C79" s="665" t="s">
        <v>5438</v>
      </c>
      <c r="D79" s="665"/>
      <c r="M79" s="2484" t="str">
        <f>IF('501'!U1="NA","OK",IF('501'!H32='501'!R32,"OK","ERROR"))</f>
        <v>OK</v>
      </c>
      <c r="N79" s="2038"/>
    </row>
    <row r="80" spans="1:14" s="2496" customFormat="1" x14ac:dyDescent="0.2">
      <c r="B80" s="2469"/>
      <c r="C80" s="665" t="s">
        <v>5439</v>
      </c>
      <c r="D80" s="665"/>
      <c r="M80" s="2484" t="str">
        <f>IF('540'!AI1="NA","OK",IF('540'!H28='540'!P28,"OK","ERROR"))</f>
        <v>OK</v>
      </c>
      <c r="N80" s="2038"/>
    </row>
    <row r="81" spans="1:14" x14ac:dyDescent="0.2">
      <c r="A81" s="2467"/>
      <c r="B81" s="2469"/>
      <c r="C81" s="665" t="s">
        <v>5440</v>
      </c>
      <c r="D81" s="2467"/>
      <c r="E81" s="2467"/>
      <c r="F81" s="2467"/>
      <c r="G81" s="2467"/>
      <c r="H81" s="2467"/>
      <c r="I81" s="2467"/>
      <c r="J81" s="2467"/>
      <c r="K81" s="2467"/>
      <c r="L81" s="2467"/>
      <c r="M81" s="2484" t="str">
        <f>IF('545'!AF1="NA","OK",IF('545'!H33='545'!P33,"OK","ERROR"))</f>
        <v>OK</v>
      </c>
      <c r="N81" s="2038"/>
    </row>
    <row r="82" spans="1:14" x14ac:dyDescent="0.2">
      <c r="A82" s="2467"/>
      <c r="B82" s="2469"/>
      <c r="C82" s="665" t="s">
        <v>5408</v>
      </c>
      <c r="D82" s="665"/>
      <c r="E82" s="2467"/>
      <c r="F82" s="2467"/>
      <c r="G82" s="2467"/>
      <c r="H82" s="2467"/>
      <c r="I82" s="2467"/>
      <c r="J82" s="2467"/>
      <c r="K82" s="2467"/>
      <c r="L82" s="2467"/>
      <c r="M82" s="2484" t="str">
        <f>IF('602'!P1="NA","OK",IF('602'!K14&lt;0.01,"ERROR",IF('602'!K31&lt;0.01,"ERROR",IF('602'!K48&lt;0.01,"ERROR","OK"))))</f>
        <v>ERROR</v>
      </c>
      <c r="N82" s="2038"/>
    </row>
    <row r="83" spans="1:14" s="2492" customFormat="1" x14ac:dyDescent="0.2">
      <c r="B83" s="2469"/>
      <c r="C83" s="665" t="s">
        <v>5436</v>
      </c>
      <c r="D83" s="665"/>
      <c r="M83" s="2495" t="str">
        <f>IF('605'!P1="NA","OK",IF(ISBLANK('605'!M35),"ERROR","OK"))</f>
        <v>ERROR</v>
      </c>
      <c r="N83" s="2038"/>
    </row>
    <row r="84" spans="1:14" x14ac:dyDescent="0.2">
      <c r="A84" s="2467"/>
      <c r="B84" s="2469"/>
      <c r="C84" s="665" t="s">
        <v>5437</v>
      </c>
      <c r="D84" s="665"/>
      <c r="E84" s="2467"/>
      <c r="F84" s="2467"/>
      <c r="G84" s="2467"/>
      <c r="H84" s="2467"/>
      <c r="I84" s="2467"/>
      <c r="J84" s="2467"/>
      <c r="K84" s="2467"/>
      <c r="L84" s="2467"/>
      <c r="M84" s="2495" t="str">
        <f>IF('610'!I1="NA","OK",IF(ISBLANK('610'!G29),"ERROR","OK"))</f>
        <v>ERROR</v>
      </c>
      <c r="N84" s="2038"/>
    </row>
    <row r="85" spans="1:14" s="2612" customFormat="1" x14ac:dyDescent="0.2">
      <c r="B85" s="2469"/>
      <c r="C85" s="665" t="s">
        <v>5592</v>
      </c>
      <c r="D85" s="665"/>
      <c r="M85" s="2495" t="str">
        <f>IF('616'!K1="NA","OK",IF('616'!D30='905'!F25,"OK","ERROR"))</f>
        <v>OK</v>
      </c>
      <c r="N85" s="2038"/>
    </row>
    <row r="86" spans="1:14" s="2612" customFormat="1" x14ac:dyDescent="0.2">
      <c r="B86" s="2469"/>
      <c r="C86" s="665" t="s">
        <v>5593</v>
      </c>
      <c r="D86" s="665"/>
      <c r="M86" s="2495" t="str">
        <f>IF('616'!K1="NA","OK",IF('616'!D47='905'!F111,"OK","ERROR"))</f>
        <v>OK</v>
      </c>
      <c r="N86" s="2038"/>
    </row>
    <row r="87" spans="1:14" s="2612" customFormat="1" x14ac:dyDescent="0.2">
      <c r="B87" s="2469"/>
      <c r="C87" s="2613" t="s">
        <v>5594</v>
      </c>
      <c r="M87" s="2495" t="str">
        <f>IF('710'!S1="NA","OK",IF('710'!K38=('710'!M38+'710'!O38+'710'!Q38),"OK","ERROR"))</f>
        <v>OK</v>
      </c>
      <c r="N87" s="2038"/>
    </row>
    <row r="88" spans="1:14" s="2612" customFormat="1" x14ac:dyDescent="0.2">
      <c r="B88" s="2469"/>
      <c r="C88" s="2613" t="s">
        <v>5595</v>
      </c>
      <c r="M88" s="2495" t="str">
        <f ca="1">IF('720'!R1="NA","OK",IF('720'!I35=('720'!K35+'720'!M35+'720'!O35+'720'!Q35),"OK","ERROR"))</f>
        <v>OK</v>
      </c>
      <c r="N88" s="2038"/>
    </row>
    <row r="89" spans="1:14" s="2612" customFormat="1" x14ac:dyDescent="0.2">
      <c r="B89" s="2469"/>
      <c r="C89" s="2613" t="s">
        <v>5596</v>
      </c>
      <c r="M89" s="2495" t="str">
        <f>IF('725'!R4="NA","OK",IF(AND(ISBLANK('725'!J37),ISBLANK('725'!N37),ISBLANK('725'!R37))=TRUE,"ERROR",IF(COUNTA('725'!J37:R37,"")&gt;4,"ERROR","OK")))</f>
        <v>ERROR</v>
      </c>
      <c r="N89" s="2038" t="s">
        <v>973</v>
      </c>
    </row>
    <row r="90" spans="1:14" s="2612" customFormat="1" x14ac:dyDescent="0.2">
      <c r="B90" s="2469"/>
      <c r="C90" s="2613" t="s">
        <v>5597</v>
      </c>
      <c r="M90" s="2495" t="str">
        <f>IF('725'!R4="NA","OK",IF('725'!J37="","OK",IF('725'!D42="","ERROR","OK")))</f>
        <v>OK</v>
      </c>
      <c r="N90" s="2038"/>
    </row>
    <row r="91" spans="1:14" s="2612" customFormat="1" x14ac:dyDescent="0.2">
      <c r="B91" s="2469"/>
      <c r="C91" s="2613" t="s">
        <v>5598</v>
      </c>
      <c r="M91" s="2495" t="str">
        <f>IF('755'!U1="NA","OK",IF('755'!O80="",IF('755'!O81="","ERROR","OK"),IF('755'!O81="","OK","ERROR")))</f>
        <v>ERROR</v>
      </c>
      <c r="N91" s="2038"/>
    </row>
    <row r="92" spans="1:14" s="2612" customFormat="1" x14ac:dyDescent="0.2">
      <c r="B92" s="2469"/>
      <c r="C92" s="2613" t="s">
        <v>5599</v>
      </c>
      <c r="M92" s="2495" t="str">
        <f>IF('755'!U1="NA","OK",IF('755'!O83="",IF('755'!O84="","ERROR","OK"),IF('755'!O84="","OK","ERROR")))</f>
        <v>ERROR</v>
      </c>
      <c r="N92" s="2038"/>
    </row>
    <row r="93" spans="1:14" s="2612" customFormat="1" x14ac:dyDescent="0.2">
      <c r="B93" s="2469"/>
      <c r="C93" s="2613" t="s">
        <v>5600</v>
      </c>
      <c r="M93" s="2495" t="str">
        <f>IF('765'!J1="NA","OK",IF('765'!D33="",IF('765'!D34="","ERROR","OK"),IF('765'!D34="","OK","ERROR")))</f>
        <v>ERROR</v>
      </c>
      <c r="N93" s="2038"/>
    </row>
    <row r="94" spans="1:14" s="2612" customFormat="1" x14ac:dyDescent="0.2">
      <c r="B94" s="2469"/>
      <c r="C94" s="2613" t="s">
        <v>5601</v>
      </c>
      <c r="M94" s="2495" t="str">
        <f>IF('765'!J1="NA","OK",IF('765'!D48="",IF('765'!D49="","ERROR","OK"),IF('765'!D49="","OK","ERROR")))</f>
        <v>ERROR</v>
      </c>
      <c r="N94" s="2038"/>
    </row>
    <row r="95" spans="1:14" s="2494" customFormat="1" x14ac:dyDescent="0.2">
      <c r="B95" s="2469"/>
      <c r="C95" s="665" t="s">
        <v>5442</v>
      </c>
      <c r="M95" s="2497" t="str">
        <f>IF('905'!H1="NA","OK",IF('905'!F189="0","OK","ERROR"))</f>
        <v>ERROR</v>
      </c>
      <c r="N95" s="2038"/>
    </row>
    <row r="96" spans="1:14" s="2494" customFormat="1" x14ac:dyDescent="0.2">
      <c r="B96" s="2469"/>
      <c r="C96" s="665" t="s">
        <v>5707</v>
      </c>
      <c r="M96" s="2501" t="str">
        <f>IF('905'!H1="NA","OK",IF('905'!F256="OK","OK","ERROR"))</f>
        <v>ERROR</v>
      </c>
      <c r="N96" s="2038"/>
    </row>
    <row r="97" spans="1:14" s="2493" customFormat="1" x14ac:dyDescent="0.2">
      <c r="B97" s="2469"/>
      <c r="C97" s="665" t="s">
        <v>5443</v>
      </c>
      <c r="M97" s="2495" t="str">
        <f>IF('905'!H1="NA","OK",IF(ISBLANK('905'!A265),"ERROR","OK"))</f>
        <v>ERROR</v>
      </c>
      <c r="N97" s="2038"/>
    </row>
    <row r="98" spans="1:14" s="2612" customFormat="1" x14ac:dyDescent="0.2">
      <c r="B98" s="2469"/>
      <c r="C98" s="2613" t="s">
        <v>5602</v>
      </c>
      <c r="M98" s="2495" t="str">
        <f>IF('906-6B'!K1="NA","OK",IF('906-6B'!J87='906-6B'!J56,"OK","ERROR"))</f>
        <v>ERROR</v>
      </c>
      <c r="N98" s="2038"/>
    </row>
    <row r="99" spans="1:14" s="2612" customFormat="1" x14ac:dyDescent="0.2">
      <c r="B99" s="2469"/>
      <c r="C99" s="2613" t="s">
        <v>5603</v>
      </c>
      <c r="M99" s="2495" t="str">
        <f>IF('906-6C'!K1="NA","OK",IF('906-6C'!J87='906-6C'!J56,"OK","ERROR"))</f>
        <v>ERROR</v>
      </c>
      <c r="N99" s="2038"/>
    </row>
    <row r="100" spans="1:14" s="2612" customFormat="1" x14ac:dyDescent="0.2">
      <c r="B100" s="2469"/>
      <c r="C100" s="2613" t="s">
        <v>5604</v>
      </c>
      <c r="M100" s="2495" t="str">
        <f>IF('906-6BC'!K1="NA","OK",IF('906-6BC'!J88='906-6BC'!J57,"OK","ERROR"))</f>
        <v>ERROR</v>
      </c>
      <c r="N100" s="2038" t="s">
        <v>973</v>
      </c>
    </row>
    <row r="101" spans="1:14" ht="13.5" thickBot="1" x14ac:dyDescent="0.25">
      <c r="A101" s="2467"/>
      <c r="B101" s="2470"/>
      <c r="C101" s="838"/>
      <c r="D101" s="838"/>
      <c r="E101" s="838"/>
      <c r="F101" s="838"/>
      <c r="G101" s="838"/>
      <c r="H101" s="838"/>
      <c r="I101" s="838"/>
      <c r="J101" s="838"/>
      <c r="K101" s="838"/>
      <c r="L101" s="838"/>
      <c r="M101" s="2477"/>
      <c r="N101" s="2467"/>
    </row>
    <row r="102" spans="1:14" x14ac:dyDescent="0.2">
      <c r="A102" s="2467"/>
      <c r="B102" s="2467"/>
      <c r="C102" s="2467"/>
      <c r="D102" s="2467"/>
      <c r="E102" s="2467"/>
      <c r="F102" s="2467"/>
      <c r="G102" s="2467"/>
      <c r="H102" s="2467"/>
      <c r="I102" s="2467"/>
      <c r="J102" s="2467"/>
      <c r="K102" s="2467"/>
      <c r="L102" s="2467"/>
      <c r="M102" s="2467"/>
      <c r="N102" s="2467"/>
    </row>
    <row r="103" spans="1:14" x14ac:dyDescent="0.2">
      <c r="A103" s="2467"/>
      <c r="B103" s="2467"/>
      <c r="C103" s="2467"/>
      <c r="D103" s="2467"/>
      <c r="E103" s="2467"/>
      <c r="F103" s="2467"/>
      <c r="G103" s="2467"/>
      <c r="H103" s="2467"/>
      <c r="I103" s="2467"/>
      <c r="J103" s="2467"/>
      <c r="K103" s="2467"/>
      <c r="L103" s="2467"/>
      <c r="M103" s="2467"/>
      <c r="N103" s="2467"/>
    </row>
  </sheetData>
  <sheetProtection algorithmName="SHA-512" hashValue="o23aW/6XkncBpRtjfq6JTJCSL6XvEH39vjl804zy+nHD5/Qnj0u7pDlx4AZGbDGEepLFgY8Q2m+vH+PazvoRRw==" saltValue="cItQ77jXpEdW/8LCJmXrHg==" spinCount="100000" sheet="1" objects="1" scenarios="1" autoFilter="0"/>
  <mergeCells count="3">
    <mergeCell ref="A1:N1"/>
    <mergeCell ref="A2:M2"/>
    <mergeCell ref="A3:M3"/>
  </mergeCells>
  <conditionalFormatting sqref="M82 M79:M80 M13:M24">
    <cfRule type="cellIs" dxfId="271" priority="148" operator="equal">
      <formula>"ERROR"</formula>
    </cfRule>
    <cfRule type="cellIs" dxfId="270" priority="149" operator="equal">
      <formula>"OK"</formula>
    </cfRule>
  </conditionalFormatting>
  <conditionalFormatting sqref="M25">
    <cfRule type="cellIs" dxfId="269" priority="130" operator="equal">
      <formula>"ERROR"</formula>
    </cfRule>
    <cfRule type="cellIs" dxfId="268" priority="131" operator="equal">
      <formula>"OK"</formula>
    </cfRule>
  </conditionalFormatting>
  <conditionalFormatting sqref="M26:M28 M87:M96 M51:M61">
    <cfRule type="cellIs" dxfId="267" priority="115" operator="equal">
      <formula>"OK"</formula>
    </cfRule>
    <cfRule type="cellIs" dxfId="266" priority="116" operator="equal">
      <formula>"ERROR"</formula>
    </cfRule>
  </conditionalFormatting>
  <conditionalFormatting sqref="M29">
    <cfRule type="cellIs" dxfId="265" priority="93" operator="equal">
      <formula>"OK"</formula>
    </cfRule>
    <cfRule type="cellIs" dxfId="264" priority="94" operator="equal">
      <formula>"ERROR"</formula>
    </cfRule>
  </conditionalFormatting>
  <conditionalFormatting sqref="M34">
    <cfRule type="cellIs" dxfId="263" priority="87" operator="equal">
      <formula>"OK"</formula>
    </cfRule>
    <cfRule type="cellIs" dxfId="262" priority="88" operator="equal">
      <formula>"ERROR"</formula>
    </cfRule>
  </conditionalFormatting>
  <conditionalFormatting sqref="M38">
    <cfRule type="cellIs" dxfId="261" priority="85" operator="equal">
      <formula>"OK"</formula>
    </cfRule>
    <cfRule type="cellIs" dxfId="260" priority="86" operator="equal">
      <formula>"ERROR"</formula>
    </cfRule>
  </conditionalFormatting>
  <conditionalFormatting sqref="M40">
    <cfRule type="cellIs" dxfId="259" priority="83" operator="equal">
      <formula>"OK"</formula>
    </cfRule>
    <cfRule type="cellIs" dxfId="258" priority="84" operator="equal">
      <formula>"ERROR"</formula>
    </cfRule>
  </conditionalFormatting>
  <conditionalFormatting sqref="M44">
    <cfRule type="cellIs" dxfId="257" priority="79" operator="equal">
      <formula>"OK"</formula>
    </cfRule>
    <cfRule type="cellIs" dxfId="256" priority="80" operator="equal">
      <formula>"ERROR"</formula>
    </cfRule>
  </conditionalFormatting>
  <conditionalFormatting sqref="M45">
    <cfRule type="cellIs" dxfId="255" priority="77" operator="equal">
      <formula>"OK"</formula>
    </cfRule>
    <cfRule type="cellIs" dxfId="254" priority="78" operator="equal">
      <formula>"ERROR"</formula>
    </cfRule>
  </conditionalFormatting>
  <conditionalFormatting sqref="M47">
    <cfRule type="cellIs" dxfId="253" priority="75" operator="equal">
      <formula>"OK"</formula>
    </cfRule>
    <cfRule type="cellIs" dxfId="252" priority="76" operator="equal">
      <formula>"ERROR"</formula>
    </cfRule>
  </conditionalFormatting>
  <conditionalFormatting sqref="M12">
    <cfRule type="cellIs" dxfId="251" priority="73" operator="equal">
      <formula>"OK"</formula>
    </cfRule>
    <cfRule type="cellIs" dxfId="250" priority="74" operator="equal">
      <formula>"ERROR"</formula>
    </cfRule>
  </conditionalFormatting>
  <conditionalFormatting sqref="M32">
    <cfRule type="cellIs" dxfId="249" priority="71" operator="equal">
      <formula>"ERROR"</formula>
    </cfRule>
    <cfRule type="cellIs" dxfId="248" priority="72" operator="equal">
      <formula>"OK"</formula>
    </cfRule>
  </conditionalFormatting>
  <conditionalFormatting sqref="M36">
    <cfRule type="cellIs" dxfId="247" priority="69" operator="equal">
      <formula>"ERROR"</formula>
    </cfRule>
    <cfRule type="cellIs" dxfId="246" priority="70" operator="equal">
      <formula>"OK"</formula>
    </cfRule>
  </conditionalFormatting>
  <conditionalFormatting sqref="M42">
    <cfRule type="cellIs" dxfId="245" priority="63" operator="equal">
      <formula>"ERROR"</formula>
    </cfRule>
    <cfRule type="cellIs" dxfId="244" priority="64" operator="equal">
      <formula>"OK"</formula>
    </cfRule>
  </conditionalFormatting>
  <conditionalFormatting sqref="M65">
    <cfRule type="cellIs" dxfId="243" priority="61" operator="equal">
      <formula>"OK"</formula>
    </cfRule>
    <cfRule type="cellIs" dxfId="242" priority="62" operator="equal">
      <formula>"ERROR"</formula>
    </cfRule>
  </conditionalFormatting>
  <conditionalFormatting sqref="M66">
    <cfRule type="cellIs" dxfId="241" priority="59" operator="equal">
      <formula>"OK"</formula>
    </cfRule>
    <cfRule type="cellIs" dxfId="240" priority="60" operator="equal">
      <formula>"ERROR"</formula>
    </cfRule>
  </conditionalFormatting>
  <conditionalFormatting sqref="M68">
    <cfRule type="cellIs" dxfId="239" priority="57" operator="equal">
      <formula>"ERROR"</formula>
    </cfRule>
    <cfRule type="cellIs" dxfId="238" priority="58" operator="equal">
      <formula>"OK"</formula>
    </cfRule>
  </conditionalFormatting>
  <conditionalFormatting sqref="M69">
    <cfRule type="cellIs" dxfId="237" priority="55" operator="equal">
      <formula>"ERROR"</formula>
    </cfRule>
    <cfRule type="cellIs" dxfId="236" priority="56" operator="equal">
      <formula>"OK"</formula>
    </cfRule>
  </conditionalFormatting>
  <conditionalFormatting sqref="M70">
    <cfRule type="cellIs" dxfId="235" priority="53" operator="equal">
      <formula>"ERROR"</formula>
    </cfRule>
    <cfRule type="cellIs" dxfId="234" priority="54" operator="equal">
      <formula>"OK"</formula>
    </cfRule>
  </conditionalFormatting>
  <conditionalFormatting sqref="M77">
    <cfRule type="cellIs" dxfId="233" priority="51" operator="equal">
      <formula>"ERROR"</formula>
    </cfRule>
    <cfRule type="cellIs" dxfId="232" priority="52" operator="equal">
      <formula>"OK"</formula>
    </cfRule>
  </conditionalFormatting>
  <conditionalFormatting sqref="M73">
    <cfRule type="cellIs" dxfId="231" priority="49" operator="equal">
      <formula>"OK"</formula>
    </cfRule>
    <cfRule type="cellIs" dxfId="230" priority="50" operator="equal">
      <formula>"ERROR"</formula>
    </cfRule>
  </conditionalFormatting>
  <conditionalFormatting sqref="M75">
    <cfRule type="cellIs" dxfId="229" priority="47" operator="equal">
      <formula>"OK"</formula>
    </cfRule>
    <cfRule type="cellIs" dxfId="228" priority="48" operator="equal">
      <formula>"ERROR"</formula>
    </cfRule>
  </conditionalFormatting>
  <conditionalFormatting sqref="M83">
    <cfRule type="cellIs" dxfId="227" priority="45" operator="equal">
      <formula>"OK"</formula>
    </cfRule>
    <cfRule type="cellIs" dxfId="226" priority="46" operator="equal">
      <formula>"ERROR"</formula>
    </cfRule>
  </conditionalFormatting>
  <conditionalFormatting sqref="M84:M86">
    <cfRule type="cellIs" dxfId="225" priority="43" operator="equal">
      <formula>"OK"</formula>
    </cfRule>
    <cfRule type="cellIs" dxfId="224" priority="44" operator="equal">
      <formula>"ERROR"</formula>
    </cfRule>
  </conditionalFormatting>
  <conditionalFormatting sqref="M97:M100">
    <cfRule type="cellIs" dxfId="223" priority="41" operator="equal">
      <formula>"OK"</formula>
    </cfRule>
    <cfRule type="cellIs" dxfId="222" priority="42" operator="equal">
      <formula>"ERROR"</formula>
    </cfRule>
  </conditionalFormatting>
  <conditionalFormatting sqref="M81">
    <cfRule type="cellIs" dxfId="221" priority="37" operator="equal">
      <formula>"ERROR"</formula>
    </cfRule>
    <cfRule type="cellIs" dxfId="220" priority="38" operator="equal">
      <formula>"OK"</formula>
    </cfRule>
  </conditionalFormatting>
  <conditionalFormatting sqref="M63">
    <cfRule type="cellIs" dxfId="219" priority="35" operator="equal">
      <formula>"OK"</formula>
    </cfRule>
    <cfRule type="cellIs" dxfId="218" priority="36" operator="equal">
      <formula>"ERROR"</formula>
    </cfRule>
  </conditionalFormatting>
  <conditionalFormatting sqref="M64">
    <cfRule type="cellIs" dxfId="217" priority="33" operator="equal">
      <formula>"OK"</formula>
    </cfRule>
    <cfRule type="cellIs" dxfId="216" priority="34" operator="equal">
      <formula>"ERROR"</formula>
    </cfRule>
  </conditionalFormatting>
  <conditionalFormatting sqref="M30:M31">
    <cfRule type="cellIs" dxfId="215" priority="29" operator="equal">
      <formula>"ERROR"</formula>
    </cfRule>
    <cfRule type="cellIs" dxfId="214" priority="30" operator="equal">
      <formula>"OK"</formula>
    </cfRule>
  </conditionalFormatting>
  <conditionalFormatting sqref="M33">
    <cfRule type="cellIs" dxfId="213" priority="27" operator="equal">
      <formula>"ERROR"</formula>
    </cfRule>
    <cfRule type="cellIs" dxfId="212" priority="28" operator="equal">
      <formula>"OK"</formula>
    </cfRule>
  </conditionalFormatting>
  <conditionalFormatting sqref="M46">
    <cfRule type="cellIs" dxfId="211" priority="25" operator="equal">
      <formula>"ERROR"</formula>
    </cfRule>
    <cfRule type="cellIs" dxfId="210" priority="26" operator="equal">
      <formula>"OK"</formula>
    </cfRule>
  </conditionalFormatting>
  <conditionalFormatting sqref="M48:M50">
    <cfRule type="cellIs" dxfId="209" priority="23" operator="equal">
      <formula>"ERROR"</formula>
    </cfRule>
    <cfRule type="cellIs" dxfId="208" priority="24" operator="equal">
      <formula>"OK"</formula>
    </cfRule>
  </conditionalFormatting>
  <conditionalFormatting sqref="M39">
    <cfRule type="cellIs" dxfId="207" priority="21" operator="equal">
      <formula>"ERROR"</formula>
    </cfRule>
    <cfRule type="cellIs" dxfId="206" priority="22" operator="equal">
      <formula>"OK"</formula>
    </cfRule>
  </conditionalFormatting>
  <conditionalFormatting sqref="M41">
    <cfRule type="cellIs" dxfId="205" priority="19" operator="equal">
      <formula>"ERROR"</formula>
    </cfRule>
    <cfRule type="cellIs" dxfId="204" priority="20" operator="equal">
      <formula>"OK"</formula>
    </cfRule>
  </conditionalFormatting>
  <conditionalFormatting sqref="M43">
    <cfRule type="cellIs" dxfId="203" priority="17" operator="equal">
      <formula>"ERROR"</formula>
    </cfRule>
    <cfRule type="cellIs" dxfId="202" priority="18" operator="equal">
      <formula>"OK"</formula>
    </cfRule>
  </conditionalFormatting>
  <conditionalFormatting sqref="M35">
    <cfRule type="cellIs" dxfId="201" priority="15" operator="equal">
      <formula>"ERROR"</formula>
    </cfRule>
    <cfRule type="cellIs" dxfId="200" priority="16" operator="equal">
      <formula>"OK"</formula>
    </cfRule>
  </conditionalFormatting>
  <conditionalFormatting sqref="M37">
    <cfRule type="cellIs" dxfId="199" priority="13" operator="equal">
      <formula>"ERROR"</formula>
    </cfRule>
    <cfRule type="cellIs" dxfId="198" priority="14" operator="equal">
      <formula>"OK"</formula>
    </cfRule>
  </conditionalFormatting>
  <conditionalFormatting sqref="M62">
    <cfRule type="cellIs" dxfId="197" priority="11" operator="equal">
      <formula>"OK"</formula>
    </cfRule>
    <cfRule type="cellIs" dxfId="196" priority="12" operator="equal">
      <formula>"ERROR"</formula>
    </cfRule>
  </conditionalFormatting>
  <conditionalFormatting sqref="M67">
    <cfRule type="cellIs" dxfId="195" priority="9" operator="equal">
      <formula>"ERROR"</formula>
    </cfRule>
    <cfRule type="cellIs" dxfId="194" priority="10" operator="equal">
      <formula>"OK"</formula>
    </cfRule>
  </conditionalFormatting>
  <conditionalFormatting sqref="M71:M72">
    <cfRule type="cellIs" dxfId="193" priority="7" operator="equal">
      <formula>"OK"</formula>
    </cfRule>
    <cfRule type="cellIs" dxfId="192" priority="8" operator="equal">
      <formula>"ERROR"</formula>
    </cfRule>
  </conditionalFormatting>
  <conditionalFormatting sqref="M74">
    <cfRule type="cellIs" dxfId="191" priority="5" operator="equal">
      <formula>"ERROR"</formula>
    </cfRule>
    <cfRule type="cellIs" dxfId="190" priority="6" operator="equal">
      <formula>"OK"</formula>
    </cfRule>
  </conditionalFormatting>
  <conditionalFormatting sqref="M76">
    <cfRule type="cellIs" dxfId="189" priority="3" operator="equal">
      <formula>"ERROR"</formula>
    </cfRule>
    <cfRule type="cellIs" dxfId="188" priority="4" operator="equal">
      <formula>"OK"</formula>
    </cfRule>
  </conditionalFormatting>
  <conditionalFormatting sqref="M78">
    <cfRule type="cellIs" dxfId="187" priority="1" operator="equal">
      <formula>"ERROR"</formula>
    </cfRule>
    <cfRule type="cellIs" dxfId="186" priority="2" operator="equal">
      <formula>"OK"</formula>
    </cfRule>
  </conditionalFormatting>
  <pageMargins left="0.7" right="0.7" top="0.75" bottom="0.75" header="0.3" footer="0.3"/>
  <pageSetup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workbookViewId="0">
      <selection activeCell="S15" sqref="S15"/>
    </sheetView>
  </sheetViews>
  <sheetFormatPr defaultColWidth="9.42578125" defaultRowHeight="12.75" x14ac:dyDescent="0.2"/>
  <cols>
    <col min="1" max="1" width="3.5703125" style="61" customWidth="1"/>
    <col min="2" max="2" width="10.42578125" style="61" customWidth="1"/>
    <col min="3" max="3" width="1.42578125" style="61" customWidth="1"/>
    <col min="4" max="4" width="6.5703125" style="61" customWidth="1"/>
    <col min="5" max="5" width="9.42578125" style="61"/>
    <col min="6" max="6" width="0.5703125" style="61" customWidth="1"/>
    <col min="7" max="7" width="13.42578125" style="61" customWidth="1"/>
    <col min="8" max="8" width="9.42578125" style="61"/>
    <col min="9" max="9" width="9" style="61" customWidth="1"/>
    <col min="10" max="10" width="9.42578125" style="61"/>
    <col min="11" max="11" width="16.42578125" style="61" customWidth="1"/>
    <col min="12" max="12" width="4.5703125" style="61" customWidth="1"/>
    <col min="13" max="16384" width="9.42578125" style="61"/>
  </cols>
  <sheetData>
    <row r="1" spans="1:12" s="63" customFormat="1" ht="15.75" x14ac:dyDescent="0.25">
      <c r="B1" s="2767" t="str">
        <f>+Index!$A$1</f>
        <v xml:space="preserve">                                                               Office of the State Controller                                                                </v>
      </c>
      <c r="C1" s="2767"/>
      <c r="D1" s="2767"/>
      <c r="E1" s="2767"/>
      <c r="F1" s="2767"/>
      <c r="G1" s="2767"/>
      <c r="H1" s="2767"/>
      <c r="I1" s="2767"/>
      <c r="J1" s="2767"/>
      <c r="K1" s="2767"/>
      <c r="L1" s="2768"/>
    </row>
    <row r="2" spans="1:12" s="63" customFormat="1" ht="15.75" x14ac:dyDescent="0.25">
      <c r="B2" s="2776" t="str">
        <f>+Index!$A$2</f>
        <v>2022 ACFR Worksheets</v>
      </c>
      <c r="C2" s="3019"/>
      <c r="D2" s="3019"/>
      <c r="E2" s="3019"/>
      <c r="F2" s="3019"/>
      <c r="G2" s="3019"/>
      <c r="H2" s="3019"/>
      <c r="I2" s="3019"/>
      <c r="J2" s="3019"/>
      <c r="K2" s="3019"/>
      <c r="L2" s="2768"/>
    </row>
    <row r="3" spans="1:12" s="63" customFormat="1" ht="15.75" x14ac:dyDescent="0.25">
      <c r="B3" s="2776" t="s">
        <v>3556</v>
      </c>
      <c r="C3" s="3019"/>
      <c r="D3" s="3019"/>
      <c r="E3" s="3019"/>
      <c r="F3" s="3019"/>
      <c r="G3" s="3019"/>
      <c r="H3" s="3019"/>
      <c r="I3" s="3019"/>
      <c r="J3" s="3019"/>
      <c r="K3" s="3019"/>
      <c r="L3" s="2768"/>
    </row>
    <row r="4" spans="1:12" ht="15.75" customHeight="1" x14ac:dyDescent="0.3">
      <c r="I4" s="64" t="s">
        <v>973</v>
      </c>
    </row>
    <row r="5" spans="1:12" ht="15.75" x14ac:dyDescent="0.25">
      <c r="B5" s="65" t="s">
        <v>246</v>
      </c>
      <c r="C5" s="66"/>
      <c r="D5" s="65" t="s">
        <v>971</v>
      </c>
      <c r="E5" s="66"/>
      <c r="H5" s="67" t="s">
        <v>327</v>
      </c>
      <c r="I5" s="3021" t="str">
        <f>+Index!$E$10</f>
        <v>01</v>
      </c>
      <c r="J5" s="3021"/>
      <c r="K5" s="3021"/>
      <c r="L5" s="68"/>
    </row>
    <row r="6" spans="1:12" ht="15.75" x14ac:dyDescent="0.25">
      <c r="C6" s="66"/>
      <c r="E6" s="69"/>
      <c r="H6" s="67" t="s">
        <v>1154</v>
      </c>
      <c r="I6" s="3021" t="str">
        <f>+Index!$E$11</f>
        <v>North Carolina General Assembly</v>
      </c>
      <c r="J6" s="3021"/>
      <c r="K6" s="3021"/>
      <c r="L6" s="68"/>
    </row>
    <row r="7" spans="1:12" ht="15.75" x14ac:dyDescent="0.25">
      <c r="B7" s="65"/>
      <c r="C7" s="66"/>
      <c r="E7" s="254"/>
      <c r="H7" s="67" t="s">
        <v>972</v>
      </c>
      <c r="I7" s="3024" t="str">
        <f>CONCATENATE(Index!$E$12," ",Index!$E$14)</f>
        <v xml:space="preserve"> </v>
      </c>
      <c r="J7" s="3024"/>
      <c r="K7" s="3024"/>
      <c r="L7" s="68"/>
    </row>
    <row r="8" spans="1:12" ht="15.75" x14ac:dyDescent="0.25">
      <c r="B8" s="65"/>
      <c r="C8" s="66"/>
      <c r="E8" s="254"/>
      <c r="H8" s="67" t="s">
        <v>348</v>
      </c>
      <c r="I8" s="3020">
        <f>+Index!$E$13</f>
        <v>0</v>
      </c>
      <c r="J8" s="3020"/>
      <c r="K8" s="3020"/>
      <c r="L8" s="68"/>
    </row>
    <row r="9" spans="1:12" ht="7.5" customHeight="1" thickBot="1" x14ac:dyDescent="0.3">
      <c r="A9" s="70"/>
      <c r="B9" s="70"/>
      <c r="C9" s="70"/>
      <c r="D9" s="70"/>
      <c r="E9" s="70"/>
      <c r="F9" s="70"/>
      <c r="G9" s="70"/>
      <c r="H9" s="70"/>
      <c r="I9" s="70"/>
      <c r="J9" s="70"/>
      <c r="K9" s="70"/>
    </row>
    <row r="10" spans="1:12" ht="7.5" customHeight="1" x14ac:dyDescent="0.25">
      <c r="B10" s="66"/>
      <c r="C10" s="66"/>
      <c r="D10" s="66"/>
      <c r="E10" s="66"/>
      <c r="F10" s="66"/>
      <c r="G10" s="66"/>
      <c r="H10" s="66"/>
      <c r="I10" s="66"/>
      <c r="J10" s="66"/>
      <c r="K10" s="66"/>
    </row>
    <row r="11" spans="1:12" ht="15" customHeight="1" x14ac:dyDescent="0.25">
      <c r="A11" s="240"/>
      <c r="B11" s="908" t="s">
        <v>1306</v>
      </c>
      <c r="C11" s="66"/>
      <c r="D11" s="66"/>
      <c r="E11" s="66"/>
      <c r="F11" s="66"/>
      <c r="G11" s="66"/>
      <c r="H11" s="66"/>
      <c r="I11" s="66"/>
      <c r="J11" s="66"/>
      <c r="K11" s="66"/>
    </row>
    <row r="12" spans="1:12" ht="15" customHeight="1" x14ac:dyDescent="0.25">
      <c r="A12" s="240"/>
      <c r="B12" s="908"/>
      <c r="C12" s="66"/>
      <c r="D12" s="66"/>
      <c r="E12" s="66"/>
      <c r="F12" s="66"/>
      <c r="G12" s="66"/>
      <c r="H12" s="66"/>
      <c r="I12" s="66"/>
      <c r="J12" s="66"/>
      <c r="K12" s="66"/>
    </row>
    <row r="13" spans="1:12" ht="12.75" customHeight="1" x14ac:dyDescent="0.25">
      <c r="B13" s="1089" t="s">
        <v>1847</v>
      </c>
      <c r="C13" s="66"/>
      <c r="D13" s="66"/>
      <c r="E13" s="66"/>
      <c r="F13" s="66"/>
      <c r="G13" s="66"/>
      <c r="H13" s="66"/>
      <c r="I13" s="66"/>
      <c r="J13" s="66"/>
      <c r="K13" s="66"/>
    </row>
    <row r="14" spans="1:12" ht="12.75" customHeight="1" x14ac:dyDescent="0.25">
      <c r="B14" s="71"/>
      <c r="C14" s="66"/>
      <c r="D14" s="66"/>
      <c r="E14" s="66"/>
      <c r="F14" s="66"/>
      <c r="G14" s="66"/>
      <c r="H14" s="66"/>
      <c r="I14" s="66"/>
      <c r="J14" s="66"/>
      <c r="K14" s="66"/>
    </row>
    <row r="15" spans="1:12" ht="110.25" customHeight="1" x14ac:dyDescent="0.2">
      <c r="B15" s="3026" t="s">
        <v>5658</v>
      </c>
      <c r="C15" s="3027"/>
      <c r="D15" s="3027"/>
      <c r="E15" s="3027"/>
      <c r="F15" s="3027"/>
      <c r="G15" s="3027"/>
      <c r="H15" s="3027"/>
      <c r="I15" s="3027"/>
      <c r="J15" s="3027"/>
      <c r="K15" s="3027"/>
    </row>
    <row r="16" spans="1:12" ht="15" customHeight="1" x14ac:dyDescent="0.2"/>
    <row r="17" spans="2:11" ht="15" customHeight="1" x14ac:dyDescent="0.25">
      <c r="B17" s="894" t="s">
        <v>970</v>
      </c>
      <c r="C17" s="893"/>
      <c r="D17" s="1402"/>
      <c r="G17" s="894" t="s">
        <v>969</v>
      </c>
      <c r="H17" s="1402"/>
      <c r="I17" s="896" t="s">
        <v>1848</v>
      </c>
      <c r="J17" s="66"/>
      <c r="K17" s="66"/>
    </row>
    <row r="18" spans="2:11" ht="15" customHeight="1" x14ac:dyDescent="0.25">
      <c r="B18" s="894"/>
      <c r="C18" s="893"/>
      <c r="D18" s="895"/>
      <c r="G18" s="895"/>
      <c r="H18" s="3025" t="str">
        <f>IF(AND(ISBLANK(D17),ISBLANK(H17))=TRUE,"Answer Missing"," ")</f>
        <v>Answer Missing</v>
      </c>
      <c r="I18" s="2907"/>
      <c r="J18" s="66"/>
      <c r="K18" s="66"/>
    </row>
    <row r="19" spans="2:11" ht="15" customHeight="1" x14ac:dyDescent="0.25">
      <c r="B19" s="3028" t="str">
        <f>IF(ISTEXT(H17), "Response for Yes needed", " ")</f>
        <v xml:space="preserve"> </v>
      </c>
      <c r="C19" s="3029"/>
      <c r="D19" s="3029"/>
      <c r="E19" s="2696"/>
      <c r="H19" s="895"/>
      <c r="I19" s="896"/>
      <c r="J19" s="66"/>
      <c r="K19" s="66"/>
    </row>
    <row r="20" spans="2:11" ht="18" customHeight="1" x14ac:dyDescent="0.2">
      <c r="B20" s="3022"/>
      <c r="C20" s="3023"/>
      <c r="D20" s="3023"/>
      <c r="E20" s="3023"/>
      <c r="F20" s="3023"/>
      <c r="G20" s="3023"/>
      <c r="H20" s="3023"/>
      <c r="I20" s="3023"/>
      <c r="J20" s="3023"/>
      <c r="K20" s="3023"/>
    </row>
    <row r="21" spans="2:11" ht="18" customHeight="1" x14ac:dyDescent="0.2">
      <c r="B21" s="3022"/>
      <c r="C21" s="3023"/>
      <c r="D21" s="3023"/>
      <c r="E21" s="3023"/>
      <c r="F21" s="3023"/>
      <c r="G21" s="3023"/>
      <c r="H21" s="3023"/>
      <c r="I21" s="3023"/>
      <c r="J21" s="3023"/>
      <c r="K21" s="3023"/>
    </row>
    <row r="22" spans="2:11" ht="18" customHeight="1" x14ac:dyDescent="0.2">
      <c r="B22" s="3022"/>
      <c r="C22" s="3023"/>
      <c r="D22" s="3023"/>
      <c r="E22" s="3023"/>
      <c r="F22" s="3023"/>
      <c r="G22" s="3023"/>
      <c r="H22" s="3023"/>
      <c r="I22" s="3023"/>
      <c r="J22" s="3023"/>
      <c r="K22" s="3023"/>
    </row>
    <row r="23" spans="2:11" ht="18" customHeight="1" x14ac:dyDescent="0.2">
      <c r="B23" s="3022"/>
      <c r="C23" s="3023"/>
      <c r="D23" s="3023"/>
      <c r="E23" s="3023"/>
      <c r="F23" s="3023"/>
      <c r="G23" s="3023"/>
      <c r="H23" s="3023"/>
      <c r="I23" s="3023"/>
      <c r="J23" s="3023"/>
      <c r="K23" s="3023"/>
    </row>
    <row r="24" spans="2:11" ht="18" customHeight="1" x14ac:dyDescent="0.2">
      <c r="B24" s="3022"/>
      <c r="C24" s="3023"/>
      <c r="D24" s="3023"/>
      <c r="E24" s="3023"/>
      <c r="F24" s="3023"/>
      <c r="G24" s="3023"/>
      <c r="H24" s="3023"/>
      <c r="I24" s="3023"/>
      <c r="J24" s="3023"/>
      <c r="K24" s="3023"/>
    </row>
    <row r="25" spans="2:11" ht="18" customHeight="1" x14ac:dyDescent="0.2">
      <c r="B25" s="3022"/>
      <c r="C25" s="3023"/>
      <c r="D25" s="3023"/>
      <c r="E25" s="3023"/>
      <c r="F25" s="3023"/>
      <c r="G25" s="3023"/>
      <c r="H25" s="3023"/>
      <c r="I25" s="3023"/>
      <c r="J25" s="3023"/>
      <c r="K25" s="3023"/>
    </row>
    <row r="26" spans="2:11" ht="18" customHeight="1" x14ac:dyDescent="0.2">
      <c r="B26" s="3022"/>
      <c r="C26" s="3023"/>
      <c r="D26" s="3023"/>
      <c r="E26" s="3023"/>
      <c r="F26" s="3023"/>
      <c r="G26" s="3023"/>
      <c r="H26" s="3023"/>
      <c r="I26" s="3023"/>
      <c r="J26" s="3023"/>
      <c r="K26" s="3023"/>
    </row>
    <row r="27" spans="2:11" ht="18" customHeight="1" x14ac:dyDescent="0.2">
      <c r="B27" s="3022"/>
      <c r="C27" s="3023"/>
      <c r="D27" s="3023"/>
      <c r="E27" s="3023"/>
      <c r="F27" s="3023"/>
      <c r="G27" s="3023"/>
      <c r="H27" s="3023"/>
      <c r="I27" s="3023"/>
      <c r="J27" s="3023"/>
      <c r="K27" s="3023"/>
    </row>
    <row r="28" spans="2:11" ht="18" customHeight="1" x14ac:dyDescent="0.2">
      <c r="B28" s="3022"/>
      <c r="C28" s="3023"/>
      <c r="D28" s="3023"/>
      <c r="E28" s="3023"/>
      <c r="F28" s="3023"/>
      <c r="G28" s="3023"/>
      <c r="H28" s="3023"/>
      <c r="I28" s="3023"/>
      <c r="J28" s="3023"/>
      <c r="K28" s="3023"/>
    </row>
    <row r="29" spans="2:11" ht="18" customHeight="1" x14ac:dyDescent="0.2">
      <c r="B29" s="3022"/>
      <c r="C29" s="3023"/>
      <c r="D29" s="3023"/>
      <c r="E29" s="3023"/>
      <c r="F29" s="3023"/>
      <c r="G29" s="3023"/>
      <c r="H29" s="3023"/>
      <c r="I29" s="3023"/>
      <c r="J29" s="3023"/>
      <c r="K29" s="3023"/>
    </row>
    <row r="30" spans="2:11" ht="18" customHeight="1" x14ac:dyDescent="0.2">
      <c r="B30" s="3022"/>
      <c r="C30" s="3023"/>
      <c r="D30" s="3023"/>
      <c r="E30" s="3023"/>
      <c r="F30" s="3023"/>
      <c r="G30" s="3023"/>
      <c r="H30" s="3023"/>
      <c r="I30" s="3023"/>
      <c r="J30" s="3023"/>
      <c r="K30" s="3023"/>
    </row>
    <row r="31" spans="2:11" ht="18" customHeight="1" x14ac:dyDescent="0.2">
      <c r="B31" s="3022"/>
      <c r="C31" s="3023"/>
      <c r="D31" s="3023"/>
      <c r="E31" s="3023"/>
      <c r="F31" s="3023"/>
      <c r="G31" s="3023"/>
      <c r="H31" s="3023"/>
      <c r="I31" s="3023"/>
      <c r="J31" s="3023"/>
      <c r="K31" s="3023"/>
    </row>
    <row r="32" spans="2:11" ht="18" customHeight="1" x14ac:dyDescent="0.2">
      <c r="B32" s="3022"/>
      <c r="C32" s="3023"/>
      <c r="D32" s="3023"/>
      <c r="E32" s="3023"/>
      <c r="F32" s="3023"/>
      <c r="G32" s="3023"/>
      <c r="H32" s="3023"/>
      <c r="I32" s="3023"/>
      <c r="J32" s="3023"/>
      <c r="K32" s="3023"/>
    </row>
    <row r="33" spans="2:11" ht="18" customHeight="1" x14ac:dyDescent="0.2">
      <c r="B33" s="3022"/>
      <c r="C33" s="3023"/>
      <c r="D33" s="3023"/>
      <c r="E33" s="3023"/>
      <c r="F33" s="3023"/>
      <c r="G33" s="3023"/>
      <c r="H33" s="3023"/>
      <c r="I33" s="3023"/>
      <c r="J33" s="3023"/>
      <c r="K33" s="3023"/>
    </row>
    <row r="34" spans="2:11" ht="18" customHeight="1" x14ac:dyDescent="0.2">
      <c r="B34" s="3022"/>
      <c r="C34" s="3023"/>
      <c r="D34" s="3023"/>
      <c r="E34" s="3023"/>
      <c r="F34" s="3023"/>
      <c r="G34" s="3023"/>
      <c r="H34" s="3023"/>
      <c r="I34" s="3023"/>
      <c r="J34" s="3023"/>
      <c r="K34" s="3023"/>
    </row>
    <row r="35" spans="2:11" ht="18" customHeight="1" x14ac:dyDescent="0.2">
      <c r="B35" s="3022"/>
      <c r="C35" s="3023"/>
      <c r="D35" s="3023"/>
      <c r="E35" s="3023"/>
      <c r="F35" s="3023"/>
      <c r="G35" s="3023"/>
      <c r="H35" s="3023"/>
      <c r="I35" s="3023"/>
      <c r="J35" s="3023"/>
      <c r="K35" s="3023"/>
    </row>
  </sheetData>
  <sheetProtection algorithmName="SHA-512" hashValue="ZK4eb521AC+FM9odgbKYHNLh+AZK8OqThQQoy4HYyfVlmGSuBMvtxpVxSVTyo1TcHYTSpsj+0S8B9viONVV7rQ==" saltValue="36GXmomAq6gevVaNAbOnew==" spinCount="100000" sheet="1" objects="1" scenarios="1" autoFilter="0"/>
  <customSheetViews>
    <customSheetView guid="{B08879A4-635B-4C39-9937-AC7883D562FC}" showGridLines="0" fitToPage="1">
      <pageMargins left="0.75" right="0.75" top="0.75" bottom="0.75" header="0.5" footer="0.5"/>
      <pageSetup scale="96" orientation="portrait" r:id="rId1"/>
      <headerFooter alignWithMargins="0">
        <oddFooter>&amp;R&amp;A</oddFooter>
      </headerFooter>
    </customSheetView>
    <customSheetView guid="{1250FD07-FF56-4A9D-AF9E-C27124A7EBE9}" showGridLines="0" fitToPage="1" showRuler="0">
      <selection sqref="A1:J1"/>
      <pageMargins left="0.75" right="0.75" top="0.75" bottom="0.75" header="0.5" footer="0.5"/>
      <pageSetup orientation="portrait" r:id="rId2"/>
      <headerFooter alignWithMargins="0">
        <oddFooter>&amp;R&amp;A</oddFooter>
      </headerFooter>
    </customSheetView>
    <customSheetView guid="{BEA4BE86-04D1-4C96-9358-7A260B9D2B2D}" showGridLines="0" fitToPage="1" showRuler="0">
      <selection sqref="A1:J1"/>
      <pageMargins left="0.75" right="0.75" top="0.75" bottom="0.75" header="0.5" footer="0.5"/>
      <pageSetup orientation="portrait" r:id="rId3"/>
      <headerFooter alignWithMargins="0">
        <oddFooter>&amp;R&amp;A</oddFooter>
      </headerFooter>
    </customSheetView>
    <customSheetView guid="{9FCFC836-1CA5-48BF-958D-24D2EA94B219}" showGridLines="0" fitToPage="1">
      <pageMargins left="0.75" right="0.75" top="0.75" bottom="0.75" header="0.5" footer="0.5"/>
      <pageSetup scale="96" orientation="portrait" r:id="rId4"/>
      <headerFooter alignWithMargins="0">
        <oddFooter>&amp;R&amp;A</oddFooter>
      </headerFooter>
    </customSheetView>
  </customSheetViews>
  <mergeCells count="27">
    <mergeCell ref="B26:K26"/>
    <mergeCell ref="B34:K34"/>
    <mergeCell ref="B35:K35"/>
    <mergeCell ref="B28:K28"/>
    <mergeCell ref="B29:K29"/>
    <mergeCell ref="B30:K30"/>
    <mergeCell ref="B31:K31"/>
    <mergeCell ref="B32:K32"/>
    <mergeCell ref="B33:K33"/>
    <mergeCell ref="B27:K27"/>
    <mergeCell ref="B25:K25"/>
    <mergeCell ref="I7:K7"/>
    <mergeCell ref="B20:K20"/>
    <mergeCell ref="H18:I18"/>
    <mergeCell ref="B15:K15"/>
    <mergeCell ref="B19:E19"/>
    <mergeCell ref="B21:K21"/>
    <mergeCell ref="B22:K22"/>
    <mergeCell ref="B23:K23"/>
    <mergeCell ref="B24:K24"/>
    <mergeCell ref="L1:L3"/>
    <mergeCell ref="B1:K1"/>
    <mergeCell ref="B2:K2"/>
    <mergeCell ref="B3:K3"/>
    <mergeCell ref="I8:K8"/>
    <mergeCell ref="I5:K5"/>
    <mergeCell ref="I6:K6"/>
  </mergeCells>
  <phoneticPr fontId="15" type="noConversion"/>
  <conditionalFormatting sqref="L1:L3">
    <cfRule type="cellIs" dxfId="88" priority="5" stopIfTrue="1" operator="equal">
      <formula>"na"</formula>
    </cfRule>
  </conditionalFormatting>
  <conditionalFormatting sqref="H18:I18">
    <cfRule type="containsText" dxfId="87" priority="4" stopIfTrue="1" operator="containsText" text="Answer Missing">
      <formula>NOT(ISERROR(SEARCH("Answer Missing",H18)))</formula>
    </cfRule>
  </conditionalFormatting>
  <conditionalFormatting sqref="B19">
    <cfRule type="containsText" dxfId="86" priority="3" stopIfTrue="1" operator="containsText" text="Response for Yes needed">
      <formula>NOT(ISERROR(SEARCH("Response for Yes needed",B19)))</formula>
    </cfRule>
  </conditionalFormatting>
  <conditionalFormatting sqref="B19">
    <cfRule type="containsText" dxfId="85" priority="2" stopIfTrue="1" operator="containsText" text="Response for Yes needed">
      <formula>NOT(ISERROR(SEARCH("Response for Yes needed",B19)))</formula>
    </cfRule>
  </conditionalFormatting>
  <conditionalFormatting sqref="B19:E19">
    <cfRule type="containsText" dxfId="84" priority="1" stopIfTrue="1" operator="containsText" text="Response for Yes needed">
      <formula>NOT(ISERROR(SEARCH("Response for Yes needed",B19)))</formula>
    </cfRule>
  </conditionalFormatting>
  <dataValidations count="1">
    <dataValidation allowBlank="1" sqref="B20:K35" xr:uid="{00000000-0002-0000-2100-000000000000}"/>
  </dataValidations>
  <hyperlinks>
    <hyperlink ref="B1:K1" location="Index!A1" display="Index!A1" xr:uid="{00000000-0004-0000-2100-000000000000}"/>
  </hyperlinks>
  <pageMargins left="0.75" right="0.75" top="0.75" bottom="0.75" header="0.5" footer="0.5"/>
  <pageSetup scale="96" orientation="portrait" r:id="rId5"/>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pageSetUpPr fitToPage="1"/>
  </sheetPr>
  <dimension ref="A1:S53"/>
  <sheetViews>
    <sheetView zoomScale="90" zoomScaleNormal="90" workbookViewId="0">
      <selection activeCell="C27" sqref="C27:D27"/>
    </sheetView>
  </sheetViews>
  <sheetFormatPr defaultRowHeight="12.75" x14ac:dyDescent="0.2"/>
  <cols>
    <col min="2" max="2" width="0.5703125" customWidth="1"/>
    <col min="5" max="5" width="0.5703125" customWidth="1"/>
    <col min="7" max="7" width="12" customWidth="1"/>
    <col min="8" max="8" width="0.5703125" customWidth="1"/>
    <col min="10" max="10" width="16" customWidth="1"/>
    <col min="11" max="11" width="0.5703125" customWidth="1"/>
    <col min="13" max="13" width="14.5703125" customWidth="1"/>
    <col min="14" max="14" width="0.5703125" customWidth="1"/>
    <col min="17" max="17" width="9.42578125" customWidth="1"/>
    <col min="18" max="18" width="40.5703125" customWidth="1"/>
    <col min="19" max="19" width="7.5703125" customWidth="1"/>
  </cols>
  <sheetData>
    <row r="1" spans="1:19" ht="15.75"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767"/>
      <c r="S1" s="2775" t="s">
        <v>973</v>
      </c>
    </row>
    <row r="2" spans="1:19" ht="15.75" x14ac:dyDescent="0.25">
      <c r="A2" s="3031" t="str">
        <f>+Index!$A$2</f>
        <v>2022 ACFR Worksheets</v>
      </c>
      <c r="B2" s="3031"/>
      <c r="C2" s="3031"/>
      <c r="D2" s="3031"/>
      <c r="E2" s="3031"/>
      <c r="F2" s="3031"/>
      <c r="G2" s="3031"/>
      <c r="H2" s="3031"/>
      <c r="I2" s="3031"/>
      <c r="J2" s="3031"/>
      <c r="K2" s="3031"/>
      <c r="L2" s="3031"/>
      <c r="M2" s="3031"/>
      <c r="N2" s="3031"/>
      <c r="O2" s="3031"/>
      <c r="P2" s="3031"/>
      <c r="Q2" s="3031"/>
      <c r="R2" s="3031"/>
      <c r="S2" s="2768"/>
    </row>
    <row r="3" spans="1:19" ht="15.75" x14ac:dyDescent="0.25">
      <c r="A3" s="2954" t="s">
        <v>3717</v>
      </c>
      <c r="B3" s="2954"/>
      <c r="C3" s="2954"/>
      <c r="D3" s="2954"/>
      <c r="E3" s="2954"/>
      <c r="F3" s="2954"/>
      <c r="G3" s="2954"/>
      <c r="H3" s="2954"/>
      <c r="I3" s="2954"/>
      <c r="J3" s="2954"/>
      <c r="K3" s="2954"/>
      <c r="L3" s="2954"/>
      <c r="M3" s="2954"/>
      <c r="N3" s="2954"/>
      <c r="O3" s="2954"/>
      <c r="P3" s="2954"/>
      <c r="Q3" s="2954"/>
      <c r="R3" s="2954"/>
      <c r="S3" s="2768"/>
    </row>
    <row r="4" spans="1:19" ht="15.75" x14ac:dyDescent="0.25">
      <c r="A4" s="3032" t="s">
        <v>3716</v>
      </c>
      <c r="B4" s="2954"/>
      <c r="C4" s="2954"/>
      <c r="D4" s="2954"/>
      <c r="E4" s="2954"/>
      <c r="F4" s="2954"/>
      <c r="G4" s="2954"/>
      <c r="H4" s="2954"/>
      <c r="I4" s="2954"/>
      <c r="J4" s="2954"/>
      <c r="K4" s="2954"/>
      <c r="L4" s="2954"/>
      <c r="M4" s="2954"/>
      <c r="N4" s="2954"/>
      <c r="O4" s="2954"/>
      <c r="P4" s="2954"/>
      <c r="Q4" s="2954"/>
      <c r="R4" s="2954"/>
      <c r="S4" s="546"/>
    </row>
    <row r="5" spans="1:19" x14ac:dyDescent="0.2">
      <c r="A5" s="22"/>
      <c r="B5" s="22"/>
      <c r="C5" s="22"/>
      <c r="D5" s="22"/>
      <c r="E5" s="22"/>
      <c r="F5" s="22"/>
      <c r="G5" s="22"/>
      <c r="H5" s="22"/>
      <c r="I5" s="22"/>
      <c r="J5" s="22"/>
      <c r="K5" s="22"/>
      <c r="L5" s="22"/>
      <c r="M5" s="22"/>
      <c r="N5" s="22"/>
      <c r="O5" s="22"/>
      <c r="P5" s="22"/>
      <c r="Q5" s="22"/>
      <c r="R5" s="2768" t="str">
        <f>IF(Index!$B$58="na","NA","")</f>
        <v/>
      </c>
    </row>
    <row r="6" spans="1:19" x14ac:dyDescent="0.2">
      <c r="A6" s="1371" t="s">
        <v>327</v>
      </c>
      <c r="B6" s="1372"/>
      <c r="C6" s="1372"/>
      <c r="D6" s="3030" t="str">
        <f>+Index!$E$10</f>
        <v>01</v>
      </c>
      <c r="E6" s="3030"/>
      <c r="F6" s="3030"/>
      <c r="G6" s="1372"/>
      <c r="H6" s="1372"/>
      <c r="I6" s="1372"/>
      <c r="J6" s="1374" t="s">
        <v>1154</v>
      </c>
      <c r="K6" s="253"/>
      <c r="L6" s="2807" t="str">
        <f>+Index!$E$11</f>
        <v>North Carolina General Assembly</v>
      </c>
      <c r="M6" s="2807"/>
      <c r="N6" s="2807"/>
      <c r="O6" s="2807"/>
      <c r="P6" s="2807"/>
      <c r="R6" s="2768"/>
    </row>
    <row r="7" spans="1:19" x14ac:dyDescent="0.2">
      <c r="A7" s="272"/>
      <c r="B7" s="1372"/>
      <c r="C7" s="1372"/>
      <c r="D7" s="1372"/>
      <c r="E7" s="1372"/>
      <c r="F7" s="1372"/>
      <c r="G7" s="1372"/>
      <c r="H7" s="1372"/>
      <c r="I7" s="1372"/>
      <c r="J7" s="1374" t="s">
        <v>972</v>
      </c>
      <c r="K7" s="22"/>
      <c r="L7" s="2832" t="str">
        <f>CONCATENATE(Index!$E$12,"",Index!$E$14)</f>
        <v/>
      </c>
      <c r="M7" s="2832"/>
      <c r="N7" s="2832"/>
      <c r="O7" s="2832"/>
      <c r="P7" s="2832"/>
      <c r="R7" s="2768"/>
    </row>
    <row r="8" spans="1:19" x14ac:dyDescent="0.2">
      <c r="A8" s="1372" t="s">
        <v>477</v>
      </c>
      <c r="B8" s="1372"/>
      <c r="C8" s="1372"/>
      <c r="D8" s="3030" t="s">
        <v>805</v>
      </c>
      <c r="E8" s="2868"/>
      <c r="F8" s="2868"/>
      <c r="G8" s="1372"/>
      <c r="H8" s="1372"/>
      <c r="I8" s="1372"/>
      <c r="J8" s="1374" t="s">
        <v>348</v>
      </c>
      <c r="K8" s="253"/>
      <c r="L8" s="2832">
        <f>+Index!$E$13</f>
        <v>0</v>
      </c>
      <c r="M8" s="2832"/>
      <c r="N8" s="2832"/>
      <c r="O8" s="2832"/>
      <c r="P8" s="2832"/>
    </row>
    <row r="9" spans="1:19" ht="13.5" thickBot="1" x14ac:dyDescent="0.25">
      <c r="A9" s="120"/>
      <c r="B9" s="120"/>
      <c r="C9" s="120"/>
      <c r="D9" s="120"/>
      <c r="E9" s="120"/>
      <c r="F9" s="120"/>
      <c r="G9" s="120"/>
      <c r="H9" s="120"/>
      <c r="I9" s="120"/>
      <c r="J9" s="120"/>
      <c r="K9" s="120"/>
      <c r="L9" s="120"/>
      <c r="M9" s="120"/>
      <c r="N9" s="120"/>
      <c r="O9" s="120"/>
      <c r="P9" s="120"/>
      <c r="Q9" s="120"/>
      <c r="R9" s="120"/>
    </row>
    <row r="10" spans="1:19" x14ac:dyDescent="0.2">
      <c r="A10" s="22"/>
      <c r="B10" s="22"/>
      <c r="C10" s="22"/>
      <c r="D10" s="22"/>
      <c r="E10" s="22"/>
      <c r="F10" s="22"/>
      <c r="G10" s="22"/>
      <c r="H10" s="22"/>
      <c r="I10" s="22"/>
      <c r="J10" s="22"/>
      <c r="K10" s="22"/>
      <c r="L10" s="22"/>
      <c r="M10" s="22"/>
      <c r="N10" s="22"/>
      <c r="O10" s="22"/>
      <c r="P10" s="22"/>
      <c r="Q10" s="22"/>
      <c r="R10" s="22"/>
    </row>
    <row r="11" spans="1:19" x14ac:dyDescent="0.2">
      <c r="A11" s="3039" t="s">
        <v>1956</v>
      </c>
      <c r="B11" s="3039"/>
      <c r="C11" s="3039"/>
      <c r="D11" s="3039"/>
      <c r="E11" s="3039"/>
      <c r="F11" s="3039"/>
      <c r="G11" s="3039"/>
      <c r="H11" s="3039"/>
      <c r="I11" s="3039"/>
      <c r="J11" s="3039"/>
      <c r="K11" s="3039"/>
      <c r="L11" s="3039"/>
      <c r="M11" s="3039"/>
      <c r="N11" s="3039"/>
      <c r="O11" s="3039"/>
      <c r="P11" s="3039"/>
      <c r="Q11" s="3039"/>
      <c r="R11" s="1372"/>
    </row>
    <row r="12" spans="1:19" x14ac:dyDescent="0.2">
      <c r="A12" s="3039" t="s">
        <v>1958</v>
      </c>
      <c r="B12" s="3039"/>
      <c r="C12" s="3039"/>
      <c r="D12" s="3039"/>
      <c r="E12" s="3039"/>
      <c r="F12" s="3039"/>
      <c r="G12" s="3039"/>
      <c r="H12" s="3039"/>
      <c r="I12" s="3039"/>
      <c r="J12" s="3039"/>
      <c r="K12" s="3039"/>
      <c r="L12" s="3039"/>
      <c r="M12" s="3039"/>
      <c r="N12" s="3039"/>
      <c r="O12" s="3039"/>
      <c r="P12" s="3039"/>
      <c r="Q12" s="3039"/>
      <c r="R12" s="1372"/>
    </row>
    <row r="13" spans="1:19" x14ac:dyDescent="0.2">
      <c r="A13" s="1372" t="s">
        <v>1957</v>
      </c>
      <c r="B13" s="1372"/>
      <c r="C13" s="1372"/>
      <c r="D13" s="1372"/>
      <c r="E13" s="1372"/>
      <c r="F13" s="1372"/>
      <c r="G13" s="1372"/>
      <c r="H13" s="1372"/>
      <c r="I13" s="1372"/>
      <c r="J13" s="1372"/>
      <c r="K13" s="1372"/>
      <c r="L13" s="1372"/>
      <c r="M13" s="1372"/>
      <c r="N13" s="1372"/>
      <c r="O13" s="1372"/>
      <c r="P13" s="1372"/>
      <c r="Q13" s="1372"/>
      <c r="R13" s="1372"/>
    </row>
    <row r="14" spans="1:19" ht="11.1" customHeight="1" x14ac:dyDescent="0.2">
      <c r="A14" s="1372"/>
      <c r="B14" s="1372"/>
      <c r="C14" s="1372"/>
      <c r="D14" s="1372"/>
      <c r="E14" s="1372"/>
      <c r="F14" s="1372"/>
      <c r="G14" s="1372"/>
      <c r="H14" s="1372"/>
      <c r="I14" s="1372"/>
      <c r="J14" s="1372"/>
      <c r="K14" s="1372"/>
      <c r="L14" s="1372"/>
      <c r="M14" s="1372"/>
      <c r="N14" s="1372"/>
      <c r="O14" s="1372"/>
      <c r="P14" s="1372"/>
      <c r="Q14" s="1372"/>
      <c r="R14" s="1372"/>
    </row>
    <row r="15" spans="1:19" x14ac:dyDescent="0.2">
      <c r="A15" s="1372" t="s">
        <v>1322</v>
      </c>
      <c r="B15" s="1372"/>
      <c r="C15" s="1372"/>
      <c r="D15" s="1372"/>
      <c r="E15" s="1372"/>
      <c r="F15" s="1372"/>
      <c r="G15" s="1372"/>
      <c r="H15" s="1372"/>
      <c r="I15" s="1372"/>
      <c r="J15" s="1372"/>
      <c r="K15" s="1372"/>
      <c r="L15" s="1372"/>
      <c r="M15" s="1372"/>
      <c r="N15" s="1372"/>
      <c r="O15" s="1372"/>
      <c r="P15" s="1372"/>
      <c r="Q15" s="1372"/>
      <c r="R15" s="1372"/>
    </row>
    <row r="16" spans="1:19" x14ac:dyDescent="0.2">
      <c r="A16" s="1372"/>
      <c r="B16" s="1372"/>
      <c r="C16" s="1372"/>
      <c r="D16" s="1372"/>
      <c r="E16" s="1372"/>
      <c r="F16" s="1372"/>
      <c r="G16" s="1372"/>
      <c r="H16" s="1372"/>
      <c r="I16" s="1372"/>
      <c r="J16" s="1372"/>
      <c r="K16" s="1372"/>
      <c r="L16" s="1372"/>
      <c r="M16" s="1372"/>
      <c r="N16" s="1372"/>
      <c r="O16" s="1372"/>
      <c r="P16" s="1372"/>
      <c r="Q16" s="1372"/>
      <c r="R16" s="1372"/>
    </row>
    <row r="17" spans="1:18" x14ac:dyDescent="0.2">
      <c r="A17" s="1372"/>
      <c r="B17" s="1372"/>
      <c r="C17" s="3034" t="s">
        <v>1157</v>
      </c>
      <c r="D17" s="3034"/>
      <c r="E17" s="1372"/>
      <c r="F17" s="3034" t="s">
        <v>101</v>
      </c>
      <c r="G17" s="3034"/>
      <c r="H17" s="1372"/>
      <c r="I17" s="3034" t="s">
        <v>5485</v>
      </c>
      <c r="J17" s="3034"/>
      <c r="K17" s="1372"/>
      <c r="L17" s="3034"/>
      <c r="M17" s="3034"/>
      <c r="N17" s="1372"/>
      <c r="O17" s="1372"/>
      <c r="P17" s="1372"/>
      <c r="Q17" s="1372"/>
      <c r="R17" s="1372"/>
    </row>
    <row r="18" spans="1:18" ht="14.25" customHeight="1" x14ac:dyDescent="0.2">
      <c r="A18" s="1372"/>
      <c r="B18" s="1372"/>
      <c r="C18" s="3030" t="s">
        <v>649</v>
      </c>
      <c r="D18" s="3030"/>
      <c r="E18" s="1372"/>
      <c r="F18" s="3030" t="s">
        <v>1324</v>
      </c>
      <c r="G18" s="3030"/>
      <c r="H18" s="1372"/>
      <c r="I18" s="3030" t="s">
        <v>83</v>
      </c>
      <c r="J18" s="3030"/>
      <c r="K18" s="1372"/>
      <c r="L18" s="3030" t="s">
        <v>650</v>
      </c>
      <c r="M18" s="3030"/>
      <c r="N18" s="1372"/>
      <c r="O18" s="1372"/>
      <c r="P18" s="1372"/>
      <c r="Q18" s="1372"/>
      <c r="R18" s="1372"/>
    </row>
    <row r="19" spans="1:18" ht="12.75" hidden="1" customHeight="1" x14ac:dyDescent="0.2">
      <c r="A19" s="1372"/>
      <c r="B19" s="1372"/>
      <c r="C19" s="272"/>
      <c r="D19" s="272"/>
      <c r="E19" s="1372"/>
      <c r="F19" s="3041" t="s">
        <v>973</v>
      </c>
      <c r="G19" s="3041"/>
      <c r="H19" s="1372"/>
      <c r="I19" s="3041" t="s">
        <v>973</v>
      </c>
      <c r="J19" s="3041"/>
      <c r="K19" s="1372"/>
      <c r="L19" s="272"/>
      <c r="M19" s="272"/>
      <c r="N19" s="1372"/>
      <c r="O19" s="1372"/>
      <c r="P19" s="1372"/>
      <c r="Q19" s="1372"/>
      <c r="R19" s="1372"/>
    </row>
    <row r="20" spans="1:18" ht="13.5" hidden="1" thickBot="1" x14ac:dyDescent="0.25">
      <c r="A20" s="1372"/>
      <c r="B20" s="1372"/>
      <c r="C20" s="1376" t="s">
        <v>973</v>
      </c>
      <c r="D20" s="1376" t="s">
        <v>973</v>
      </c>
      <c r="E20" s="1372"/>
      <c r="F20" s="1376" t="s">
        <v>973</v>
      </c>
      <c r="G20" s="1376"/>
      <c r="H20" s="1372"/>
      <c r="I20" s="1376" t="s">
        <v>973</v>
      </c>
      <c r="J20" s="1376"/>
      <c r="K20" s="1372"/>
      <c r="L20" s="1376" t="s">
        <v>973</v>
      </c>
      <c r="M20" s="1376"/>
      <c r="N20" s="1372"/>
      <c r="O20" s="1372"/>
      <c r="P20" s="1372"/>
      <c r="Q20" s="1372"/>
      <c r="R20" s="1372"/>
    </row>
    <row r="21" spans="1:18" hidden="1" x14ac:dyDescent="0.2">
      <c r="A21" s="1372"/>
      <c r="B21" s="1372"/>
      <c r="C21" s="1377"/>
      <c r="D21" s="1377"/>
      <c r="E21" s="1372"/>
      <c r="F21" s="1377"/>
      <c r="G21" s="1377"/>
      <c r="H21" s="1372"/>
      <c r="I21" s="1377"/>
      <c r="J21" s="1377"/>
      <c r="K21" s="1372"/>
      <c r="L21" s="1377"/>
      <c r="M21" s="1377"/>
      <c r="N21" s="1372"/>
      <c r="O21" s="1372"/>
      <c r="P21" s="1372"/>
      <c r="Q21" s="1372"/>
      <c r="R21" s="1372"/>
    </row>
    <row r="22" spans="1:18" x14ac:dyDescent="0.2">
      <c r="A22" s="1375" t="s">
        <v>1157</v>
      </c>
      <c r="B22" s="1375"/>
      <c r="C22" s="3037" t="s">
        <v>4176</v>
      </c>
      <c r="D22" s="3037"/>
      <c r="E22" s="1375"/>
      <c r="F22" s="3037" t="s">
        <v>4176</v>
      </c>
      <c r="G22" s="3037"/>
      <c r="H22" s="1375"/>
      <c r="I22" s="3037" t="s">
        <v>4177</v>
      </c>
      <c r="J22" s="3037"/>
      <c r="K22" s="1375"/>
      <c r="L22" s="3037" t="s">
        <v>4176</v>
      </c>
      <c r="M22" s="3037"/>
      <c r="N22" s="1375"/>
      <c r="O22" s="1372"/>
      <c r="P22" s="1372"/>
      <c r="Q22" s="1372"/>
      <c r="R22" s="1372"/>
    </row>
    <row r="23" spans="1:18" x14ac:dyDescent="0.2">
      <c r="A23" s="1375" t="s">
        <v>795</v>
      </c>
      <c r="B23" s="1375"/>
      <c r="C23" s="3040">
        <v>44378</v>
      </c>
      <c r="D23" s="3040"/>
      <c r="E23" s="1375"/>
      <c r="F23" s="3040">
        <v>44378</v>
      </c>
      <c r="G23" s="3040"/>
      <c r="H23" s="1375"/>
      <c r="I23" s="3040">
        <v>44378</v>
      </c>
      <c r="J23" s="3040"/>
      <c r="K23" s="1375"/>
      <c r="L23" s="3040">
        <v>44378</v>
      </c>
      <c r="M23" s="3040"/>
      <c r="N23" s="1375"/>
      <c r="O23" s="1372"/>
      <c r="P23" s="1372"/>
      <c r="Q23" s="1372"/>
      <c r="R23" s="1372"/>
    </row>
    <row r="24" spans="1:18" x14ac:dyDescent="0.2">
      <c r="A24" s="1373" t="s">
        <v>808</v>
      </c>
      <c r="B24" s="1375"/>
      <c r="C24" s="1378" t="s">
        <v>809</v>
      </c>
      <c r="D24" s="1378"/>
      <c r="E24" s="1375"/>
      <c r="F24" s="1378" t="s">
        <v>1343</v>
      </c>
      <c r="G24" s="1378"/>
      <c r="H24" s="1375"/>
      <c r="I24" s="1378" t="s">
        <v>1343</v>
      </c>
      <c r="J24" s="1378"/>
      <c r="K24" s="1375"/>
      <c r="L24" s="3034" t="s">
        <v>809</v>
      </c>
      <c r="M24" s="3034"/>
      <c r="N24" s="1375"/>
      <c r="O24" s="3030" t="s">
        <v>810</v>
      </c>
      <c r="P24" s="3030"/>
      <c r="Q24" s="3030"/>
      <c r="R24" s="3030"/>
    </row>
    <row r="25" spans="1:18" ht="14.85" customHeight="1" x14ac:dyDescent="0.2">
      <c r="A25" s="1379"/>
      <c r="B25" s="1380"/>
      <c r="C25" s="3038" t="s">
        <v>973</v>
      </c>
      <c r="D25" s="3038"/>
      <c r="E25" s="1380"/>
      <c r="F25" s="3035">
        <v>0</v>
      </c>
      <c r="G25" s="3035"/>
      <c r="H25" s="1375"/>
      <c r="I25" s="3033" t="s">
        <v>973</v>
      </c>
      <c r="J25" s="3033"/>
      <c r="K25" s="1372"/>
      <c r="L25" s="3033">
        <v>0</v>
      </c>
      <c r="M25" s="3033"/>
      <c r="N25" s="1372" t="s">
        <v>973</v>
      </c>
      <c r="O25" s="3036" t="s">
        <v>5375</v>
      </c>
      <c r="P25" s="3036"/>
      <c r="Q25" s="3036"/>
      <c r="R25" s="3036"/>
    </row>
    <row r="26" spans="1:18" ht="14.85" customHeight="1" x14ac:dyDescent="0.2">
      <c r="A26" s="1379" t="s">
        <v>973</v>
      </c>
      <c r="B26" s="1380"/>
      <c r="C26" s="3038" t="s">
        <v>973</v>
      </c>
      <c r="D26" s="3038"/>
      <c r="E26" s="1380"/>
      <c r="F26" s="3033" t="s">
        <v>973</v>
      </c>
      <c r="G26" s="3033"/>
      <c r="H26" s="1375"/>
      <c r="I26" s="3035"/>
      <c r="J26" s="3035"/>
      <c r="K26" s="1372"/>
      <c r="L26" s="3033">
        <v>0</v>
      </c>
      <c r="M26" s="3033"/>
      <c r="N26" s="1372" t="s">
        <v>973</v>
      </c>
      <c r="O26" s="3036" t="s">
        <v>5376</v>
      </c>
      <c r="P26" s="3036"/>
      <c r="Q26" s="3036"/>
      <c r="R26" s="3036"/>
    </row>
    <row r="27" spans="1:18" ht="14.85" customHeight="1" x14ac:dyDescent="0.2">
      <c r="A27" s="1379" t="s">
        <v>973</v>
      </c>
      <c r="B27" s="1380"/>
      <c r="C27" s="3048" t="s">
        <v>973</v>
      </c>
      <c r="D27" s="3048"/>
      <c r="E27" s="1380"/>
      <c r="F27" s="3035">
        <v>0</v>
      </c>
      <c r="G27" s="3035"/>
      <c r="H27" s="1375"/>
      <c r="I27" s="3033"/>
      <c r="J27" s="3033"/>
      <c r="K27" s="1372"/>
      <c r="L27" s="3033"/>
      <c r="M27" s="3033"/>
      <c r="N27" s="1372"/>
      <c r="O27" s="3036" t="s">
        <v>5377</v>
      </c>
      <c r="P27" s="3036"/>
      <c r="Q27" s="3036"/>
      <c r="R27" s="3036"/>
    </row>
    <row r="28" spans="1:18" ht="14.85" customHeight="1" x14ac:dyDescent="0.2">
      <c r="A28" s="1379" t="s">
        <v>973</v>
      </c>
      <c r="B28" s="1380"/>
      <c r="C28" s="3048" t="s">
        <v>973</v>
      </c>
      <c r="D28" s="3048"/>
      <c r="E28" s="1380"/>
      <c r="F28" s="3033"/>
      <c r="G28" s="3033"/>
      <c r="H28" s="1375"/>
      <c r="I28" s="3035"/>
      <c r="J28" s="3035"/>
      <c r="K28" s="1372"/>
      <c r="L28" s="3033" t="s">
        <v>973</v>
      </c>
      <c r="M28" s="3033"/>
      <c r="N28" s="1372"/>
      <c r="O28" s="3036" t="s">
        <v>5378</v>
      </c>
      <c r="P28" s="3036"/>
      <c r="Q28" s="3036"/>
      <c r="R28" s="3036"/>
    </row>
    <row r="29" spans="1:18" ht="14.85" customHeight="1" x14ac:dyDescent="0.2">
      <c r="A29" s="1379"/>
      <c r="B29" s="1380"/>
      <c r="C29" s="3048"/>
      <c r="D29" s="3048"/>
      <c r="E29" s="1380"/>
      <c r="F29" s="3033"/>
      <c r="G29" s="3033"/>
      <c r="H29" s="1375"/>
      <c r="I29" s="3033">
        <v>0</v>
      </c>
      <c r="J29" s="3033"/>
      <c r="K29" s="1372"/>
      <c r="L29" s="3035"/>
      <c r="M29" s="3035"/>
      <c r="N29" s="1372"/>
      <c r="O29" s="3036" t="s">
        <v>5371</v>
      </c>
      <c r="P29" s="3036"/>
      <c r="Q29" s="3036"/>
      <c r="R29" s="3036"/>
    </row>
    <row r="30" spans="1:18" ht="14.85" customHeight="1" x14ac:dyDescent="0.2">
      <c r="A30" s="1379"/>
      <c r="B30" s="1380"/>
      <c r="C30" s="3048"/>
      <c r="D30" s="3048"/>
      <c r="E30" s="1380"/>
      <c r="F30" s="3033"/>
      <c r="G30" s="3033"/>
      <c r="H30" s="1375"/>
      <c r="I30" s="3033"/>
      <c r="J30" s="3033"/>
      <c r="K30" s="1372"/>
      <c r="L30" s="3035"/>
      <c r="M30" s="3035"/>
      <c r="N30" s="1372"/>
      <c r="O30" s="3036" t="s">
        <v>5372</v>
      </c>
      <c r="P30" s="3036"/>
      <c r="Q30" s="3036"/>
      <c r="R30" s="3036"/>
    </row>
    <row r="31" spans="1:18" ht="14.85" customHeight="1" x14ac:dyDescent="0.2">
      <c r="A31" s="1379"/>
      <c r="B31" s="1380"/>
      <c r="C31" s="3042"/>
      <c r="D31" s="3042"/>
      <c r="E31" s="1380"/>
      <c r="F31" s="3042"/>
      <c r="G31" s="3042"/>
      <c r="H31" s="1375"/>
      <c r="I31" s="3042"/>
      <c r="J31" s="3042"/>
      <c r="K31" s="1372"/>
      <c r="L31" s="3042"/>
      <c r="M31" s="3042"/>
      <c r="N31" s="1372"/>
      <c r="O31" s="3036"/>
      <c r="P31" s="3036"/>
      <c r="Q31" s="3036"/>
      <c r="R31" s="3036"/>
    </row>
    <row r="32" spans="1:18" ht="14.85" customHeight="1" x14ac:dyDescent="0.2">
      <c r="A32" s="1379"/>
      <c r="B32" s="1380"/>
      <c r="C32" s="3042"/>
      <c r="D32" s="3042"/>
      <c r="E32" s="1380"/>
      <c r="F32" s="3042"/>
      <c r="G32" s="3042"/>
      <c r="H32" s="1375"/>
      <c r="I32" s="3042"/>
      <c r="J32" s="3042"/>
      <c r="K32" s="1372"/>
      <c r="L32" s="3042"/>
      <c r="M32" s="3042"/>
      <c r="N32" s="1372"/>
      <c r="O32" s="3036"/>
      <c r="P32" s="3036"/>
      <c r="Q32" s="3036"/>
      <c r="R32" s="3036"/>
    </row>
    <row r="33" spans="1:18" ht="14.85" customHeight="1" x14ac:dyDescent="0.2">
      <c r="A33" s="1379"/>
      <c r="B33" s="1380"/>
      <c r="C33" s="3042"/>
      <c r="D33" s="3042"/>
      <c r="E33" s="1380"/>
      <c r="F33" s="3042"/>
      <c r="G33" s="3042"/>
      <c r="H33" s="1375"/>
      <c r="I33" s="3042"/>
      <c r="J33" s="3042"/>
      <c r="K33" s="1372"/>
      <c r="L33" s="3042"/>
      <c r="M33" s="3042"/>
      <c r="N33" s="1372"/>
      <c r="O33" s="3036"/>
      <c r="P33" s="3036"/>
      <c r="Q33" s="3036"/>
      <c r="R33" s="3036"/>
    </row>
    <row r="34" spans="1:18" ht="14.85" customHeight="1" x14ac:dyDescent="0.2">
      <c r="A34" s="1379"/>
      <c r="B34" s="1380"/>
      <c r="C34" s="3042"/>
      <c r="D34" s="3042"/>
      <c r="E34" s="1380"/>
      <c r="F34" s="3042"/>
      <c r="G34" s="3042"/>
      <c r="H34" s="1375"/>
      <c r="I34" s="3042"/>
      <c r="J34" s="3042"/>
      <c r="K34" s="1372"/>
      <c r="L34" s="3042"/>
      <c r="M34" s="3042"/>
      <c r="N34" s="1372"/>
      <c r="O34" s="3036"/>
      <c r="P34" s="3036"/>
      <c r="Q34" s="3036"/>
      <c r="R34" s="3036"/>
    </row>
    <row r="35" spans="1:18" ht="14.85" customHeight="1" x14ac:dyDescent="0.2">
      <c r="A35" s="1379"/>
      <c r="B35" s="1380"/>
      <c r="C35" s="3042"/>
      <c r="D35" s="3042"/>
      <c r="E35" s="1380"/>
      <c r="F35" s="3042">
        <v>0</v>
      </c>
      <c r="G35" s="3042"/>
      <c r="H35" s="1375"/>
      <c r="I35" s="3042"/>
      <c r="J35" s="3042"/>
      <c r="K35" s="1372"/>
      <c r="L35" s="3042"/>
      <c r="M35" s="3042"/>
      <c r="N35" s="1372"/>
      <c r="O35" s="3036"/>
      <c r="P35" s="3036"/>
      <c r="Q35" s="3036"/>
      <c r="R35" s="3036"/>
    </row>
    <row r="36" spans="1:18" ht="14.85" customHeight="1" x14ac:dyDescent="0.2">
      <c r="A36" s="1379"/>
      <c r="B36" s="1380"/>
      <c r="C36" s="3042"/>
      <c r="D36" s="3042"/>
      <c r="E36" s="1380"/>
      <c r="F36" s="3042"/>
      <c r="G36" s="3042"/>
      <c r="H36" s="1375"/>
      <c r="I36" s="3042"/>
      <c r="J36" s="3042"/>
      <c r="K36" s="1372"/>
      <c r="L36" s="3042"/>
      <c r="M36" s="3042"/>
      <c r="N36" s="1372"/>
      <c r="O36" s="3036"/>
      <c r="P36" s="3036"/>
      <c r="Q36" s="3036"/>
      <c r="R36" s="3036"/>
    </row>
    <row r="37" spans="1:18" ht="14.85" customHeight="1" thickBot="1" x14ac:dyDescent="0.25">
      <c r="A37" s="1380"/>
      <c r="B37" s="1380"/>
      <c r="C37" s="3044">
        <f>SUM(C25:D36)</f>
        <v>0</v>
      </c>
      <c r="D37" s="3044"/>
      <c r="E37" s="1380"/>
      <c r="F37" s="3044">
        <f>SUM(F25:G36)</f>
        <v>0</v>
      </c>
      <c r="G37" s="3044"/>
      <c r="H37" s="1375"/>
      <c r="I37" s="3044">
        <f>SUM(I25:J36)</f>
        <v>0</v>
      </c>
      <c r="J37" s="3044"/>
      <c r="K37" s="1372"/>
      <c r="L37" s="3044">
        <f>SUM(L25:M36)</f>
        <v>0</v>
      </c>
      <c r="M37" s="3044"/>
      <c r="N37" s="1372"/>
      <c r="O37" s="1383"/>
      <c r="P37" s="1383"/>
      <c r="Q37" s="1383"/>
      <c r="R37" s="1383"/>
    </row>
    <row r="38" spans="1:18" ht="14.85" customHeight="1" thickTop="1" x14ac:dyDescent="0.2">
      <c r="A38" s="1371"/>
      <c r="B38" s="1380"/>
      <c r="C38" s="3047" t="s">
        <v>4247</v>
      </c>
      <c r="D38" s="3047"/>
      <c r="E38" s="2147"/>
      <c r="F38" s="3047" t="s">
        <v>3569</v>
      </c>
      <c r="G38" s="3047"/>
      <c r="H38" s="2147"/>
      <c r="I38" s="3047" t="s">
        <v>3570</v>
      </c>
      <c r="J38" s="3047"/>
      <c r="K38" s="2146"/>
      <c r="L38" s="3047" t="s">
        <v>4246</v>
      </c>
      <c r="M38" s="3047"/>
      <c r="N38" s="2146"/>
      <c r="O38" s="2143" t="s">
        <v>4735</v>
      </c>
      <c r="P38" s="2146"/>
      <c r="Q38" s="2146"/>
      <c r="R38" s="2146"/>
    </row>
    <row r="39" spans="1:18" ht="14.25" customHeight="1" x14ac:dyDescent="0.2">
      <c r="G39" s="1844" t="str">
        <f>IF(F37=SUM('203'!O35:O39,+'203'!M109+'202'!G34+'202'!G55+'202'!G63)," ","ERROR**")</f>
        <v xml:space="preserve"> </v>
      </c>
      <c r="J39" s="1844" t="str">
        <f>IF(I37=-SUM('305'!G17:G39)," ","ERROR**")</f>
        <v xml:space="preserve"> </v>
      </c>
      <c r="M39" s="1844" t="str">
        <f>IF(L37=SUM('431G'!D36)," ","ERROR**")</f>
        <v xml:space="preserve"> </v>
      </c>
    </row>
    <row r="40" spans="1:18" x14ac:dyDescent="0.2">
      <c r="A40" s="1418" t="str">
        <f>IF(G39="ERROR*","ERROR*: Prior year adjustments must be identified both on worksheet 203 and 430G.","")</f>
        <v/>
      </c>
      <c r="F40" s="1441"/>
      <c r="G40" s="1844"/>
      <c r="I40" s="1441"/>
      <c r="J40" s="1441"/>
    </row>
    <row r="41" spans="1:18" ht="14.25" customHeight="1" x14ac:dyDescent="0.2">
      <c r="A41" s="1418" t="str">
        <f>IF(J39="ERROR**","ERROR**: Fund Equity Restatements listed above for Long-Term Debt does not equal the sum of the adjustments shown on worksheet 305.","")</f>
        <v/>
      </c>
      <c r="F41" s="1441"/>
      <c r="G41" s="1441"/>
      <c r="I41" s="1441"/>
      <c r="J41" s="1441"/>
    </row>
    <row r="42" spans="1:18" x14ac:dyDescent="0.2">
      <c r="F42" s="1441"/>
      <c r="G42" s="1441"/>
      <c r="I42" s="1441"/>
      <c r="J42" s="1441"/>
    </row>
    <row r="43" spans="1:18" x14ac:dyDescent="0.2">
      <c r="A43" s="272" t="s">
        <v>82</v>
      </c>
      <c r="B43" s="272"/>
      <c r="C43" s="272"/>
      <c r="D43" s="272"/>
      <c r="E43" s="272"/>
      <c r="F43" s="272"/>
      <c r="G43" s="272"/>
      <c r="H43" s="272"/>
      <c r="I43" s="272"/>
      <c r="J43" s="272"/>
      <c r="K43" s="272"/>
      <c r="L43" s="272"/>
      <c r="M43" s="272"/>
      <c r="N43" s="272"/>
      <c r="O43" s="272"/>
      <c r="P43" s="272"/>
      <c r="Q43" s="272"/>
      <c r="R43" s="1384"/>
    </row>
    <row r="44" spans="1:18" x14ac:dyDescent="0.2">
      <c r="A44" s="3045" t="s">
        <v>4688</v>
      </c>
      <c r="B44" s="3045"/>
      <c r="C44" s="3045"/>
      <c r="D44" s="3045"/>
      <c r="E44" s="3045"/>
      <c r="F44" s="3045"/>
      <c r="G44" s="3045"/>
      <c r="H44" s="3045"/>
      <c r="I44" s="3045"/>
      <c r="J44" s="3045"/>
      <c r="K44" s="3045"/>
      <c r="L44" s="3045"/>
      <c r="M44" s="3045"/>
      <c r="N44" s="3045"/>
      <c r="O44" s="3045"/>
      <c r="P44" s="3045"/>
      <c r="Q44" s="3046"/>
      <c r="R44" s="3046"/>
    </row>
    <row r="45" spans="1:18" ht="14.85" customHeight="1" x14ac:dyDescent="0.2">
      <c r="A45" s="3043" t="s">
        <v>1327</v>
      </c>
      <c r="B45" s="2739"/>
      <c r="C45" s="2739"/>
      <c r="D45" s="2739"/>
      <c r="E45" s="2739"/>
      <c r="F45" s="2739"/>
      <c r="G45" s="2739"/>
      <c r="H45" s="2739"/>
      <c r="I45" s="2739"/>
      <c r="J45" s="2739"/>
      <c r="K45" s="2739"/>
      <c r="L45" s="2739"/>
      <c r="M45" s="2739"/>
      <c r="N45" s="2739"/>
      <c r="O45" s="2739"/>
      <c r="P45" s="2739"/>
      <c r="Q45" s="2739"/>
      <c r="R45" s="2739"/>
    </row>
    <row r="46" spans="1:18" ht="14.85" customHeight="1" x14ac:dyDescent="0.2"/>
    <row r="47" spans="1:18" ht="14.85" customHeight="1" x14ac:dyDescent="0.2"/>
    <row r="48" spans="1:18" ht="14.85" customHeight="1" x14ac:dyDescent="0.2"/>
    <row r="49" ht="14.85" customHeight="1" x14ac:dyDescent="0.2"/>
    <row r="50" ht="14.85" customHeight="1" x14ac:dyDescent="0.2"/>
    <row r="51" ht="14.85" customHeight="1" x14ac:dyDescent="0.2"/>
    <row r="53" s="14" customFormat="1" x14ac:dyDescent="0.2"/>
  </sheetData>
  <sheetProtection algorithmName="SHA-512" hashValue="Oj1P6m//6a8Qxro6ygcSu8KdNMxjVwhWuIJWfQ2E1rJgjOQv10L0zfZvEPOKTu+TVJJFhlvqNmYpFvj8p/vjRQ==" saltValue="SVbrhUuCN4YJMh6LWwrl1A==" spinCount="100000" sheet="1" objects="1" scenarios="1" autoFilter="0"/>
  <customSheetViews>
    <customSheetView guid="{B08879A4-635B-4C39-9937-AC7883D562FC}" fitToPage="1" hiddenRows="1">
      <selection sqref="A1:R1"/>
      <pageMargins left="0.5" right="0" top="0.25" bottom="0.25" header="0.5" footer="0.5"/>
      <pageSetup scale="77" orientation="landscape" r:id="rId1"/>
      <headerFooter alignWithMargins="0">
        <oddFooter>&amp;R&amp;A</oddFooter>
      </headerFooter>
    </customSheetView>
    <customSheetView guid="{9FCFC836-1CA5-48BF-958D-24D2EA94B219}" fitToPage="1" hiddenRows="1">
      <selection sqref="A1:R1"/>
      <pageMargins left="0.5" right="0" top="0.25" bottom="0.25" header="0.5" footer="0.5"/>
      <pageSetup scale="77" orientation="landscape" r:id="rId2"/>
      <headerFooter alignWithMargins="0">
        <oddFooter>&amp;R&amp;A</oddFooter>
      </headerFooter>
    </customSheetView>
  </customSheetViews>
  <mergeCells count="103">
    <mergeCell ref="L37:M37"/>
    <mergeCell ref="L38:M38"/>
    <mergeCell ref="C37:D37"/>
    <mergeCell ref="C38:D38"/>
    <mergeCell ref="F26:G26"/>
    <mergeCell ref="C36:D36"/>
    <mergeCell ref="C29:D29"/>
    <mergeCell ref="F33:G33"/>
    <mergeCell ref="C31:D31"/>
    <mergeCell ref="C30:D30"/>
    <mergeCell ref="F30:G30"/>
    <mergeCell ref="F31:G31"/>
    <mergeCell ref="F27:G27"/>
    <mergeCell ref="C27:D27"/>
    <mergeCell ref="C28:D28"/>
    <mergeCell ref="F28:G28"/>
    <mergeCell ref="C26:D26"/>
    <mergeCell ref="A45:R45"/>
    <mergeCell ref="F37:G37"/>
    <mergeCell ref="F29:G29"/>
    <mergeCell ref="C32:D32"/>
    <mergeCell ref="C34:D34"/>
    <mergeCell ref="F34:G34"/>
    <mergeCell ref="O29:R29"/>
    <mergeCell ref="O35:R35"/>
    <mergeCell ref="O36:R36"/>
    <mergeCell ref="C33:D33"/>
    <mergeCell ref="F32:G32"/>
    <mergeCell ref="I34:J34"/>
    <mergeCell ref="L36:M36"/>
    <mergeCell ref="I36:J36"/>
    <mergeCell ref="L29:M29"/>
    <mergeCell ref="C35:D35"/>
    <mergeCell ref="A44:R44"/>
    <mergeCell ref="F35:G35"/>
    <mergeCell ref="O32:R32"/>
    <mergeCell ref="O33:R33"/>
    <mergeCell ref="F38:G38"/>
    <mergeCell ref="F36:G36"/>
    <mergeCell ref="I38:J38"/>
    <mergeCell ref="I37:J37"/>
    <mergeCell ref="O27:R27"/>
    <mergeCell ref="O31:R31"/>
    <mergeCell ref="I35:J35"/>
    <mergeCell ref="L27:M27"/>
    <mergeCell ref="L26:M26"/>
    <mergeCell ref="I29:J29"/>
    <mergeCell ref="I27:J27"/>
    <mergeCell ref="I26:J26"/>
    <mergeCell ref="L28:M28"/>
    <mergeCell ref="I28:J28"/>
    <mergeCell ref="O26:R26"/>
    <mergeCell ref="L35:M35"/>
    <mergeCell ref="I31:J31"/>
    <mergeCell ref="I30:J30"/>
    <mergeCell ref="I32:J32"/>
    <mergeCell ref="I33:J33"/>
    <mergeCell ref="O30:R30"/>
    <mergeCell ref="O34:R34"/>
    <mergeCell ref="O28:R28"/>
    <mergeCell ref="L30:M30"/>
    <mergeCell ref="L34:M34"/>
    <mergeCell ref="L31:M31"/>
    <mergeCell ref="L32:M32"/>
    <mergeCell ref="L33:M33"/>
    <mergeCell ref="A11:Q11"/>
    <mergeCell ref="A12:Q12"/>
    <mergeCell ref="L23:M23"/>
    <mergeCell ref="L22:M22"/>
    <mergeCell ref="I23:J23"/>
    <mergeCell ref="F23:G23"/>
    <mergeCell ref="C23:D23"/>
    <mergeCell ref="I18:J18"/>
    <mergeCell ref="F18:G18"/>
    <mergeCell ref="C18:D18"/>
    <mergeCell ref="I19:J19"/>
    <mergeCell ref="L18:M18"/>
    <mergeCell ref="F19:G19"/>
    <mergeCell ref="I25:J25"/>
    <mergeCell ref="L24:M24"/>
    <mergeCell ref="L25:M25"/>
    <mergeCell ref="C17:D17"/>
    <mergeCell ref="L17:M17"/>
    <mergeCell ref="F17:G17"/>
    <mergeCell ref="I17:J17"/>
    <mergeCell ref="F25:G25"/>
    <mergeCell ref="O24:R24"/>
    <mergeCell ref="O25:R25"/>
    <mergeCell ref="C22:D22"/>
    <mergeCell ref="F22:G22"/>
    <mergeCell ref="I22:J22"/>
    <mergeCell ref="C25:D25"/>
    <mergeCell ref="S1:S3"/>
    <mergeCell ref="A1:R1"/>
    <mergeCell ref="D8:F8"/>
    <mergeCell ref="A2:R2"/>
    <mergeCell ref="A3:R3"/>
    <mergeCell ref="D6:F6"/>
    <mergeCell ref="L6:P6"/>
    <mergeCell ref="L7:P7"/>
    <mergeCell ref="L8:P8"/>
    <mergeCell ref="A4:R4"/>
    <mergeCell ref="R5:R7"/>
  </mergeCells>
  <phoneticPr fontId="0" type="noConversion"/>
  <conditionalFormatting sqref="S1:S3">
    <cfRule type="cellIs" dxfId="83" priority="3" stopIfTrue="1" operator="equal">
      <formula>"na"</formula>
    </cfRule>
  </conditionalFormatting>
  <conditionalFormatting sqref="S4">
    <cfRule type="cellIs" dxfId="82" priority="2" stopIfTrue="1" operator="equal">
      <formula>"na"</formula>
    </cfRule>
  </conditionalFormatting>
  <conditionalFormatting sqref="R5:R7">
    <cfRule type="cellIs" dxfId="81" priority="1" stopIfTrue="1" operator="equal">
      <formula>"na"</formula>
    </cfRule>
  </conditionalFormatting>
  <hyperlinks>
    <hyperlink ref="A1:R1" location="Index!A1" display="Index!A1" xr:uid="{00000000-0004-0000-2200-000000000000}"/>
  </hyperlinks>
  <pageMargins left="0.5" right="0" top="0.25" bottom="0.25" header="0.5" footer="0.5"/>
  <pageSetup scale="79" orientation="landscape" r:id="rId3"/>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pageSetUpPr fitToPage="1"/>
  </sheetPr>
  <dimension ref="A1:S50"/>
  <sheetViews>
    <sheetView zoomScaleNormal="100" workbookViewId="0">
      <selection activeCell="Q38" sqref="Q38"/>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6" customWidth="1"/>
    <col min="11" max="11" width="0.5703125" customWidth="1"/>
    <col min="13" max="13" width="14.5703125" customWidth="1"/>
    <col min="14" max="14" width="0.5703125" customWidth="1"/>
    <col min="17" max="17" width="9.42578125" customWidth="1"/>
    <col min="18" max="18" width="32.42578125" customWidth="1"/>
    <col min="19" max="19" width="7.5703125" customWidth="1"/>
  </cols>
  <sheetData>
    <row r="1" spans="1:19" ht="15.75"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767"/>
      <c r="S1" s="2775" t="s">
        <v>973</v>
      </c>
    </row>
    <row r="2" spans="1:19" ht="15.75" x14ac:dyDescent="0.25">
      <c r="A2" s="3031" t="str">
        <f>+Index!$A$2</f>
        <v>2022 ACFR Worksheets</v>
      </c>
      <c r="B2" s="3031"/>
      <c r="C2" s="3031"/>
      <c r="D2" s="3031"/>
      <c r="E2" s="3031"/>
      <c r="F2" s="3031"/>
      <c r="G2" s="3031"/>
      <c r="H2" s="3031"/>
      <c r="I2" s="3031"/>
      <c r="J2" s="3031"/>
      <c r="K2" s="3031"/>
      <c r="L2" s="3031"/>
      <c r="M2" s="3031"/>
      <c r="N2" s="3031"/>
      <c r="O2" s="3031"/>
      <c r="P2" s="3031"/>
      <c r="Q2" s="3031"/>
      <c r="R2" s="3031"/>
      <c r="S2" s="2768"/>
    </row>
    <row r="3" spans="1:19" ht="15.75" x14ac:dyDescent="0.25">
      <c r="A3" s="2954" t="s">
        <v>3718</v>
      </c>
      <c r="B3" s="2954"/>
      <c r="C3" s="2954"/>
      <c r="D3" s="2954"/>
      <c r="E3" s="2954"/>
      <c r="F3" s="2954"/>
      <c r="G3" s="2954"/>
      <c r="H3" s="2954"/>
      <c r="I3" s="2954"/>
      <c r="J3" s="2954"/>
      <c r="K3" s="2954"/>
      <c r="L3" s="2954"/>
      <c r="M3" s="2954"/>
      <c r="N3" s="2954"/>
      <c r="O3" s="2954"/>
      <c r="P3" s="2954"/>
      <c r="Q3" s="2954"/>
      <c r="R3" s="2954"/>
      <c r="S3" s="2768"/>
    </row>
    <row r="4" spans="1:19" ht="15.75" x14ac:dyDescent="0.25">
      <c r="A4" s="3032" t="s">
        <v>3716</v>
      </c>
      <c r="B4" s="2954"/>
      <c r="C4" s="2954"/>
      <c r="D4" s="2954"/>
      <c r="E4" s="2954"/>
      <c r="F4" s="2954"/>
      <c r="G4" s="2954"/>
      <c r="H4" s="2954"/>
      <c r="I4" s="2954"/>
      <c r="J4" s="2954"/>
      <c r="K4" s="2954"/>
      <c r="L4" s="2954"/>
      <c r="M4" s="2954"/>
      <c r="N4" s="2954"/>
      <c r="O4" s="2954"/>
      <c r="P4" s="2954"/>
      <c r="Q4" s="2954"/>
      <c r="R4" s="2954"/>
      <c r="S4" s="546"/>
    </row>
    <row r="5" spans="1:19" x14ac:dyDescent="0.2">
      <c r="A5" s="22"/>
      <c r="B5" s="22"/>
      <c r="C5" s="22"/>
      <c r="D5" s="22"/>
      <c r="E5" s="22"/>
      <c r="F5" s="22"/>
      <c r="G5" s="22"/>
      <c r="H5" s="22"/>
      <c r="I5" s="22"/>
      <c r="J5" s="22"/>
      <c r="K5" s="22"/>
      <c r="L5" s="22"/>
      <c r="M5" s="22"/>
      <c r="N5" s="22"/>
      <c r="O5" s="22"/>
      <c r="P5" s="22"/>
      <c r="Q5" s="22"/>
      <c r="R5" s="2768" t="str">
        <f>IF(Index!$B$59="na","NA","")</f>
        <v/>
      </c>
    </row>
    <row r="6" spans="1:19" x14ac:dyDescent="0.2">
      <c r="A6" s="1371" t="s">
        <v>327</v>
      </c>
      <c r="B6" s="1372"/>
      <c r="C6" s="1372"/>
      <c r="D6" s="3030" t="str">
        <f>+Index!$E$10</f>
        <v>01</v>
      </c>
      <c r="E6" s="3030"/>
      <c r="F6" s="3030"/>
      <c r="G6" s="1372"/>
      <c r="H6" s="1372"/>
      <c r="I6" s="1372"/>
      <c r="J6" s="1374" t="s">
        <v>1154</v>
      </c>
      <c r="K6" s="253"/>
      <c r="L6" s="2807" t="str">
        <f>+Index!$E$11</f>
        <v>North Carolina General Assembly</v>
      </c>
      <c r="M6" s="2807"/>
      <c r="N6" s="2807"/>
      <c r="O6" s="2807"/>
      <c r="P6" s="2807"/>
      <c r="R6" s="2768"/>
    </row>
    <row r="7" spans="1:19" x14ac:dyDescent="0.2">
      <c r="A7" s="272"/>
      <c r="B7" s="1372"/>
      <c r="C7" s="1372"/>
      <c r="D7" s="1372"/>
      <c r="E7" s="1372"/>
      <c r="F7" s="1372"/>
      <c r="G7" s="1372"/>
      <c r="H7" s="1372"/>
      <c r="I7" s="1372"/>
      <c r="J7" s="1374" t="s">
        <v>972</v>
      </c>
      <c r="K7" s="22"/>
      <c r="L7" s="2832" t="str">
        <f>CONCATENATE(Index!$E$12,"",Index!$E$14)</f>
        <v/>
      </c>
      <c r="M7" s="2832"/>
      <c r="N7" s="2832"/>
      <c r="O7" s="2832"/>
      <c r="P7" s="2832"/>
      <c r="R7" s="2768"/>
    </row>
    <row r="8" spans="1:19" x14ac:dyDescent="0.2">
      <c r="A8" s="1372" t="s">
        <v>477</v>
      </c>
      <c r="B8" s="1372"/>
      <c r="C8" s="1372"/>
      <c r="D8" s="3053"/>
      <c r="E8" s="2866"/>
      <c r="F8" s="2866"/>
      <c r="G8" s="1372"/>
      <c r="H8" s="1372"/>
      <c r="I8" s="1372"/>
      <c r="J8" s="1374" t="s">
        <v>348</v>
      </c>
      <c r="K8" s="253"/>
      <c r="L8" s="2832">
        <f>+Index!$E$13</f>
        <v>0</v>
      </c>
      <c r="M8" s="2832"/>
      <c r="N8" s="2832"/>
      <c r="O8" s="2832"/>
      <c r="P8" s="2832"/>
    </row>
    <row r="9" spans="1:19" ht="13.5" thickBot="1" x14ac:dyDescent="0.25">
      <c r="A9" s="120"/>
      <c r="B9" s="120"/>
      <c r="C9" s="120"/>
      <c r="D9" s="120"/>
      <c r="E9" s="120"/>
      <c r="F9" s="120"/>
      <c r="G9" s="120"/>
      <c r="H9" s="120"/>
      <c r="I9" s="120"/>
      <c r="J9" s="120"/>
      <c r="K9" s="120"/>
      <c r="L9" s="120"/>
      <c r="M9" s="120"/>
      <c r="N9" s="120"/>
      <c r="O9" s="120"/>
      <c r="P9" s="120"/>
      <c r="Q9" s="120"/>
      <c r="R9" s="120"/>
    </row>
    <row r="10" spans="1:19" x14ac:dyDescent="0.2">
      <c r="A10" s="22"/>
      <c r="B10" s="22"/>
      <c r="C10" s="22"/>
      <c r="D10" s="22"/>
      <c r="E10" s="22"/>
      <c r="F10" s="22"/>
      <c r="G10" s="22"/>
      <c r="H10" s="22"/>
      <c r="I10" s="22"/>
      <c r="J10" s="22"/>
      <c r="K10" s="22"/>
      <c r="L10" s="22"/>
      <c r="M10" s="22"/>
      <c r="N10" s="22"/>
      <c r="O10" s="22"/>
      <c r="P10" s="22"/>
      <c r="Q10" s="22"/>
      <c r="R10" s="22"/>
    </row>
    <row r="11" spans="1:19" x14ac:dyDescent="0.2">
      <c r="A11" s="3039" t="s">
        <v>1956</v>
      </c>
      <c r="B11" s="3039"/>
      <c r="C11" s="3039"/>
      <c r="D11" s="3039"/>
      <c r="E11" s="3039"/>
      <c r="F11" s="3039"/>
      <c r="G11" s="3039"/>
      <c r="H11" s="3039"/>
      <c r="I11" s="3039"/>
      <c r="J11" s="3039"/>
      <c r="K11" s="3039"/>
      <c r="L11" s="3039"/>
      <c r="M11" s="3039"/>
      <c r="N11" s="3039"/>
      <c r="O11" s="3039"/>
      <c r="P11" s="3039"/>
      <c r="Q11" s="3039"/>
      <c r="R11" s="1372"/>
    </row>
    <row r="12" spans="1:19" x14ac:dyDescent="0.2">
      <c r="A12" s="3039" t="s">
        <v>4658</v>
      </c>
      <c r="B12" s="3039"/>
      <c r="C12" s="3039"/>
      <c r="D12" s="3039"/>
      <c r="E12" s="3039"/>
      <c r="F12" s="3039"/>
      <c r="G12" s="3039"/>
      <c r="H12" s="3039"/>
      <c r="I12" s="3039"/>
      <c r="J12" s="3039"/>
      <c r="K12" s="3039"/>
      <c r="L12" s="3039"/>
      <c r="M12" s="3039"/>
      <c r="N12" s="3039"/>
      <c r="O12" s="3039"/>
      <c r="P12" s="3039"/>
      <c r="Q12" s="3039"/>
      <c r="R12" s="1372"/>
    </row>
    <row r="13" spans="1:19" x14ac:dyDescent="0.2">
      <c r="A13" s="1372"/>
      <c r="B13" s="1372"/>
      <c r="C13" s="1372"/>
      <c r="D13" s="1372"/>
      <c r="E13" s="1372"/>
      <c r="F13" s="1372"/>
      <c r="G13" s="1372"/>
      <c r="H13" s="1372"/>
      <c r="I13" s="1372"/>
      <c r="J13" s="1372"/>
      <c r="K13" s="1372"/>
      <c r="L13" s="1372"/>
      <c r="M13" s="1372"/>
      <c r="N13" s="1372"/>
      <c r="O13" s="1372"/>
      <c r="P13" s="1372"/>
      <c r="Q13" s="1372"/>
      <c r="R13" s="1372"/>
    </row>
    <row r="14" spans="1:19" ht="11.1" customHeight="1" x14ac:dyDescent="0.2">
      <c r="A14" s="1372"/>
      <c r="B14" s="1372"/>
      <c r="C14" s="1372"/>
      <c r="D14" s="1372"/>
      <c r="E14" s="1372"/>
      <c r="F14" s="1372"/>
      <c r="G14" s="1372"/>
      <c r="H14" s="1372"/>
      <c r="I14" s="1372"/>
      <c r="J14" s="1372"/>
      <c r="K14" s="1372"/>
      <c r="L14" s="1372"/>
      <c r="M14" s="1372"/>
      <c r="N14" s="1372"/>
      <c r="O14" s="1372"/>
      <c r="P14" s="1372"/>
      <c r="Q14" s="1372"/>
      <c r="R14" s="1372"/>
    </row>
    <row r="15" spans="1:19" ht="14.85" customHeight="1" x14ac:dyDescent="0.2">
      <c r="A15" s="1371" t="s">
        <v>1323</v>
      </c>
      <c r="B15" s="1380"/>
      <c r="C15" s="1382"/>
      <c r="D15" s="1382"/>
      <c r="E15" s="1380"/>
      <c r="F15" s="1382"/>
      <c r="G15" s="1382"/>
      <c r="H15" s="1375"/>
      <c r="I15" s="1382"/>
      <c r="J15" s="1382"/>
      <c r="K15" s="1372"/>
      <c r="L15" s="1382"/>
      <c r="M15" s="1382"/>
      <c r="N15" s="1372"/>
      <c r="O15" s="1383"/>
      <c r="P15" s="1383"/>
      <c r="Q15" s="1383"/>
      <c r="R15" s="1383"/>
    </row>
    <row r="16" spans="1:19" ht="14.25" customHeight="1" x14ac:dyDescent="0.2">
      <c r="A16" s="1380"/>
      <c r="B16" s="1380"/>
      <c r="C16" s="3051"/>
      <c r="D16" s="3051"/>
      <c r="E16" s="1380"/>
      <c r="F16" s="3051"/>
      <c r="G16" s="3051"/>
      <c r="H16" s="1375"/>
      <c r="I16" s="3051"/>
      <c r="J16" s="3051"/>
      <c r="K16" s="1372"/>
      <c r="L16" s="3051"/>
      <c r="M16" s="3051"/>
      <c r="N16" s="1372"/>
      <c r="O16" s="3050"/>
      <c r="P16" s="3050"/>
      <c r="Q16" s="3050"/>
      <c r="R16" s="3050"/>
    </row>
    <row r="17" spans="1:18" x14ac:dyDescent="0.2">
      <c r="A17" s="1372"/>
      <c r="B17" s="1372"/>
      <c r="C17" s="3034" t="s">
        <v>1157</v>
      </c>
      <c r="D17" s="3034"/>
      <c r="E17" s="1372"/>
      <c r="F17" s="3034" t="s">
        <v>1325</v>
      </c>
      <c r="G17" s="3034"/>
      <c r="H17" s="1372"/>
      <c r="I17" s="3034" t="s">
        <v>5486</v>
      </c>
      <c r="J17" s="3034"/>
      <c r="K17" s="1372"/>
      <c r="L17" s="3034"/>
      <c r="M17" s="3034"/>
      <c r="N17" s="1372"/>
      <c r="O17" s="1372"/>
      <c r="P17" s="1372"/>
      <c r="Q17" s="1372"/>
      <c r="R17" s="1372"/>
    </row>
    <row r="18" spans="1:18" ht="14.25" customHeight="1" x14ac:dyDescent="0.2">
      <c r="A18" s="1372"/>
      <c r="B18" s="1372"/>
      <c r="C18" s="3030" t="s">
        <v>649</v>
      </c>
      <c r="D18" s="3030"/>
      <c r="E18" s="1372"/>
      <c r="F18" s="3030" t="s">
        <v>1326</v>
      </c>
      <c r="G18" s="3030"/>
      <c r="H18" s="1372"/>
      <c r="I18" s="3030" t="s">
        <v>1326</v>
      </c>
      <c r="J18" s="3030"/>
      <c r="K18" s="1372"/>
      <c r="L18" s="3030" t="s">
        <v>650</v>
      </c>
      <c r="M18" s="3030"/>
      <c r="N18" s="1372"/>
      <c r="O18" s="1372"/>
      <c r="P18" s="1372"/>
      <c r="Q18" s="1372"/>
      <c r="R18" s="1372"/>
    </row>
    <row r="19" spans="1:18" ht="12.75" hidden="1" customHeight="1" x14ac:dyDescent="0.2">
      <c r="A19" s="1372"/>
      <c r="B19" s="1372"/>
      <c r="C19" s="272"/>
      <c r="D19" s="272"/>
      <c r="E19" s="1372"/>
      <c r="F19" s="3030" t="s">
        <v>973</v>
      </c>
      <c r="G19" s="3030"/>
      <c r="H19" s="1372"/>
      <c r="I19" s="3030" t="s">
        <v>973</v>
      </c>
      <c r="J19" s="3030"/>
      <c r="K19" s="1372"/>
      <c r="L19" s="272"/>
      <c r="M19" s="272"/>
      <c r="N19" s="1372"/>
      <c r="O19" s="1372"/>
      <c r="P19" s="1372"/>
      <c r="Q19" s="1372"/>
      <c r="R19" s="1372"/>
    </row>
    <row r="20" spans="1:18" ht="13.5" hidden="1" customHeight="1" thickBot="1" x14ac:dyDescent="0.25">
      <c r="A20" s="1372"/>
      <c r="B20" s="1372"/>
      <c r="C20" s="1376" t="s">
        <v>973</v>
      </c>
      <c r="D20" s="1376" t="s">
        <v>973</v>
      </c>
      <c r="E20" s="1372"/>
      <c r="F20" s="1376" t="s">
        <v>973</v>
      </c>
      <c r="G20" s="1376"/>
      <c r="H20" s="1372"/>
      <c r="I20" s="1376" t="s">
        <v>973</v>
      </c>
      <c r="J20" s="1376"/>
      <c r="K20" s="1372"/>
      <c r="L20" s="1376" t="s">
        <v>973</v>
      </c>
      <c r="M20" s="1376"/>
      <c r="N20" s="1372"/>
      <c r="O20" s="1372"/>
      <c r="P20" s="1372"/>
      <c r="Q20" s="1372"/>
      <c r="R20" s="1372"/>
    </row>
    <row r="21" spans="1:18" ht="12.75" hidden="1" customHeight="1" x14ac:dyDescent="0.2">
      <c r="A21" s="1372"/>
      <c r="B21" s="1372"/>
      <c r="C21" s="1377"/>
      <c r="D21" s="1377"/>
      <c r="E21" s="1372"/>
      <c r="F21" s="1377"/>
      <c r="G21" s="1377"/>
      <c r="H21" s="1372"/>
      <c r="I21" s="1377"/>
      <c r="J21" s="1377"/>
      <c r="K21" s="1372"/>
      <c r="L21" s="1377"/>
      <c r="M21" s="1377"/>
      <c r="N21" s="1372"/>
      <c r="O21" s="1372"/>
      <c r="P21" s="1372"/>
      <c r="Q21" s="1372"/>
      <c r="R21" s="1372"/>
    </row>
    <row r="22" spans="1:18" x14ac:dyDescent="0.2">
      <c r="A22" s="1375" t="s">
        <v>1157</v>
      </c>
      <c r="B22" s="1375"/>
      <c r="C22" s="3037" t="s">
        <v>4177</v>
      </c>
      <c r="D22" s="3037"/>
      <c r="E22" s="2097"/>
      <c r="F22" s="3037" t="s">
        <v>4176</v>
      </c>
      <c r="G22" s="3037"/>
      <c r="H22" s="1375"/>
      <c r="I22" s="3037" t="s">
        <v>4176</v>
      </c>
      <c r="J22" s="3037"/>
      <c r="K22" s="1375"/>
      <c r="L22" s="3037" t="s">
        <v>4177</v>
      </c>
      <c r="M22" s="3037"/>
      <c r="N22" s="1375"/>
      <c r="O22" s="1372"/>
      <c r="P22" s="1372"/>
      <c r="Q22" s="1372"/>
      <c r="R22" s="1372"/>
    </row>
    <row r="23" spans="1:18" x14ac:dyDescent="0.2">
      <c r="A23" s="1375" t="s">
        <v>795</v>
      </c>
      <c r="B23" s="1375"/>
      <c r="C23" s="3040">
        <v>44378</v>
      </c>
      <c r="D23" s="3040"/>
      <c r="E23" s="1375"/>
      <c r="F23" s="3040">
        <v>44378</v>
      </c>
      <c r="G23" s="3040"/>
      <c r="H23" s="1375"/>
      <c r="I23" s="3040">
        <v>44378</v>
      </c>
      <c r="J23" s="3040"/>
      <c r="K23" s="1375"/>
      <c r="L23" s="3040">
        <v>44378</v>
      </c>
      <c r="M23" s="3040"/>
      <c r="N23" s="1375"/>
      <c r="O23" s="1372"/>
      <c r="P23" s="1372"/>
      <c r="Q23" s="1372"/>
      <c r="R23" s="1372"/>
    </row>
    <row r="24" spans="1:18" x14ac:dyDescent="0.2">
      <c r="A24" s="1373" t="s">
        <v>808</v>
      </c>
      <c r="B24" s="1375"/>
      <c r="C24" s="1378" t="s">
        <v>809</v>
      </c>
      <c r="D24" s="1378"/>
      <c r="E24" s="1375"/>
      <c r="F24" s="1378" t="s">
        <v>1343</v>
      </c>
      <c r="G24" s="1378"/>
      <c r="H24" s="2138"/>
      <c r="I24" s="1378" t="s">
        <v>1343</v>
      </c>
      <c r="J24" s="1378"/>
      <c r="K24" s="1375"/>
      <c r="L24" s="3034" t="s">
        <v>809</v>
      </c>
      <c r="M24" s="3034"/>
      <c r="N24" s="1375"/>
      <c r="O24" s="3030" t="s">
        <v>810</v>
      </c>
      <c r="P24" s="3030"/>
      <c r="Q24" s="3030"/>
      <c r="R24" s="3030"/>
    </row>
    <row r="25" spans="1:18" ht="14.85" customHeight="1" x14ac:dyDescent="0.2">
      <c r="A25" s="1379" t="s">
        <v>973</v>
      </c>
      <c r="B25" s="1380"/>
      <c r="C25" s="3042" t="s">
        <v>973</v>
      </c>
      <c r="D25" s="3042"/>
      <c r="E25" s="2139"/>
      <c r="F25" s="3035"/>
      <c r="G25" s="3035"/>
      <c r="H25" s="2138"/>
      <c r="I25" s="3033" t="s">
        <v>973</v>
      </c>
      <c r="J25" s="3033"/>
      <c r="K25" s="1372"/>
      <c r="L25" s="3033"/>
      <c r="M25" s="3033"/>
      <c r="N25" s="1372"/>
      <c r="O25" s="3036" t="s">
        <v>5375</v>
      </c>
      <c r="P25" s="3036"/>
      <c r="Q25" s="3036"/>
      <c r="R25" s="3036"/>
    </row>
    <row r="26" spans="1:18" ht="14.85" customHeight="1" x14ac:dyDescent="0.2">
      <c r="A26" s="1379" t="s">
        <v>973</v>
      </c>
      <c r="B26" s="1380"/>
      <c r="C26" s="3042"/>
      <c r="D26" s="3042"/>
      <c r="E26" s="2139"/>
      <c r="F26" s="3033"/>
      <c r="G26" s="3033"/>
      <c r="H26" s="2138"/>
      <c r="I26" s="3035"/>
      <c r="J26" s="3035"/>
      <c r="K26" s="1372"/>
      <c r="L26" s="3033"/>
      <c r="M26" s="3033"/>
      <c r="N26" s="1372"/>
      <c r="O26" s="3036" t="s">
        <v>5376</v>
      </c>
      <c r="P26" s="3036"/>
      <c r="Q26" s="3036"/>
      <c r="R26" s="3036"/>
    </row>
    <row r="27" spans="1:18" ht="14.85" customHeight="1" x14ac:dyDescent="0.2">
      <c r="A27" s="1379"/>
      <c r="B27" s="1380"/>
      <c r="C27" s="3042"/>
      <c r="D27" s="3042"/>
      <c r="E27" s="2139"/>
      <c r="F27" s="3035"/>
      <c r="G27" s="3035"/>
      <c r="H27" s="2138"/>
      <c r="I27" s="3033"/>
      <c r="J27" s="3033"/>
      <c r="K27" s="1372"/>
      <c r="L27" s="3033"/>
      <c r="M27" s="3033"/>
      <c r="N27" s="1372"/>
      <c r="O27" s="3036" t="s">
        <v>5377</v>
      </c>
      <c r="P27" s="3036"/>
      <c r="Q27" s="3036"/>
      <c r="R27" s="3036"/>
    </row>
    <row r="28" spans="1:18" ht="14.85" customHeight="1" x14ac:dyDescent="0.2">
      <c r="A28" s="1379"/>
      <c r="B28" s="1380"/>
      <c r="C28" s="3042"/>
      <c r="D28" s="3042"/>
      <c r="E28" s="1380"/>
      <c r="F28" s="3033"/>
      <c r="G28" s="3033"/>
      <c r="H28" s="2138"/>
      <c r="I28" s="3035"/>
      <c r="J28" s="3035"/>
      <c r="K28" s="1372"/>
      <c r="L28" s="3033"/>
      <c r="M28" s="3033"/>
      <c r="N28" s="1372"/>
      <c r="O28" s="3036" t="s">
        <v>5378</v>
      </c>
      <c r="P28" s="3036"/>
      <c r="Q28" s="3036"/>
      <c r="R28" s="3036"/>
    </row>
    <row r="29" spans="1:18" ht="14.85" customHeight="1" x14ac:dyDescent="0.2">
      <c r="A29" s="1379"/>
      <c r="B29" s="1380"/>
      <c r="C29" s="3042"/>
      <c r="D29" s="3042"/>
      <c r="E29" s="1380"/>
      <c r="F29" s="3033"/>
      <c r="G29" s="3033"/>
      <c r="H29" s="2138"/>
      <c r="I29" s="3033"/>
      <c r="J29" s="3033"/>
      <c r="K29" s="1372"/>
      <c r="L29" s="3035"/>
      <c r="M29" s="3035"/>
      <c r="N29" s="1372"/>
      <c r="O29" s="3036" t="s">
        <v>5371</v>
      </c>
      <c r="P29" s="3036"/>
      <c r="Q29" s="3036"/>
      <c r="R29" s="3036"/>
    </row>
    <row r="30" spans="1:18" ht="14.85" customHeight="1" x14ac:dyDescent="0.2">
      <c r="A30" s="1379"/>
      <c r="B30" s="1380"/>
      <c r="C30" s="3042"/>
      <c r="D30" s="3042"/>
      <c r="E30" s="1380"/>
      <c r="F30" s="3033"/>
      <c r="G30" s="3033"/>
      <c r="H30" s="1375"/>
      <c r="I30" s="3033"/>
      <c r="J30" s="3033"/>
      <c r="K30" s="1372"/>
      <c r="L30" s="3035"/>
      <c r="M30" s="3035"/>
      <c r="N30" s="1372"/>
      <c r="O30" s="3036" t="s">
        <v>5372</v>
      </c>
      <c r="P30" s="3036"/>
      <c r="Q30" s="3036"/>
      <c r="R30" s="3036"/>
    </row>
    <row r="31" spans="1:18" ht="14.85" customHeight="1" x14ac:dyDescent="0.2">
      <c r="A31" s="1379"/>
      <c r="B31" s="1380"/>
      <c r="C31" s="3042"/>
      <c r="D31" s="3042"/>
      <c r="E31" s="1380"/>
      <c r="F31" s="3042"/>
      <c r="G31" s="3042"/>
      <c r="H31" s="1375"/>
      <c r="I31" s="3042"/>
      <c r="J31" s="3042"/>
      <c r="K31" s="1372"/>
      <c r="L31" s="3042"/>
      <c r="M31" s="3042"/>
      <c r="N31" s="1372"/>
      <c r="O31" s="3036"/>
      <c r="P31" s="3036"/>
      <c r="Q31" s="3036"/>
      <c r="R31" s="3036"/>
    </row>
    <row r="32" spans="1:18" ht="14.85" customHeight="1" x14ac:dyDescent="0.2">
      <c r="A32" s="1379"/>
      <c r="B32" s="1380"/>
      <c r="C32" s="3042" t="s">
        <v>973</v>
      </c>
      <c r="D32" s="3042"/>
      <c r="E32" s="1380"/>
      <c r="F32" s="3042"/>
      <c r="G32" s="3042"/>
      <c r="H32" s="1375"/>
      <c r="I32" s="3042"/>
      <c r="J32" s="3042"/>
      <c r="K32" s="1372"/>
      <c r="L32" s="3042" t="s">
        <v>973</v>
      </c>
      <c r="M32" s="3042"/>
      <c r="N32" s="1372"/>
      <c r="O32" s="3036" t="s">
        <v>973</v>
      </c>
      <c r="P32" s="3036"/>
      <c r="Q32" s="3036"/>
      <c r="R32" s="3036"/>
    </row>
    <row r="33" spans="1:18" ht="14.85" customHeight="1" x14ac:dyDescent="0.2">
      <c r="A33" s="1379"/>
      <c r="B33" s="1380"/>
      <c r="C33" s="3042"/>
      <c r="D33" s="3042"/>
      <c r="E33" s="1380"/>
      <c r="F33" s="3042">
        <v>0</v>
      </c>
      <c r="G33" s="3042"/>
      <c r="H33" s="1375"/>
      <c r="I33" s="3042">
        <v>0</v>
      </c>
      <c r="J33" s="3042"/>
      <c r="K33" s="1372"/>
      <c r="L33" s="3042"/>
      <c r="M33" s="3042"/>
      <c r="N33" s="1372"/>
      <c r="O33" s="3036"/>
      <c r="P33" s="3036"/>
      <c r="Q33" s="3036"/>
      <c r="R33" s="3036"/>
    </row>
    <row r="34" spans="1:18" ht="14.85" customHeight="1" x14ac:dyDescent="0.2">
      <c r="A34" s="1379"/>
      <c r="B34" s="1380"/>
      <c r="C34" s="3042"/>
      <c r="D34" s="3042"/>
      <c r="E34" s="1380"/>
      <c r="F34" s="3042"/>
      <c r="G34" s="3042"/>
      <c r="H34" s="1375"/>
      <c r="I34" s="3042"/>
      <c r="J34" s="3042"/>
      <c r="K34" s="1372"/>
      <c r="L34" s="3042"/>
      <c r="M34" s="3042"/>
      <c r="N34" s="1372"/>
      <c r="O34" s="3036"/>
      <c r="P34" s="3036"/>
      <c r="Q34" s="3036"/>
      <c r="R34" s="3036"/>
    </row>
    <row r="35" spans="1:18" ht="14.85" customHeight="1" x14ac:dyDescent="0.2">
      <c r="A35" s="1379"/>
      <c r="B35" s="1380"/>
      <c r="C35" s="3042"/>
      <c r="D35" s="3042"/>
      <c r="E35" s="1380"/>
      <c r="F35" s="3042"/>
      <c r="G35" s="3042"/>
      <c r="H35" s="1375"/>
      <c r="I35" s="3042"/>
      <c r="J35" s="3042"/>
      <c r="K35" s="1372"/>
      <c r="L35" s="3042"/>
      <c r="M35" s="3042"/>
      <c r="N35" s="1372"/>
      <c r="O35" s="3036"/>
      <c r="P35" s="3036"/>
      <c r="Q35" s="3036"/>
      <c r="R35" s="3036"/>
    </row>
    <row r="36" spans="1:18" s="2358" customFormat="1" ht="14.85" customHeight="1" x14ac:dyDescent="0.2">
      <c r="A36" s="2419"/>
      <c r="B36" s="2419"/>
      <c r="C36" s="2070"/>
      <c r="D36" s="2070"/>
      <c r="E36" s="2419"/>
      <c r="F36" s="2070"/>
      <c r="G36" s="2070"/>
      <c r="H36" s="2419"/>
      <c r="I36" s="2070"/>
      <c r="J36" s="2070"/>
      <c r="K36" s="2146"/>
      <c r="L36" s="2070"/>
      <c r="M36" s="2070"/>
      <c r="N36" s="2146"/>
      <c r="O36" s="2146"/>
      <c r="P36" s="2146"/>
      <c r="Q36" s="2146"/>
      <c r="R36" s="2146"/>
    </row>
    <row r="37" spans="1:18" ht="14.85" customHeight="1" x14ac:dyDescent="0.2">
      <c r="A37" s="2419" t="s">
        <v>3571</v>
      </c>
      <c r="B37" s="1380"/>
      <c r="C37" s="3052">
        <f>SUM(C25:D35)</f>
        <v>0</v>
      </c>
      <c r="D37" s="3052"/>
      <c r="E37" s="1406"/>
      <c r="F37" s="3052">
        <f>SUM(F25:G35)</f>
        <v>0</v>
      </c>
      <c r="G37" s="3052"/>
      <c r="H37" s="1407"/>
      <c r="I37" s="3052">
        <f>SUM(I25:J35)</f>
        <v>0</v>
      </c>
      <c r="J37" s="3052"/>
      <c r="K37" s="1408"/>
      <c r="L37" s="3052">
        <f>SUM(L25:M35)</f>
        <v>0</v>
      </c>
      <c r="M37" s="3052"/>
      <c r="N37" s="1372"/>
      <c r="O37" s="1383"/>
      <c r="P37" s="1383"/>
      <c r="Q37" s="1383"/>
      <c r="R37" s="1383"/>
    </row>
    <row r="38" spans="1:18" ht="14.85" customHeight="1" x14ac:dyDescent="0.2">
      <c r="F38" s="1417"/>
      <c r="G38" s="1418" t="str">
        <f>IF(F37=(SUM('201'!F41,-'210'!I31)),"","ERROR*")</f>
        <v/>
      </c>
      <c r="I38" s="1417"/>
      <c r="J38" s="1440" t="str">
        <f>IF(I37=(-SUM('310'!G17:G41)),"","ERROR**")</f>
        <v/>
      </c>
    </row>
    <row r="39" spans="1:18" ht="14.85" customHeight="1" x14ac:dyDescent="0.2">
      <c r="A39" s="1380" t="s">
        <v>973</v>
      </c>
      <c r="B39" s="1380"/>
      <c r="M39" s="2146"/>
      <c r="N39" s="1372"/>
      <c r="O39" s="1383"/>
      <c r="P39" s="1383"/>
      <c r="Q39" s="1383"/>
      <c r="R39" s="1383"/>
    </row>
    <row r="40" spans="1:18" ht="14.85" customHeight="1" thickBot="1" x14ac:dyDescent="0.25">
      <c r="A40" s="1380"/>
      <c r="B40" s="1380"/>
      <c r="C40" s="3044">
        <f>F37+I37+L37</f>
        <v>0</v>
      </c>
      <c r="D40" s="3044"/>
      <c r="E40" s="1380"/>
      <c r="F40" s="2143" t="s">
        <v>4736</v>
      </c>
      <c r="G40" s="2144"/>
      <c r="H40" s="2145"/>
      <c r="I40" s="2144"/>
      <c r="J40" s="2144"/>
      <c r="K40" s="2144"/>
      <c r="L40" s="2144"/>
      <c r="M40" s="2146"/>
      <c r="N40" s="2146"/>
      <c r="O40" s="2146"/>
      <c r="P40" s="2146"/>
      <c r="Q40" s="2146"/>
      <c r="R40" s="1383"/>
    </row>
    <row r="41" spans="1:18" ht="14.85" customHeight="1" thickTop="1" x14ac:dyDescent="0.2">
      <c r="A41" s="1380"/>
      <c r="B41" s="1380"/>
      <c r="C41" s="1382"/>
      <c r="D41" s="1382"/>
      <c r="E41" s="1380"/>
      <c r="F41" s="1382"/>
      <c r="G41" s="1382"/>
      <c r="H41" s="1375"/>
      <c r="I41" s="1382"/>
      <c r="J41" s="1382"/>
      <c r="K41" s="1372"/>
      <c r="L41" s="1382"/>
      <c r="M41" s="1382"/>
      <c r="N41" s="1372"/>
      <c r="O41" s="1383"/>
      <c r="P41" s="1383"/>
      <c r="Q41" s="1383"/>
      <c r="R41" s="1383"/>
    </row>
    <row r="42" spans="1:18" ht="14.85" customHeight="1" x14ac:dyDescent="0.2">
      <c r="A42" s="1439" t="str">
        <f>IF(G38="ERROR*","ERROR*: Fund Equity Restatements listed above for Capital Assets does not equal the sum of the adjustments shown on worksheet 201 and 210.","")</f>
        <v/>
      </c>
      <c r="B42" s="1380"/>
      <c r="C42" s="1382"/>
      <c r="D42" s="1382"/>
      <c r="E42" s="1380"/>
      <c r="F42" s="1382"/>
      <c r="G42" s="1382"/>
      <c r="H42" s="1375"/>
      <c r="I42" s="1382"/>
      <c r="J42" s="1382"/>
      <c r="K42" s="1372"/>
      <c r="L42" s="1382"/>
      <c r="M42" s="1382"/>
      <c r="N42" s="1372"/>
      <c r="O42" s="1383"/>
      <c r="P42" s="1383"/>
      <c r="Q42" s="1383"/>
      <c r="R42" s="1383"/>
    </row>
    <row r="43" spans="1:18" ht="14.85" customHeight="1" x14ac:dyDescent="0.2">
      <c r="A43" s="1439" t="str">
        <f>IF(J38="ERROR**","ERROR**: Fund Equity Restatements listed above for Long Term/Short Term Transactions does not equal the sum of the adjustments shown on worksheet 310.","")</f>
        <v/>
      </c>
      <c r="B43" s="1380"/>
      <c r="C43" s="1382"/>
      <c r="D43" s="1382"/>
      <c r="E43" s="1380"/>
      <c r="F43" s="1382"/>
      <c r="G43" s="1382"/>
      <c r="H43" s="1375"/>
      <c r="I43" s="1382"/>
      <c r="J43" s="1382"/>
      <c r="K43" s="1372"/>
      <c r="L43" s="1382"/>
      <c r="M43" s="1382"/>
      <c r="N43" s="1372"/>
      <c r="O43" s="1383"/>
      <c r="P43" s="1383"/>
      <c r="Q43" s="1383"/>
      <c r="R43" s="1383"/>
    </row>
    <row r="44" spans="1:18" ht="14.85" customHeight="1" x14ac:dyDescent="0.2">
      <c r="A44" s="1380"/>
      <c r="B44" s="1380"/>
      <c r="C44" s="3051"/>
      <c r="D44" s="3051"/>
      <c r="E44" s="1380"/>
      <c r="F44" s="3051"/>
      <c r="G44" s="3051"/>
      <c r="H44" s="1375"/>
      <c r="I44" s="3051"/>
      <c r="J44" s="3051"/>
      <c r="K44" s="1372"/>
      <c r="L44" s="3051"/>
      <c r="M44" s="3051"/>
      <c r="N44" s="1372"/>
      <c r="O44" s="3050"/>
      <c r="P44" s="3050"/>
      <c r="Q44" s="3050"/>
      <c r="R44" s="3050"/>
    </row>
    <row r="45" spans="1:18" x14ac:dyDescent="0.2">
      <c r="A45" s="272" t="s">
        <v>82</v>
      </c>
      <c r="B45" s="272"/>
      <c r="C45" s="272"/>
      <c r="D45" s="272"/>
      <c r="E45" s="272"/>
      <c r="F45" s="272"/>
      <c r="G45" s="272"/>
      <c r="H45" s="272"/>
      <c r="I45" s="272"/>
      <c r="J45" s="272"/>
      <c r="K45" s="272"/>
      <c r="L45" s="272"/>
      <c r="M45" s="272"/>
      <c r="N45" s="272"/>
      <c r="O45" s="272"/>
      <c r="P45" s="272"/>
      <c r="Q45" s="272"/>
      <c r="R45" s="1384"/>
    </row>
    <row r="46" spans="1:18" x14ac:dyDescent="0.2">
      <c r="A46" s="3049" t="s">
        <v>3572</v>
      </c>
      <c r="B46" s="3049"/>
      <c r="C46" s="3049"/>
      <c r="D46" s="3049"/>
      <c r="E46" s="3049"/>
      <c r="F46" s="3049"/>
      <c r="G46" s="3049"/>
      <c r="H46" s="3049"/>
      <c r="I46" s="3049"/>
      <c r="J46" s="3049"/>
      <c r="K46" s="3049"/>
      <c r="L46" s="3049"/>
      <c r="M46" s="3049"/>
      <c r="N46" s="3049"/>
      <c r="O46" s="3049"/>
      <c r="P46" s="3049"/>
      <c r="Q46" s="3049"/>
      <c r="R46" s="3049"/>
    </row>
    <row r="47" spans="1:18" x14ac:dyDescent="0.2">
      <c r="A47" s="3049" t="s">
        <v>3573</v>
      </c>
      <c r="B47" s="3049"/>
      <c r="C47" s="3049"/>
      <c r="D47" s="3049"/>
      <c r="E47" s="3049"/>
      <c r="F47" s="3049"/>
      <c r="G47" s="3049"/>
      <c r="H47" s="3049"/>
      <c r="I47" s="3049"/>
      <c r="J47" s="3049"/>
      <c r="K47" s="3049"/>
      <c r="L47" s="3049"/>
      <c r="M47" s="3049"/>
      <c r="N47" s="3049"/>
      <c r="O47" s="3049"/>
      <c r="P47" s="3049"/>
      <c r="Q47" s="3049"/>
      <c r="R47" s="3049"/>
    </row>
    <row r="48" spans="1:18" x14ac:dyDescent="0.2">
      <c r="A48" s="1848"/>
    </row>
    <row r="49" spans="1:1" x14ac:dyDescent="0.2">
      <c r="A49" s="1848"/>
    </row>
    <row r="50" spans="1:1" x14ac:dyDescent="0.2">
      <c r="A50" s="272"/>
    </row>
  </sheetData>
  <sheetProtection algorithmName="SHA-512" hashValue="EII00Yucp5yqG0tS+pdoZ+3swa331yXN41gPKTfTFRn8D1WgpRtPdh2hCSLhsH2fCiukS251j4n7TTXTgJXRDw==" saltValue="/M/+XO9wpGps3MxyVqmo3w==" spinCount="100000" sheet="1" objects="1" scenarios="1" autoFilter="0"/>
  <mergeCells count="105">
    <mergeCell ref="C35:D35"/>
    <mergeCell ref="F35:G35"/>
    <mergeCell ref="I35:J35"/>
    <mergeCell ref="L35:M35"/>
    <mergeCell ref="O35:R35"/>
    <mergeCell ref="C40:D40"/>
    <mergeCell ref="C37:D37"/>
    <mergeCell ref="C33:D33"/>
    <mergeCell ref="F33:G33"/>
    <mergeCell ref="I33:J33"/>
    <mergeCell ref="L33:M33"/>
    <mergeCell ref="O33:R33"/>
    <mergeCell ref="C34:D34"/>
    <mergeCell ref="F34:G34"/>
    <mergeCell ref="I34:J34"/>
    <mergeCell ref="L34:M34"/>
    <mergeCell ref="O34:R34"/>
    <mergeCell ref="O28:R28"/>
    <mergeCell ref="C29:D29"/>
    <mergeCell ref="F29:G29"/>
    <mergeCell ref="I29:J29"/>
    <mergeCell ref="L29:M29"/>
    <mergeCell ref="O29:R29"/>
    <mergeCell ref="C31:D31"/>
    <mergeCell ref="F31:G31"/>
    <mergeCell ref="I31:J31"/>
    <mergeCell ref="L31:M31"/>
    <mergeCell ref="O31:R31"/>
    <mergeCell ref="C28:D28"/>
    <mergeCell ref="F28:G28"/>
    <mergeCell ref="C18:D18"/>
    <mergeCell ref="F18:G18"/>
    <mergeCell ref="I18:J18"/>
    <mergeCell ref="L18:M18"/>
    <mergeCell ref="F19:G19"/>
    <mergeCell ref="I19:J19"/>
    <mergeCell ref="L24:M24"/>
    <mergeCell ref="C27:D27"/>
    <mergeCell ref="F27:G27"/>
    <mergeCell ref="I27:J27"/>
    <mergeCell ref="L27:M27"/>
    <mergeCell ref="C26:D26"/>
    <mergeCell ref="F26:G26"/>
    <mergeCell ref="I26:J26"/>
    <mergeCell ref="L26:M26"/>
    <mergeCell ref="O24:R24"/>
    <mergeCell ref="C25:D25"/>
    <mergeCell ref="F25:G25"/>
    <mergeCell ref="I25:J25"/>
    <mergeCell ref="L25:M25"/>
    <mergeCell ref="O25:R25"/>
    <mergeCell ref="C22:D22"/>
    <mergeCell ref="F22:G22"/>
    <mergeCell ref="I22:J22"/>
    <mergeCell ref="L22:M22"/>
    <mergeCell ref="C23:D23"/>
    <mergeCell ref="F23:G23"/>
    <mergeCell ref="I23:J23"/>
    <mergeCell ref="L23:M23"/>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1:Q11"/>
    <mergeCell ref="A12:Q12"/>
    <mergeCell ref="O26:R26"/>
    <mergeCell ref="O27:R27"/>
    <mergeCell ref="C32:D32"/>
    <mergeCell ref="F32:G32"/>
    <mergeCell ref="A47:R47"/>
    <mergeCell ref="A46:R46"/>
    <mergeCell ref="O44:R44"/>
    <mergeCell ref="L44:M44"/>
    <mergeCell ref="I44:J44"/>
    <mergeCell ref="F44:G44"/>
    <mergeCell ref="C44:D44"/>
    <mergeCell ref="F37:G37"/>
    <mergeCell ref="I37:J37"/>
    <mergeCell ref="L37:M37"/>
    <mergeCell ref="I32:J32"/>
    <mergeCell ref="L32:M32"/>
    <mergeCell ref="O32:R32"/>
    <mergeCell ref="C30:D30"/>
    <mergeCell ref="F30:G30"/>
    <mergeCell ref="I30:J30"/>
    <mergeCell ref="L30:M30"/>
    <mergeCell ref="O30:R30"/>
    <mergeCell ref="I28:J28"/>
    <mergeCell ref="L28:M28"/>
  </mergeCells>
  <conditionalFormatting sqref="S1:S3">
    <cfRule type="cellIs" dxfId="80" priority="3" stopIfTrue="1" operator="equal">
      <formula>"na"</formula>
    </cfRule>
  </conditionalFormatting>
  <conditionalFormatting sqref="S4">
    <cfRule type="cellIs" dxfId="79" priority="2" stopIfTrue="1" operator="equal">
      <formula>"na"</formula>
    </cfRule>
  </conditionalFormatting>
  <conditionalFormatting sqref="R5:R7">
    <cfRule type="cellIs" dxfId="78" priority="1" stopIfTrue="1" operator="equal">
      <formula>"na"</formula>
    </cfRule>
  </conditionalFormatting>
  <hyperlinks>
    <hyperlink ref="A1:Q1" location="Index!A1" display="Index!A1" xr:uid="{00000000-0004-0000-2300-000000000000}"/>
  </hyperlinks>
  <pageMargins left="0.5" right="0" top="0.25" bottom="0.25" header="0.5" footer="0.5"/>
  <pageSetup scale="85" orientation="landscape" r:id="rId1"/>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pageSetUpPr fitToPage="1"/>
  </sheetPr>
  <dimension ref="A1:U35"/>
  <sheetViews>
    <sheetView zoomScale="90" zoomScaleNormal="90" workbookViewId="0">
      <selection activeCell="H33" sqref="H33:J33"/>
    </sheetView>
  </sheetViews>
  <sheetFormatPr defaultColWidth="9.140625" defaultRowHeight="12.75" x14ac:dyDescent="0.2"/>
  <cols>
    <col min="1" max="1" width="10.42578125" style="2093" customWidth="1"/>
    <col min="2" max="2" width="0.5703125" style="2093" customWidth="1"/>
    <col min="3" max="3" width="9.42578125" style="2093" customWidth="1"/>
    <col min="4" max="4" width="9.140625" style="2093"/>
    <col min="5" max="5" width="0.5703125" style="2093" customWidth="1"/>
    <col min="6" max="6" width="9.140625" style="2093"/>
    <col min="7" max="7" width="0.5703125" style="2104" customWidth="1"/>
    <col min="8" max="8" width="12" style="2093" customWidth="1"/>
    <col min="9" max="9" width="0.5703125" style="2093" customWidth="1"/>
    <col min="10" max="10" width="14.85546875" style="2093" customWidth="1"/>
    <col min="11" max="11" width="0.5703125" style="2104" customWidth="1"/>
    <col min="12" max="12" width="16" style="2093" customWidth="1"/>
    <col min="13" max="13" width="0.5703125" style="2093" customWidth="1"/>
    <col min="14" max="14" width="9.140625" style="2093"/>
    <col min="15" max="15" width="14.5703125" style="2093" customWidth="1"/>
    <col min="16" max="16" width="0.5703125" style="2093" customWidth="1"/>
    <col min="17" max="17" width="9.140625" style="2093"/>
    <col min="18" max="18" width="9.5703125" style="2093" customWidth="1"/>
    <col min="19" max="19" width="9.42578125" style="2093" customWidth="1"/>
    <col min="20" max="20" width="33.140625" style="2093" customWidth="1"/>
    <col min="21" max="21" width="11.85546875" style="2093" customWidth="1"/>
    <col min="22" max="16384" width="9.140625" style="2093"/>
  </cols>
  <sheetData>
    <row r="1" spans="1:21" ht="15.75"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767"/>
      <c r="S1" s="2767"/>
      <c r="T1" s="2767"/>
      <c r="U1" s="2768" t="str">
        <f>IF(Index!$B$60="na","NA","")</f>
        <v/>
      </c>
    </row>
    <row r="2" spans="1:21" ht="15.75" x14ac:dyDescent="0.25">
      <c r="A2" s="3031" t="str">
        <f>+Index!$A$2</f>
        <v>2022 ACFR Worksheets</v>
      </c>
      <c r="B2" s="3031"/>
      <c r="C2" s="3031"/>
      <c r="D2" s="3031"/>
      <c r="E2" s="3031"/>
      <c r="F2" s="3031"/>
      <c r="G2" s="3031"/>
      <c r="H2" s="3031"/>
      <c r="I2" s="3031"/>
      <c r="J2" s="3031"/>
      <c r="K2" s="3031"/>
      <c r="L2" s="3031"/>
      <c r="M2" s="3031"/>
      <c r="N2" s="3031"/>
      <c r="O2" s="3031"/>
      <c r="P2" s="3031"/>
      <c r="Q2" s="3031"/>
      <c r="R2" s="3031"/>
      <c r="S2" s="3031"/>
      <c r="T2" s="3031"/>
      <c r="U2" s="2768"/>
    </row>
    <row r="3" spans="1:21" ht="15.75" x14ac:dyDescent="0.25">
      <c r="A3" s="2954" t="s">
        <v>4733</v>
      </c>
      <c r="B3" s="2954"/>
      <c r="C3" s="2954"/>
      <c r="D3" s="2954"/>
      <c r="E3" s="2954"/>
      <c r="F3" s="2954"/>
      <c r="G3" s="2954"/>
      <c r="H3" s="2954"/>
      <c r="I3" s="2954"/>
      <c r="J3" s="2954"/>
      <c r="K3" s="2954"/>
      <c r="L3" s="2954"/>
      <c r="M3" s="2954"/>
      <c r="N3" s="2954"/>
      <c r="O3" s="2954"/>
      <c r="P3" s="2954"/>
      <c r="Q3" s="2954"/>
      <c r="R3" s="2954"/>
      <c r="S3" s="2954"/>
      <c r="T3" s="2954"/>
      <c r="U3" s="2768"/>
    </row>
    <row r="4" spans="1:21" ht="15.75" x14ac:dyDescent="0.25">
      <c r="A4" s="3032" t="s">
        <v>4738</v>
      </c>
      <c r="B4" s="2954"/>
      <c r="C4" s="2954"/>
      <c r="D4" s="2954"/>
      <c r="E4" s="2954"/>
      <c r="F4" s="2954"/>
      <c r="G4" s="2954"/>
      <c r="H4" s="2954"/>
      <c r="I4" s="2954"/>
      <c r="J4" s="2954"/>
      <c r="K4" s="2954"/>
      <c r="L4" s="2954"/>
      <c r="M4" s="2954"/>
      <c r="N4" s="2954"/>
      <c r="O4" s="2954"/>
      <c r="P4" s="2954"/>
      <c r="Q4" s="2954"/>
      <c r="R4" s="2954"/>
      <c r="S4" s="2954"/>
      <c r="T4" s="2954"/>
      <c r="U4" s="2095"/>
    </row>
    <row r="5" spans="1:21" ht="12.75" customHeight="1" x14ac:dyDescent="0.2">
      <c r="A5" s="22"/>
      <c r="B5" s="22"/>
      <c r="C5" s="22"/>
      <c r="D5" s="22"/>
      <c r="E5" s="22"/>
      <c r="F5" s="22"/>
      <c r="G5" s="22"/>
      <c r="H5" s="22"/>
      <c r="I5" s="22"/>
      <c r="J5" s="22"/>
      <c r="K5" s="22"/>
      <c r="L5" s="22"/>
      <c r="M5" s="22"/>
      <c r="N5" s="22"/>
      <c r="O5" s="22"/>
      <c r="P5" s="22"/>
      <c r="Q5" s="22"/>
      <c r="R5" s="22"/>
      <c r="T5" s="2131" t="s">
        <v>1091</v>
      </c>
    </row>
    <row r="6" spans="1:21" ht="12.75" customHeight="1" x14ac:dyDescent="0.2">
      <c r="A6" s="2098" t="s">
        <v>327</v>
      </c>
      <c r="B6" s="1372"/>
      <c r="C6" s="1372"/>
      <c r="D6" s="3030" t="str">
        <f>+Index!$E$10</f>
        <v>01</v>
      </c>
      <c r="E6" s="3030"/>
      <c r="F6" s="3030"/>
      <c r="G6" s="2118"/>
      <c r="H6" s="1372"/>
      <c r="I6" s="1372"/>
      <c r="J6" s="1372"/>
      <c r="K6" s="1372"/>
      <c r="L6" s="1374" t="s">
        <v>1154</v>
      </c>
      <c r="M6" s="253"/>
      <c r="N6" s="2807" t="str">
        <f>+Index!$E$11</f>
        <v>North Carolina General Assembly</v>
      </c>
      <c r="O6" s="2807"/>
      <c r="P6" s="2807"/>
      <c r="Q6" s="2807"/>
      <c r="R6" s="2807"/>
      <c r="T6" s="2129"/>
    </row>
    <row r="7" spans="1:21" ht="12.75" customHeight="1" x14ac:dyDescent="0.2">
      <c r="A7" s="2094"/>
      <c r="B7" s="1372"/>
      <c r="C7" s="1372"/>
      <c r="D7" s="1372"/>
      <c r="E7" s="1372"/>
      <c r="F7" s="1372"/>
      <c r="G7" s="1372"/>
      <c r="H7" s="1372"/>
      <c r="I7" s="1372"/>
      <c r="J7" s="1372"/>
      <c r="K7" s="1372"/>
      <c r="L7" s="1374" t="s">
        <v>972</v>
      </c>
      <c r="M7" s="22"/>
      <c r="N7" s="2832" t="str">
        <f>CONCATENATE(Index!$E$12,"",Index!$E$14)</f>
        <v/>
      </c>
      <c r="O7" s="2832"/>
      <c r="P7" s="2832"/>
      <c r="Q7" s="2832"/>
      <c r="R7" s="2832"/>
      <c r="T7" s="2129"/>
    </row>
    <row r="8" spans="1:21" x14ac:dyDescent="0.2">
      <c r="A8" s="1372" t="s">
        <v>477</v>
      </c>
      <c r="B8" s="1372"/>
      <c r="C8" s="1372"/>
      <c r="D8" s="3053"/>
      <c r="E8" s="2866"/>
      <c r="F8" s="2866"/>
      <c r="G8" s="2067"/>
      <c r="H8" s="1372"/>
      <c r="I8" s="1372"/>
      <c r="J8" s="1372"/>
      <c r="K8" s="1372"/>
      <c r="L8" s="1374" t="s">
        <v>348</v>
      </c>
      <c r="M8" s="253"/>
      <c r="N8" s="2832">
        <f>+Index!$E$13</f>
        <v>0</v>
      </c>
      <c r="O8" s="2832"/>
      <c r="P8" s="2832"/>
      <c r="Q8" s="2832"/>
      <c r="R8" s="2832"/>
    </row>
    <row r="9" spans="1:21" ht="13.5" thickBot="1" x14ac:dyDescent="0.25">
      <c r="A9" s="120"/>
      <c r="B9" s="120"/>
      <c r="C9" s="120"/>
      <c r="D9" s="120"/>
      <c r="E9" s="120"/>
      <c r="F9" s="120"/>
      <c r="G9" s="120"/>
      <c r="H9" s="120"/>
      <c r="I9" s="120"/>
      <c r="J9" s="120"/>
      <c r="K9" s="120"/>
      <c r="L9" s="120"/>
      <c r="M9" s="120"/>
      <c r="N9" s="120"/>
      <c r="O9" s="120"/>
      <c r="P9" s="120"/>
      <c r="Q9" s="120"/>
      <c r="R9" s="120"/>
      <c r="S9" s="120"/>
      <c r="T9" s="120"/>
    </row>
    <row r="10" spans="1:21" x14ac:dyDescent="0.2">
      <c r="A10" s="22"/>
      <c r="B10" s="22"/>
      <c r="C10" s="22"/>
      <c r="D10" s="22"/>
      <c r="E10" s="22"/>
      <c r="F10" s="22"/>
      <c r="G10" s="22"/>
      <c r="H10" s="22"/>
      <c r="I10" s="22"/>
      <c r="J10" s="22"/>
      <c r="K10" s="22"/>
      <c r="L10" s="22"/>
      <c r="M10" s="22"/>
      <c r="N10" s="22"/>
      <c r="O10" s="22"/>
      <c r="P10" s="22"/>
      <c r="Q10" s="22"/>
      <c r="R10" s="22"/>
      <c r="S10" s="22"/>
      <c r="T10" s="22"/>
    </row>
    <row r="11" spans="1:21" x14ac:dyDescent="0.2">
      <c r="A11" s="3039" t="s">
        <v>4769</v>
      </c>
      <c r="B11" s="3039"/>
      <c r="C11" s="3039"/>
      <c r="D11" s="3039"/>
      <c r="E11" s="3039"/>
      <c r="F11" s="3039"/>
      <c r="G11" s="3039"/>
      <c r="H11" s="3039"/>
      <c r="I11" s="3039"/>
      <c r="J11" s="3039"/>
      <c r="K11" s="2114"/>
      <c r="L11" s="2114"/>
      <c r="M11" s="2114"/>
      <c r="N11" s="2114"/>
      <c r="O11" s="2114"/>
      <c r="P11" s="2114"/>
      <c r="Q11" s="2114"/>
      <c r="R11" s="2114"/>
      <c r="S11" s="2114"/>
      <c r="T11" s="1372"/>
    </row>
    <row r="12" spans="1:21" x14ac:dyDescent="0.2">
      <c r="A12" s="2114"/>
      <c r="B12" s="2114"/>
      <c r="C12" s="2114"/>
      <c r="D12" s="2114"/>
      <c r="E12" s="2114"/>
      <c r="F12" s="2114"/>
      <c r="G12" s="2114"/>
      <c r="H12" s="2114"/>
      <c r="I12" s="2114"/>
      <c r="J12" s="2114"/>
      <c r="K12" s="2114"/>
      <c r="L12" s="2114"/>
      <c r="M12" s="2114"/>
      <c r="N12" s="2114"/>
      <c r="O12" s="2114"/>
      <c r="P12" s="2114"/>
      <c r="Q12" s="2114"/>
      <c r="R12" s="2114"/>
      <c r="S12" s="2114"/>
      <c r="T12" s="1372"/>
    </row>
    <row r="13" spans="1:21" ht="14.85" customHeight="1" x14ac:dyDescent="0.2">
      <c r="A13" s="2098" t="s">
        <v>4768</v>
      </c>
      <c r="B13" s="2099"/>
      <c r="C13" s="2102"/>
      <c r="D13" s="2102"/>
      <c r="E13" s="2099"/>
      <c r="F13" s="2102"/>
      <c r="G13" s="2111"/>
      <c r="H13" s="2102"/>
      <c r="I13" s="2097"/>
      <c r="J13" s="2102"/>
      <c r="K13" s="2111"/>
      <c r="L13" s="2102"/>
      <c r="M13" s="1372"/>
      <c r="N13" s="3051"/>
      <c r="O13" s="3051"/>
      <c r="P13" s="1372"/>
      <c r="Q13" s="2101"/>
      <c r="R13" s="2101"/>
      <c r="S13" s="2101"/>
      <c r="T13" s="2101"/>
    </row>
    <row r="14" spans="1:21" ht="14.25" customHeight="1" x14ac:dyDescent="0.2">
      <c r="A14" s="2099"/>
      <c r="B14" s="2099"/>
      <c r="C14" s="3051"/>
      <c r="D14" s="3051"/>
      <c r="E14" s="2099"/>
      <c r="F14" s="2116"/>
      <c r="G14" s="2116"/>
      <c r="H14" s="2116"/>
      <c r="I14" s="2110"/>
      <c r="J14" s="2116"/>
      <c r="K14" s="2116"/>
      <c r="L14" s="2116"/>
      <c r="M14" s="1372"/>
      <c r="N14" s="3051"/>
      <c r="O14" s="3051"/>
      <c r="P14" s="1372"/>
      <c r="Q14" s="2128"/>
      <c r="R14" s="2128"/>
      <c r="S14" s="2128"/>
      <c r="T14" s="2128"/>
    </row>
    <row r="15" spans="1:21" x14ac:dyDescent="0.2">
      <c r="A15" s="1372"/>
      <c r="B15" s="1372"/>
      <c r="C15" s="3034" t="s">
        <v>1157</v>
      </c>
      <c r="D15" s="3034"/>
      <c r="E15" s="3034"/>
      <c r="F15" s="3034"/>
      <c r="G15" s="2114"/>
      <c r="H15" s="2114"/>
      <c r="I15" s="1372"/>
      <c r="J15" s="2114"/>
      <c r="K15" s="2114"/>
      <c r="L15" s="2114"/>
      <c r="M15" s="1372"/>
      <c r="N15" s="3034"/>
      <c r="O15" s="3034"/>
      <c r="P15" s="1372"/>
      <c r="Q15" s="1372"/>
      <c r="R15" s="1372"/>
      <c r="S15" s="1372"/>
      <c r="T15" s="1372"/>
    </row>
    <row r="16" spans="1:21" ht="14.25" customHeight="1" x14ac:dyDescent="0.2">
      <c r="A16" s="1372"/>
      <c r="B16" s="1372"/>
      <c r="C16" s="3030" t="s">
        <v>649</v>
      </c>
      <c r="D16" s="3030"/>
      <c r="E16" s="3030"/>
      <c r="F16" s="3030"/>
      <c r="G16" s="2115"/>
      <c r="H16" s="3030" t="s">
        <v>650</v>
      </c>
      <c r="I16" s="3030"/>
      <c r="J16" s="3030"/>
      <c r="K16" s="2109"/>
      <c r="L16" s="2115"/>
      <c r="M16" s="2127"/>
      <c r="N16" s="3030"/>
      <c r="O16" s="3030"/>
      <c r="P16" s="2127"/>
      <c r="Q16" s="2127"/>
      <c r="R16" s="2127"/>
      <c r="S16" s="2127"/>
      <c r="T16" s="2127"/>
    </row>
    <row r="17" spans="1:20" ht="12.75" hidden="1" customHeight="1" x14ac:dyDescent="0.2">
      <c r="A17" s="1372"/>
      <c r="B17" s="1372"/>
      <c r="C17" s="2094"/>
      <c r="D17" s="2094"/>
      <c r="E17" s="1372"/>
      <c r="F17" s="2115"/>
      <c r="G17" s="2117"/>
      <c r="H17" s="2105"/>
      <c r="I17" s="2105"/>
      <c r="J17" s="2117"/>
      <c r="K17" s="2117"/>
      <c r="L17" s="2115"/>
      <c r="M17" s="1372"/>
      <c r="N17" s="2094"/>
      <c r="O17" s="2094"/>
      <c r="P17" s="1372"/>
      <c r="Q17" s="1372"/>
      <c r="R17" s="1372"/>
      <c r="S17" s="1372"/>
      <c r="T17" s="1372"/>
    </row>
    <row r="18" spans="1:20" ht="13.5" hidden="1" customHeight="1" thickBot="1" x14ac:dyDescent="0.25">
      <c r="A18" s="1372"/>
      <c r="B18" s="1372"/>
      <c r="C18" s="1376" t="s">
        <v>973</v>
      </c>
      <c r="D18" s="1376" t="s">
        <v>973</v>
      </c>
      <c r="E18" s="1372"/>
      <c r="F18" s="2113"/>
      <c r="G18" s="2113"/>
      <c r="H18" s="1376" t="s">
        <v>973</v>
      </c>
      <c r="I18" s="1376"/>
      <c r="J18" s="2113"/>
      <c r="K18" s="2113"/>
      <c r="L18" s="2113"/>
      <c r="M18" s="1372"/>
      <c r="N18" s="1376"/>
      <c r="O18" s="1376"/>
      <c r="P18" s="1372"/>
      <c r="Q18" s="1372"/>
      <c r="R18" s="1372"/>
      <c r="S18" s="1372"/>
      <c r="T18" s="1372"/>
    </row>
    <row r="19" spans="1:20" ht="12.75" hidden="1" customHeight="1" x14ac:dyDescent="0.2">
      <c r="A19" s="1372"/>
      <c r="B19" s="1372"/>
      <c r="C19" s="1377"/>
      <c r="D19" s="1377"/>
      <c r="E19" s="1372"/>
      <c r="F19" s="2110"/>
      <c r="G19" s="2110"/>
      <c r="H19" s="1377"/>
      <c r="I19" s="1377"/>
      <c r="J19" s="2110"/>
      <c r="K19" s="2110"/>
      <c r="L19" s="2110"/>
      <c r="M19" s="1372"/>
      <c r="N19" s="1377"/>
      <c r="O19" s="1377"/>
      <c r="P19" s="1372"/>
      <c r="Q19" s="1372"/>
      <c r="R19" s="1372"/>
      <c r="S19" s="1372"/>
      <c r="T19" s="1372"/>
    </row>
    <row r="20" spans="1:20" x14ac:dyDescent="0.2">
      <c r="A20" s="2097" t="s">
        <v>1157</v>
      </c>
      <c r="B20" s="2097"/>
      <c r="C20" s="3037" t="s">
        <v>4177</v>
      </c>
      <c r="D20" s="3037"/>
      <c r="E20" s="3037"/>
      <c r="F20" s="3037"/>
      <c r="G20" s="2119"/>
      <c r="H20" s="3037" t="s">
        <v>4177</v>
      </c>
      <c r="I20" s="3037"/>
      <c r="J20" s="3037"/>
      <c r="K20" s="2108"/>
      <c r="L20" s="3037"/>
      <c r="M20" s="3037"/>
      <c r="N20" s="3037"/>
      <c r="O20" s="3037"/>
      <c r="P20" s="3037"/>
      <c r="Q20" s="3037"/>
      <c r="R20" s="3037"/>
      <c r="S20" s="3037"/>
      <c r="T20" s="1372"/>
    </row>
    <row r="21" spans="1:20" x14ac:dyDescent="0.2">
      <c r="A21" s="2097" t="s">
        <v>795</v>
      </c>
      <c r="B21" s="2097"/>
      <c r="C21" s="3040">
        <v>44378</v>
      </c>
      <c r="D21" s="3040"/>
      <c r="E21" s="3040"/>
      <c r="F21" s="3040"/>
      <c r="G21" s="2120"/>
      <c r="H21" s="3040">
        <v>44378</v>
      </c>
      <c r="I21" s="3040"/>
      <c r="J21" s="3040"/>
      <c r="K21" s="2107"/>
      <c r="L21" s="3040"/>
      <c r="M21" s="3040"/>
      <c r="N21" s="3040"/>
      <c r="O21" s="3040"/>
      <c r="P21" s="3040"/>
      <c r="Q21" s="3040"/>
      <c r="R21" s="3040"/>
      <c r="S21" s="3040"/>
      <c r="T21" s="1372"/>
    </row>
    <row r="22" spans="1:20" x14ac:dyDescent="0.2">
      <c r="A22" s="2096" t="s">
        <v>808</v>
      </c>
      <c r="B22" s="2097"/>
      <c r="C22" s="3030" t="s">
        <v>809</v>
      </c>
      <c r="D22" s="3030"/>
      <c r="E22" s="3030"/>
      <c r="F22" s="3030"/>
      <c r="G22" s="2118"/>
      <c r="H22" s="3030" t="s">
        <v>809</v>
      </c>
      <c r="I22" s="3030"/>
      <c r="J22" s="3030"/>
      <c r="K22" s="2109"/>
      <c r="L22" s="3059" t="s">
        <v>810</v>
      </c>
      <c r="M22" s="3059"/>
      <c r="N22" s="3059"/>
      <c r="O22" s="3059"/>
      <c r="P22" s="3059"/>
      <c r="Q22" s="3059"/>
      <c r="R22" s="3059"/>
      <c r="S22" s="3059"/>
      <c r="T22" s="3059"/>
    </row>
    <row r="23" spans="1:20" ht="14.85" customHeight="1" x14ac:dyDescent="0.2">
      <c r="A23" s="2100" t="s">
        <v>973</v>
      </c>
      <c r="B23" s="2121"/>
      <c r="C23" s="3054" t="s">
        <v>973</v>
      </c>
      <c r="D23" s="3054"/>
      <c r="E23" s="3054"/>
      <c r="F23" s="3054"/>
      <c r="G23" s="2121"/>
      <c r="H23" s="3058"/>
      <c r="I23" s="3058"/>
      <c r="J23" s="3058"/>
      <c r="K23" s="1372"/>
      <c r="L23" s="3060"/>
      <c r="M23" s="3060"/>
      <c r="N23" s="3060"/>
      <c r="O23" s="3060"/>
      <c r="P23" s="3060"/>
      <c r="Q23" s="3060"/>
      <c r="R23" s="3060"/>
      <c r="S23" s="3060"/>
      <c r="T23" s="3060"/>
    </row>
    <row r="24" spans="1:20" ht="14.85" customHeight="1" x14ac:dyDescent="0.2">
      <c r="A24" s="2100"/>
      <c r="B24" s="2099"/>
      <c r="C24" s="3054" t="s">
        <v>973</v>
      </c>
      <c r="D24" s="3054"/>
      <c r="E24" s="3054"/>
      <c r="F24" s="3054"/>
      <c r="G24" s="2121"/>
      <c r="H24" s="3054"/>
      <c r="I24" s="3054"/>
      <c r="J24" s="3054"/>
      <c r="K24" s="1372"/>
      <c r="L24" s="3060"/>
      <c r="M24" s="3060"/>
      <c r="N24" s="3060"/>
      <c r="O24" s="3060"/>
      <c r="P24" s="3060"/>
      <c r="Q24" s="3060"/>
      <c r="R24" s="3060"/>
      <c r="S24" s="3060"/>
      <c r="T24" s="3060"/>
    </row>
    <row r="25" spans="1:20" ht="14.85" customHeight="1" x14ac:dyDescent="0.2">
      <c r="A25" s="2112"/>
      <c r="B25" s="2106"/>
      <c r="C25" s="3054" t="s">
        <v>973</v>
      </c>
      <c r="D25" s="3054"/>
      <c r="E25" s="3054"/>
      <c r="F25" s="3054"/>
      <c r="G25" s="2121"/>
      <c r="H25" s="3054"/>
      <c r="I25" s="3054"/>
      <c r="J25" s="3054"/>
      <c r="K25" s="2125"/>
      <c r="L25" s="3060" t="s">
        <v>973</v>
      </c>
      <c r="M25" s="3060"/>
      <c r="N25" s="3060"/>
      <c r="O25" s="3060"/>
      <c r="P25" s="3060"/>
      <c r="Q25" s="3060"/>
      <c r="R25" s="3060"/>
      <c r="S25" s="3060"/>
      <c r="T25" s="3060"/>
    </row>
    <row r="26" spans="1:20" s="2104" customFormat="1" ht="14.85" customHeight="1" x14ac:dyDescent="0.2">
      <c r="A26" s="2112"/>
      <c r="B26" s="2106"/>
      <c r="C26" s="3054"/>
      <c r="D26" s="3054"/>
      <c r="E26" s="3054"/>
      <c r="F26" s="3054"/>
      <c r="G26" s="2121"/>
      <c r="H26" s="3054"/>
      <c r="I26" s="3054"/>
      <c r="J26" s="3054"/>
      <c r="K26" s="2125"/>
      <c r="L26" s="3060" t="s">
        <v>973</v>
      </c>
      <c r="M26" s="3060"/>
      <c r="N26" s="3060"/>
      <c r="O26" s="3060"/>
      <c r="P26" s="3060"/>
      <c r="Q26" s="3060"/>
      <c r="R26" s="3060"/>
      <c r="S26" s="3060"/>
      <c r="T26" s="3060"/>
    </row>
    <row r="27" spans="1:20" s="2104" customFormat="1" ht="14.85" customHeight="1" x14ac:dyDescent="0.2">
      <c r="A27" s="2112"/>
      <c r="B27" s="2106"/>
      <c r="C27" s="3054"/>
      <c r="D27" s="3054"/>
      <c r="E27" s="3054"/>
      <c r="F27" s="3054"/>
      <c r="G27" s="2121"/>
      <c r="H27" s="3054"/>
      <c r="I27" s="3054"/>
      <c r="J27" s="3054"/>
      <c r="K27" s="2125"/>
      <c r="L27" s="3060"/>
      <c r="M27" s="3060"/>
      <c r="N27" s="3060"/>
      <c r="O27" s="3060"/>
      <c r="P27" s="3060"/>
      <c r="Q27" s="3060"/>
      <c r="R27" s="3060"/>
      <c r="S27" s="3060"/>
      <c r="T27" s="3060"/>
    </row>
    <row r="28" spans="1:20" s="2104" customFormat="1" ht="14.85" customHeight="1" x14ac:dyDescent="0.2">
      <c r="A28" s="2126"/>
      <c r="B28" s="2106"/>
      <c r="C28" s="3054"/>
      <c r="D28" s="3054"/>
      <c r="E28" s="3054"/>
      <c r="F28" s="3054"/>
      <c r="G28" s="2122"/>
      <c r="H28" s="3054"/>
      <c r="I28" s="3054"/>
      <c r="J28" s="3054"/>
      <c r="K28" s="2125"/>
      <c r="L28" s="3060" t="s">
        <v>973</v>
      </c>
      <c r="M28" s="3060"/>
      <c r="N28" s="3060"/>
      <c r="O28" s="3060"/>
      <c r="P28" s="3060"/>
      <c r="Q28" s="3060"/>
      <c r="R28" s="3060"/>
      <c r="S28" s="3060"/>
      <c r="T28" s="3060"/>
    </row>
    <row r="29" spans="1:20" ht="14.85" customHeight="1" x14ac:dyDescent="0.2">
      <c r="A29" s="2100"/>
      <c r="B29" s="2099"/>
      <c r="C29" s="3054" t="s">
        <v>973</v>
      </c>
      <c r="D29" s="3054"/>
      <c r="E29" s="3054"/>
      <c r="F29" s="3054"/>
      <c r="G29" s="2121"/>
      <c r="H29" s="3054"/>
      <c r="I29" s="3054"/>
      <c r="J29" s="3054"/>
      <c r="K29" s="2125"/>
      <c r="L29" s="3060" t="s">
        <v>973</v>
      </c>
      <c r="M29" s="3060"/>
      <c r="N29" s="3060"/>
      <c r="O29" s="3060"/>
      <c r="P29" s="3060"/>
      <c r="Q29" s="3060"/>
      <c r="R29" s="3060"/>
      <c r="S29" s="3060"/>
      <c r="T29" s="3060"/>
    </row>
    <row r="30" spans="1:20" ht="14.85" customHeight="1" x14ac:dyDescent="0.2">
      <c r="A30" s="2100"/>
      <c r="B30" s="2099"/>
      <c r="C30" s="3054"/>
      <c r="D30" s="3054"/>
      <c r="E30" s="3054"/>
      <c r="F30" s="3054"/>
      <c r="G30" s="2121"/>
      <c r="H30" s="3054"/>
      <c r="I30" s="3054"/>
      <c r="J30" s="3054"/>
      <c r="K30" s="2125"/>
      <c r="L30" s="3060" t="s">
        <v>973</v>
      </c>
      <c r="M30" s="3060"/>
      <c r="N30" s="3060"/>
      <c r="O30" s="3060"/>
      <c r="P30" s="3060"/>
      <c r="Q30" s="3060"/>
      <c r="R30" s="3060"/>
      <c r="S30" s="3060"/>
      <c r="T30" s="3060"/>
    </row>
    <row r="31" spans="1:20" ht="14.85" customHeight="1" x14ac:dyDescent="0.2">
      <c r="A31" s="2100"/>
      <c r="B31" s="2099"/>
      <c r="C31" s="3054"/>
      <c r="D31" s="3054"/>
      <c r="E31" s="3054"/>
      <c r="F31" s="3054"/>
      <c r="G31" s="2121"/>
      <c r="H31" s="3054"/>
      <c r="I31" s="3054"/>
      <c r="J31" s="3054"/>
      <c r="K31" s="2125"/>
      <c r="L31" s="3060"/>
      <c r="M31" s="3060"/>
      <c r="N31" s="3060"/>
      <c r="O31" s="3060"/>
      <c r="P31" s="3060"/>
      <c r="Q31" s="3060"/>
      <c r="R31" s="3060"/>
      <c r="S31" s="3060"/>
      <c r="T31" s="3060"/>
    </row>
    <row r="32" spans="1:20" ht="14.85" customHeight="1" x14ac:dyDescent="0.2">
      <c r="A32" s="2126"/>
      <c r="B32" s="2099"/>
      <c r="C32" s="3054"/>
      <c r="D32" s="3054"/>
      <c r="E32" s="3054"/>
      <c r="F32" s="3054"/>
      <c r="G32" s="2122"/>
      <c r="H32" s="3054"/>
      <c r="I32" s="3054"/>
      <c r="J32" s="3054"/>
      <c r="K32" s="2125"/>
      <c r="L32" s="3060" t="s">
        <v>973</v>
      </c>
      <c r="M32" s="3060"/>
      <c r="N32" s="3060"/>
      <c r="O32" s="3060"/>
      <c r="P32" s="3060"/>
      <c r="Q32" s="3060"/>
      <c r="R32" s="3060"/>
      <c r="S32" s="3060"/>
      <c r="T32" s="3060"/>
    </row>
    <row r="33" spans="1:20" ht="14.85" customHeight="1" thickBot="1" x14ac:dyDescent="0.25">
      <c r="A33" s="2656" t="s">
        <v>3571</v>
      </c>
      <c r="B33" s="2099"/>
      <c r="C33" s="3055">
        <f>SUM(C23:F32)</f>
        <v>0</v>
      </c>
      <c r="D33" s="3055"/>
      <c r="E33" s="3055"/>
      <c r="F33" s="3055"/>
      <c r="G33" s="2123"/>
      <c r="H33" s="3055">
        <f>SUM(H23:K32)</f>
        <v>0</v>
      </c>
      <c r="I33" s="3055"/>
      <c r="J33" s="3055"/>
      <c r="K33" s="2130"/>
      <c r="L33" s="3061"/>
      <c r="M33" s="3061"/>
      <c r="N33" s="3061"/>
      <c r="O33" s="3061"/>
      <c r="P33" s="3061"/>
      <c r="Q33" s="3061"/>
      <c r="R33" s="3061"/>
      <c r="S33" s="3061"/>
      <c r="T33" s="3061"/>
    </row>
    <row r="34" spans="1:20" ht="14.85" customHeight="1" thickTop="1" x14ac:dyDescent="0.2">
      <c r="C34" s="3056" t="s">
        <v>4247</v>
      </c>
      <c r="D34" s="3056"/>
      <c r="E34" s="3056"/>
      <c r="F34" s="3056"/>
      <c r="G34" s="2124"/>
      <c r="H34" s="3056" t="s">
        <v>4734</v>
      </c>
      <c r="I34" s="3056"/>
      <c r="J34" s="3056"/>
      <c r="K34" s="3057"/>
      <c r="L34" s="2143" t="s">
        <v>4737</v>
      </c>
    </row>
    <row r="35" spans="1:20" ht="14.85" customHeight="1" x14ac:dyDescent="0.2">
      <c r="A35" s="2099" t="s">
        <v>973</v>
      </c>
      <c r="B35" s="2099"/>
      <c r="G35" s="2063"/>
      <c r="O35" s="2101"/>
      <c r="P35" s="1372"/>
      <c r="Q35" s="2101"/>
      <c r="R35" s="2101"/>
      <c r="S35" s="2101"/>
      <c r="T35" s="2101"/>
    </row>
  </sheetData>
  <sheetProtection algorithmName="SHA-512" hashValue="q2LGegD+KHNST6jn/DCSy4qLaDchoH6d34BgSOR2jiiZtga9StDHbzdmSh7nHC6v8vQaAZonJ3Pm2pA2nU96vQ==" saltValue="8dPhGjt/MyZ14YhmZAVX+A==" spinCount="100000" sheet="1" objects="1" scenarios="1" autoFilter="0"/>
  <mergeCells count="63">
    <mergeCell ref="L24:T24"/>
    <mergeCell ref="L33:T33"/>
    <mergeCell ref="L26:T26"/>
    <mergeCell ref="L27:T27"/>
    <mergeCell ref="L28:T28"/>
    <mergeCell ref="L25:T25"/>
    <mergeCell ref="L29:T29"/>
    <mergeCell ref="L30:T30"/>
    <mergeCell ref="L31:T31"/>
    <mergeCell ref="L32:T32"/>
    <mergeCell ref="L20:S20"/>
    <mergeCell ref="L21:S21"/>
    <mergeCell ref="L22:T22"/>
    <mergeCell ref="L23:T23"/>
    <mergeCell ref="C14:D14"/>
    <mergeCell ref="N14:O14"/>
    <mergeCell ref="C15:F15"/>
    <mergeCell ref="C16:F16"/>
    <mergeCell ref="H16:J16"/>
    <mergeCell ref="H20:J20"/>
    <mergeCell ref="H21:J21"/>
    <mergeCell ref="H22:J22"/>
    <mergeCell ref="A1:T1"/>
    <mergeCell ref="U1:U3"/>
    <mergeCell ref="A2:T2"/>
    <mergeCell ref="A3:T3"/>
    <mergeCell ref="A4:T4"/>
    <mergeCell ref="D6:F6"/>
    <mergeCell ref="N6:R6"/>
    <mergeCell ref="N7:R7"/>
    <mergeCell ref="N15:O15"/>
    <mergeCell ref="N16:O16"/>
    <mergeCell ref="D8:F8"/>
    <mergeCell ref="N8:R8"/>
    <mergeCell ref="N13:O13"/>
    <mergeCell ref="A11:J11"/>
    <mergeCell ref="C34:F34"/>
    <mergeCell ref="C33:F33"/>
    <mergeCell ref="C32:F32"/>
    <mergeCell ref="C20:F20"/>
    <mergeCell ref="C21:F21"/>
    <mergeCell ref="C22:F22"/>
    <mergeCell ref="H27:J27"/>
    <mergeCell ref="C28:F28"/>
    <mergeCell ref="H28:J28"/>
    <mergeCell ref="C30:F30"/>
    <mergeCell ref="C31:F31"/>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s>
  <conditionalFormatting sqref="U4">
    <cfRule type="cellIs" dxfId="77" priority="5" stopIfTrue="1" operator="equal">
      <formula>"na"</formula>
    </cfRule>
  </conditionalFormatting>
  <conditionalFormatting sqref="U1:U3">
    <cfRule type="cellIs" dxfId="76" priority="1" stopIfTrue="1" operator="equal">
      <formula>"na"</formula>
    </cfRule>
  </conditionalFormatting>
  <conditionalFormatting sqref="T5:T7">
    <cfRule type="cellIs" dxfId="75" priority="3" stopIfTrue="1" operator="equal">
      <formula>"na"</formula>
    </cfRule>
  </conditionalFormatting>
  <hyperlinks>
    <hyperlink ref="A1:T1" location="Index!A1" display="Index!A1" xr:uid="{412B4CD5-B3A3-4D9C-986D-C1C47590D00B}"/>
  </hyperlinks>
  <pageMargins left="0.5" right="0" top="0.25" bottom="0.25" header="0.5" footer="0.5"/>
  <pageSetup scale="74" orientation="landscape"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L104"/>
  <sheetViews>
    <sheetView showGridLines="0" zoomScaleNormal="100" workbookViewId="0">
      <selection activeCell="A81" sqref="A81"/>
    </sheetView>
  </sheetViews>
  <sheetFormatPr defaultColWidth="9.42578125" defaultRowHeight="10.5" x14ac:dyDescent="0.15"/>
  <cols>
    <col min="1" max="1" width="27.5703125" style="21" customWidth="1"/>
    <col min="2" max="2" width="16.5703125" style="21" customWidth="1"/>
    <col min="3" max="3" width="1.5703125" style="21" customWidth="1"/>
    <col min="4" max="4" width="15.5703125" style="21" customWidth="1"/>
    <col min="5" max="5" width="1.5703125" style="21" customWidth="1"/>
    <col min="6" max="6" width="16.5703125" style="21" customWidth="1"/>
    <col min="7" max="7" width="1.5703125" style="21" customWidth="1"/>
    <col min="8" max="8" width="12.5703125" style="21" customWidth="1"/>
    <col min="9" max="9" width="4.5703125" style="21" customWidth="1"/>
    <col min="10" max="16" width="1.5703125" style="21" customWidth="1"/>
    <col min="17" max="16384" width="9.42578125" style="21"/>
  </cols>
  <sheetData>
    <row r="1" spans="1:12" s="63" customFormat="1" ht="15.75" x14ac:dyDescent="0.25">
      <c r="A1" s="2767" t="str">
        <f>Index!A1</f>
        <v xml:space="preserve">                                                               Office of the State Controller                                                                </v>
      </c>
      <c r="B1" s="2767"/>
      <c r="C1" s="2767"/>
      <c r="D1" s="2767"/>
      <c r="E1" s="2767"/>
      <c r="F1" s="2767"/>
      <c r="G1" s="2767"/>
      <c r="H1" s="2767"/>
      <c r="I1"/>
      <c r="J1"/>
      <c r="K1"/>
      <c r="L1" s="622"/>
    </row>
    <row r="2" spans="1:12" s="20" customFormat="1" ht="15" customHeight="1" x14ac:dyDescent="0.25">
      <c r="A2" s="3031" t="str">
        <f>+Index!$A$2</f>
        <v>2022 ACFR Worksheets</v>
      </c>
      <c r="B2" s="3031"/>
      <c r="C2" s="3031"/>
      <c r="D2" s="3031"/>
      <c r="E2" s="3031"/>
      <c r="F2" s="3031"/>
      <c r="G2" s="3031"/>
      <c r="H2" s="3031"/>
      <c r="I2" s="2768" t="str">
        <f>IF(Index!$B$61="na","NA","")</f>
        <v/>
      </c>
    </row>
    <row r="3" spans="1:12" s="20" customFormat="1" ht="15" customHeight="1" x14ac:dyDescent="0.25">
      <c r="A3" s="3031" t="s">
        <v>3986</v>
      </c>
      <c r="B3" s="3031"/>
      <c r="C3" s="3031"/>
      <c r="D3" s="3031"/>
      <c r="E3" s="3031"/>
      <c r="F3" s="3031"/>
      <c r="G3" s="3031"/>
      <c r="H3" s="3031"/>
      <c r="I3" s="2768"/>
    </row>
    <row r="4" spans="1:12" s="22" customFormat="1" ht="15" customHeight="1" x14ac:dyDescent="0.25">
      <c r="A4" s="3062" t="s">
        <v>4167</v>
      </c>
      <c r="B4" s="3062"/>
      <c r="C4" s="3062"/>
      <c r="D4" s="3062"/>
      <c r="E4" s="3062"/>
      <c r="F4" s="3062"/>
      <c r="G4" s="3062"/>
      <c r="H4" s="3062"/>
      <c r="I4" s="2768"/>
      <c r="J4" s="903"/>
      <c r="K4" s="903"/>
    </row>
    <row r="5" spans="1:12" s="22" customFormat="1" ht="6" customHeight="1" x14ac:dyDescent="0.2">
      <c r="C5" s="253"/>
      <c r="D5" s="253"/>
      <c r="F5" s="3065"/>
      <c r="G5" s="3065"/>
      <c r="H5" s="3065"/>
    </row>
    <row r="6" spans="1:12" s="22" customFormat="1" ht="15" customHeight="1" x14ac:dyDescent="0.2">
      <c r="A6" s="1371" t="s">
        <v>327</v>
      </c>
      <c r="B6" s="1373" t="str">
        <f>Index!$E$10</f>
        <v>01</v>
      </c>
      <c r="C6" s="1375"/>
      <c r="D6" s="1375"/>
      <c r="E6" s="1374" t="s">
        <v>1154</v>
      </c>
      <c r="F6" s="2807" t="str">
        <f>+Index!$E$11</f>
        <v>North Carolina General Assembly</v>
      </c>
      <c r="G6" s="2807"/>
      <c r="H6" s="2807"/>
    </row>
    <row r="7" spans="1:12" s="22" customFormat="1" ht="15" customHeight="1" x14ac:dyDescent="0.2">
      <c r="A7" s="1372"/>
      <c r="B7" s="1372"/>
      <c r="C7" s="1375"/>
      <c r="D7" s="1375"/>
      <c r="E7" s="1374" t="s">
        <v>972</v>
      </c>
      <c r="F7" s="2832" t="str">
        <f>CONCATENATE(Index!$E$12,"",Index!$E$14)</f>
        <v/>
      </c>
      <c r="G7" s="2832"/>
      <c r="H7" s="2832"/>
    </row>
    <row r="8" spans="1:12" s="22" customFormat="1" ht="15" customHeight="1" x14ac:dyDescent="0.2">
      <c r="A8" s="1372" t="s">
        <v>477</v>
      </c>
      <c r="B8" s="1379" t="s">
        <v>973</v>
      </c>
      <c r="C8" s="1375"/>
      <c r="D8" s="1375"/>
      <c r="E8" s="1374" t="s">
        <v>348</v>
      </c>
      <c r="F8" s="2832">
        <f>+Index!$E$13</f>
        <v>0</v>
      </c>
      <c r="G8" s="2832"/>
      <c r="H8" s="2832"/>
    </row>
    <row r="9" spans="1:12" s="22" customFormat="1" ht="6" customHeight="1" thickBot="1" x14ac:dyDescent="0.25">
      <c r="A9" s="120"/>
      <c r="B9" s="120"/>
      <c r="C9" s="120"/>
      <c r="D9" s="120"/>
      <c r="E9" s="120"/>
      <c r="F9" s="120"/>
      <c r="G9" s="120"/>
      <c r="H9" s="120"/>
    </row>
    <row r="10" spans="1:12" s="22" customFormat="1" ht="5.25" customHeight="1" x14ac:dyDescent="0.2"/>
    <row r="11" spans="1:12" s="22" customFormat="1" ht="12.75" customHeight="1" x14ac:dyDescent="0.2">
      <c r="A11" s="1419" t="s">
        <v>3578</v>
      </c>
      <c r="B11" s="1419"/>
      <c r="C11" s="1419"/>
      <c r="D11" s="1419"/>
      <c r="E11" s="1419"/>
      <c r="F11" s="1419"/>
    </row>
    <row r="12" spans="1:12" s="22" customFormat="1" ht="12.75" customHeight="1" x14ac:dyDescent="0.2">
      <c r="A12" s="1419" t="s">
        <v>4503</v>
      </c>
      <c r="B12" s="1419"/>
      <c r="C12" s="1419"/>
      <c r="D12" s="1419"/>
      <c r="E12" s="1419"/>
      <c r="F12" s="1419"/>
    </row>
    <row r="13" spans="1:12" s="22" customFormat="1" ht="12.75" customHeight="1" x14ac:dyDescent="0.2">
      <c r="A13" s="1419" t="s">
        <v>3579</v>
      </c>
      <c r="B13" s="1372"/>
      <c r="C13" s="1372"/>
      <c r="D13" s="1372"/>
      <c r="E13" s="1372"/>
      <c r="F13" s="1372"/>
    </row>
    <row r="14" spans="1:12" s="22" customFormat="1" ht="9.75" customHeight="1" x14ac:dyDescent="0.2"/>
    <row r="15" spans="1:12" customFormat="1" ht="12.75" customHeight="1" x14ac:dyDescent="0.2">
      <c r="B15" s="4" t="s">
        <v>597</v>
      </c>
      <c r="F15" s="4" t="s">
        <v>5363</v>
      </c>
    </row>
    <row r="16" spans="1:12" customFormat="1" ht="12.75" customHeight="1" x14ac:dyDescent="0.2">
      <c r="B16" s="798">
        <v>44378</v>
      </c>
      <c r="D16" s="26" t="s">
        <v>1054</v>
      </c>
      <c r="F16" s="26" t="s">
        <v>3988</v>
      </c>
    </row>
    <row r="17" spans="1:10" customFormat="1" ht="15" customHeight="1" x14ac:dyDescent="0.2">
      <c r="A17" s="1602" t="s">
        <v>1182</v>
      </c>
      <c r="B17" s="1390"/>
      <c r="C17" s="1391"/>
      <c r="D17" s="1391"/>
      <c r="E17" s="1390"/>
      <c r="F17" s="1372"/>
    </row>
    <row r="18" spans="1:10" customFormat="1" ht="12.75" customHeight="1" x14ac:dyDescent="0.2">
      <c r="A18" s="1386" t="s">
        <v>283</v>
      </c>
      <c r="B18" s="1387">
        <v>0</v>
      </c>
      <c r="C18" s="1392"/>
      <c r="D18" s="1387">
        <v>0</v>
      </c>
      <c r="E18" s="1392"/>
      <c r="F18" s="2068">
        <f>B18+D18</f>
        <v>0</v>
      </c>
    </row>
    <row r="19" spans="1:10" customFormat="1" ht="12.75" customHeight="1" x14ac:dyDescent="0.2">
      <c r="A19" s="1386" t="s">
        <v>284</v>
      </c>
      <c r="B19" s="1387">
        <v>0</v>
      </c>
      <c r="C19" s="1382"/>
      <c r="D19" s="1387">
        <v>0</v>
      </c>
      <c r="E19" s="1382"/>
      <c r="F19" s="2068">
        <f>B19+D19</f>
        <v>0</v>
      </c>
    </row>
    <row r="20" spans="1:10" customFormat="1" ht="14.1" customHeight="1" thickBot="1" x14ac:dyDescent="0.25">
      <c r="A20" s="1394" t="s">
        <v>272</v>
      </c>
      <c r="B20" s="2069">
        <f>B18+B19</f>
        <v>0</v>
      </c>
      <c r="C20" s="1382" t="s">
        <v>973</v>
      </c>
      <c r="D20" s="2069">
        <f>SUM(D18:D19)</f>
        <v>0</v>
      </c>
      <c r="E20" s="1382" t="s">
        <v>973</v>
      </c>
      <c r="F20" s="2069">
        <f>F18+F19</f>
        <v>0</v>
      </c>
    </row>
    <row r="21" spans="1:10" customFormat="1" ht="8.1" customHeight="1" x14ac:dyDescent="0.2">
      <c r="A21" s="1386"/>
      <c r="B21" s="1382"/>
      <c r="C21" s="1382"/>
      <c r="D21" s="1382"/>
      <c r="E21" s="1382"/>
      <c r="F21" s="1382"/>
    </row>
    <row r="22" spans="1:10" customFormat="1" ht="12.75" customHeight="1" x14ac:dyDescent="0.2">
      <c r="A22" s="1394" t="s">
        <v>3989</v>
      </c>
      <c r="B22" s="1382">
        <v>0</v>
      </c>
      <c r="C22" s="1382"/>
      <c r="D22" s="1382">
        <v>0</v>
      </c>
      <c r="E22" s="1382"/>
      <c r="F22" s="2070">
        <f>B22+D22</f>
        <v>0</v>
      </c>
    </row>
    <row r="23" spans="1:10" customFormat="1" ht="8.1" customHeight="1" x14ac:dyDescent="0.2">
      <c r="A23" s="1394"/>
      <c r="B23" s="1652"/>
      <c r="C23" s="1382"/>
      <c r="D23" s="1652"/>
      <c r="E23" s="1382"/>
      <c r="F23" s="1652"/>
    </row>
    <row r="24" spans="1:10" customFormat="1" ht="8.1" customHeight="1" x14ac:dyDescent="0.2">
      <c r="A24" s="1386" t="s">
        <v>973</v>
      </c>
      <c r="B24" s="1382" t="s">
        <v>973</v>
      </c>
      <c r="C24" s="1382" t="s">
        <v>973</v>
      </c>
      <c r="D24" s="1382" t="s">
        <v>973</v>
      </c>
      <c r="E24" s="1382" t="s">
        <v>973</v>
      </c>
      <c r="F24" s="1382" t="s">
        <v>973</v>
      </c>
    </row>
    <row r="25" spans="1:10" customFormat="1" ht="12.75" customHeight="1" x14ac:dyDescent="0.2">
      <c r="A25" s="1386" t="s">
        <v>285</v>
      </c>
      <c r="B25" s="1387">
        <v>0</v>
      </c>
      <c r="C25" s="1382"/>
      <c r="D25" s="1387">
        <v>0</v>
      </c>
      <c r="E25" s="1382"/>
      <c r="F25" s="2068">
        <f>B25+D25</f>
        <v>0</v>
      </c>
    </row>
    <row r="26" spans="1:10" s="22" customFormat="1" ht="12.75" customHeight="1" x14ac:dyDescent="0.2">
      <c r="A26" s="1386" t="s">
        <v>286</v>
      </c>
      <c r="B26" s="1387">
        <v>0</v>
      </c>
      <c r="C26" s="1382"/>
      <c r="D26" s="1387">
        <v>0</v>
      </c>
      <c r="E26" s="1382"/>
      <c r="F26" s="2068">
        <f>B26+D26</f>
        <v>0</v>
      </c>
      <c r="G26" s="1372"/>
      <c r="H26" s="272"/>
      <c r="I26" s="1372"/>
      <c r="J26" s="1372"/>
    </row>
    <row r="27" spans="1:10" s="22" customFormat="1" ht="14.1" customHeight="1" thickBot="1" x14ac:dyDescent="0.25">
      <c r="A27" s="1394" t="s">
        <v>791</v>
      </c>
      <c r="B27" s="2069">
        <f>B26+B25</f>
        <v>0</v>
      </c>
      <c r="C27" s="1382" t="s">
        <v>973</v>
      </c>
      <c r="D27" s="2069">
        <f>SUM(D25:D26)</f>
        <v>0</v>
      </c>
      <c r="E27" s="1382" t="s">
        <v>973</v>
      </c>
      <c r="F27" s="2069">
        <f>F26+F25</f>
        <v>0</v>
      </c>
      <c r="G27" s="1393"/>
      <c r="H27" s="272"/>
      <c r="I27" s="1372"/>
      <c r="J27" s="1372"/>
    </row>
    <row r="28" spans="1:10" s="22" customFormat="1" ht="8.1" customHeight="1" x14ac:dyDescent="0.2">
      <c r="A28" s="1394"/>
      <c r="B28" s="1382"/>
      <c r="C28" s="1382"/>
      <c r="D28" s="1382"/>
      <c r="E28" s="1382"/>
      <c r="F28" s="1382"/>
      <c r="G28" s="1388"/>
      <c r="H28" s="272"/>
      <c r="I28" s="1372"/>
      <c r="J28" s="1372"/>
    </row>
    <row r="29" spans="1:10" s="22" customFormat="1" ht="14.1" customHeight="1" x14ac:dyDescent="0.2">
      <c r="A29" s="1394" t="s">
        <v>3990</v>
      </c>
      <c r="B29" s="1387">
        <v>0</v>
      </c>
      <c r="C29" s="1382" t="s">
        <v>973</v>
      </c>
      <c r="D29" s="1387">
        <v>0</v>
      </c>
      <c r="E29" s="1382" t="s">
        <v>973</v>
      </c>
      <c r="F29" s="2068">
        <f>B29+D29</f>
        <v>0</v>
      </c>
      <c r="G29" s="1388"/>
      <c r="H29" s="272"/>
      <c r="I29" s="1372"/>
      <c r="J29" s="1372"/>
    </row>
    <row r="30" spans="1:10" s="22" customFormat="1" ht="15.75" customHeight="1" x14ac:dyDescent="0.2">
      <c r="A30" s="1394" t="s">
        <v>1888</v>
      </c>
      <c r="B30" s="1382"/>
      <c r="C30" s="1382"/>
      <c r="D30" s="1382"/>
      <c r="E30" s="1382"/>
      <c r="F30" s="1382"/>
      <c r="G30" s="1388"/>
      <c r="H30" s="272"/>
      <c r="I30" s="1372"/>
      <c r="J30" s="1372"/>
    </row>
    <row r="31" spans="1:10" s="22" customFormat="1" ht="12.75" customHeight="1" x14ac:dyDescent="0.2">
      <c r="A31" s="1386" t="s">
        <v>4166</v>
      </c>
      <c r="B31" s="1387">
        <v>0</v>
      </c>
      <c r="C31" s="1382"/>
      <c r="D31" s="1387">
        <v>0</v>
      </c>
      <c r="E31" s="1382"/>
      <c r="F31" s="2068">
        <f>B31+D31</f>
        <v>0</v>
      </c>
      <c r="G31" s="1388"/>
      <c r="H31" s="272"/>
      <c r="I31" s="1372"/>
      <c r="J31" s="1372"/>
    </row>
    <row r="32" spans="1:10" s="22" customFormat="1" ht="12.75" customHeight="1" x14ac:dyDescent="0.2">
      <c r="A32" s="1386" t="s">
        <v>4014</v>
      </c>
      <c r="B32" s="1381">
        <v>0</v>
      </c>
      <c r="C32" s="1382"/>
      <c r="D32" s="1387">
        <v>0</v>
      </c>
      <c r="E32" s="1382"/>
      <c r="F32" s="2068">
        <f>B32+D32</f>
        <v>0</v>
      </c>
      <c r="G32" s="1388"/>
      <c r="H32" s="272"/>
      <c r="I32" s="1372"/>
      <c r="J32" s="1372"/>
    </row>
    <row r="33" spans="1:10" s="22" customFormat="1" ht="12.75" customHeight="1" x14ac:dyDescent="0.2">
      <c r="A33" s="1386" t="s">
        <v>4015</v>
      </c>
      <c r="B33" s="1387">
        <v>0</v>
      </c>
      <c r="C33" s="1382"/>
      <c r="D33" s="1387">
        <v>0</v>
      </c>
      <c r="E33" s="1382"/>
      <c r="F33" s="2068">
        <f>B33+D33</f>
        <v>0</v>
      </c>
      <c r="G33" s="1388"/>
      <c r="H33" s="272"/>
      <c r="I33" s="1372"/>
      <c r="J33" s="1372"/>
    </row>
    <row r="34" spans="1:10" s="22" customFormat="1" ht="14.1" customHeight="1" thickBot="1" x14ac:dyDescent="0.25">
      <c r="A34" s="1394" t="s">
        <v>1889</v>
      </c>
      <c r="B34" s="2071">
        <f>B31+B32+B33</f>
        <v>0</v>
      </c>
      <c r="C34" s="1382"/>
      <c r="D34" s="2071">
        <f>SUM(D31:D33)</f>
        <v>0</v>
      </c>
      <c r="E34" s="1382"/>
      <c r="F34" s="2071">
        <f>F31+F32+F33</f>
        <v>0</v>
      </c>
      <c r="G34" s="1388"/>
      <c r="H34" s="272"/>
      <c r="I34" s="1372"/>
      <c r="J34" s="1372"/>
    </row>
    <row r="35" spans="1:10" s="22" customFormat="1" ht="8.1" customHeight="1" thickTop="1" x14ac:dyDescent="0.2">
      <c r="A35" s="1386"/>
      <c r="B35" s="1382"/>
      <c r="C35" s="1382"/>
      <c r="D35" s="1382"/>
      <c r="E35" s="1382"/>
      <c r="F35" s="1382"/>
      <c r="G35" s="1388"/>
      <c r="H35" s="272"/>
      <c r="I35" s="1372"/>
      <c r="J35" s="1372"/>
    </row>
    <row r="36" spans="1:10" s="22" customFormat="1" ht="14.1" customHeight="1" thickBot="1" x14ac:dyDescent="0.25">
      <c r="A36" s="1603" t="s">
        <v>4016</v>
      </c>
      <c r="B36" s="1382"/>
      <c r="C36" s="1382"/>
      <c r="D36" s="2072">
        <f>SUM(D20+D22)-SUM(D27+D29)</f>
        <v>0</v>
      </c>
      <c r="E36" s="1382"/>
      <c r="F36" s="1382"/>
      <c r="G36" s="1388"/>
      <c r="H36" s="272"/>
      <c r="I36" s="1372"/>
      <c r="J36" s="1372"/>
    </row>
    <row r="37" spans="1:10" s="22" customFormat="1" ht="12" customHeight="1" thickTop="1" x14ac:dyDescent="0.2">
      <c r="A37" s="1386"/>
      <c r="B37" s="1382"/>
      <c r="C37" s="1382"/>
      <c r="D37" s="1382"/>
      <c r="E37" s="1382"/>
      <c r="F37" s="1382"/>
      <c r="G37" s="1388"/>
      <c r="H37" s="272"/>
      <c r="I37" s="1372"/>
      <c r="J37" s="1372"/>
    </row>
    <row r="38" spans="1:10" s="22" customFormat="1" ht="12.75" x14ac:dyDescent="0.2">
      <c r="A38" s="1602" t="s">
        <v>4</v>
      </c>
      <c r="B38" s="1382"/>
      <c r="C38" s="1382"/>
      <c r="D38" s="1382"/>
      <c r="E38" s="1382"/>
      <c r="F38" s="1382"/>
      <c r="G38" s="1388"/>
      <c r="H38" s="272"/>
      <c r="I38" s="1372"/>
      <c r="J38" s="1372"/>
    </row>
    <row r="39" spans="1:10" s="22" customFormat="1" ht="12.75" x14ac:dyDescent="0.2">
      <c r="A39" s="1604" t="s">
        <v>1090</v>
      </c>
      <c r="B39" s="1382"/>
      <c r="C39" s="1382"/>
      <c r="D39" s="1382"/>
      <c r="E39" s="1382"/>
      <c r="F39" s="1382"/>
      <c r="G39" s="1388"/>
      <c r="H39" s="272"/>
      <c r="I39" s="1372"/>
      <c r="J39" s="1372"/>
    </row>
    <row r="40" spans="1:10" s="22" customFormat="1" ht="14.1" customHeight="1" x14ac:dyDescent="0.2">
      <c r="A40" s="1394" t="s">
        <v>3991</v>
      </c>
      <c r="B40" s="1382"/>
      <c r="C40" s="1382"/>
      <c r="D40" s="1382"/>
      <c r="E40" s="1382"/>
      <c r="F40" s="1382"/>
      <c r="G40" s="1388"/>
      <c r="H40" s="272"/>
      <c r="I40" s="1372"/>
      <c r="J40" s="1372"/>
    </row>
    <row r="41" spans="1:10" s="22" customFormat="1" ht="14.1" customHeight="1" x14ac:dyDescent="0.2">
      <c r="A41" s="1386" t="s">
        <v>3993</v>
      </c>
      <c r="B41" s="1387">
        <v>0</v>
      </c>
      <c r="C41" s="1382"/>
      <c r="D41" s="1387">
        <v>0</v>
      </c>
      <c r="E41" s="1382"/>
      <c r="F41" s="2068">
        <f>B41+D41</f>
        <v>0</v>
      </c>
      <c r="G41" s="1388"/>
      <c r="H41" s="272"/>
      <c r="I41" s="1372"/>
      <c r="J41" s="1372"/>
    </row>
    <row r="42" spans="1:10" s="22" customFormat="1" ht="14.1" customHeight="1" x14ac:dyDescent="0.2">
      <c r="A42" s="1386" t="s">
        <v>3994</v>
      </c>
      <c r="B42" s="1387">
        <v>0</v>
      </c>
      <c r="C42" s="1382"/>
      <c r="D42" s="1387">
        <v>0</v>
      </c>
      <c r="E42" s="1382"/>
      <c r="F42" s="2068">
        <f>B42+D42</f>
        <v>0</v>
      </c>
      <c r="G42" s="1388"/>
      <c r="H42" s="272"/>
      <c r="I42" s="1372"/>
      <c r="J42" s="1372"/>
    </row>
    <row r="43" spans="1:10" s="22" customFormat="1" ht="14.1" customHeight="1" x14ac:dyDescent="0.2">
      <c r="A43" s="1386" t="s">
        <v>3995</v>
      </c>
      <c r="B43" s="1387">
        <v>0</v>
      </c>
      <c r="C43" s="1382"/>
      <c r="D43" s="1387">
        <v>0</v>
      </c>
      <c r="E43" s="1382"/>
      <c r="F43" s="2068">
        <f>B43+D43</f>
        <v>0</v>
      </c>
      <c r="G43" s="1388"/>
      <c r="H43" s="272"/>
      <c r="I43" s="1372"/>
      <c r="J43" s="1372"/>
    </row>
    <row r="44" spans="1:10" s="22" customFormat="1" ht="14.1" customHeight="1" x14ac:dyDescent="0.2">
      <c r="A44" s="1386" t="s">
        <v>3996</v>
      </c>
      <c r="B44" s="1387">
        <v>0</v>
      </c>
      <c r="C44" s="1382"/>
      <c r="D44" s="1387">
        <v>0</v>
      </c>
      <c r="E44" s="1382"/>
      <c r="F44" s="2068">
        <f>B44+D44</f>
        <v>0</v>
      </c>
      <c r="G44" s="1388"/>
      <c r="H44" s="272"/>
      <c r="I44" s="1372"/>
      <c r="J44" s="1372"/>
    </row>
    <row r="45" spans="1:10" s="22" customFormat="1" ht="14.1" customHeight="1" x14ac:dyDescent="0.2">
      <c r="A45" s="1394" t="s">
        <v>3992</v>
      </c>
      <c r="B45" s="1382">
        <v>0</v>
      </c>
      <c r="C45" s="1382"/>
      <c r="D45" s="1382">
        <v>0</v>
      </c>
      <c r="E45" s="1382"/>
      <c r="F45" s="1382" t="s">
        <v>973</v>
      </c>
      <c r="G45" s="1388"/>
      <c r="H45" s="272"/>
      <c r="I45" s="1384"/>
      <c r="J45" s="1372"/>
    </row>
    <row r="46" spans="1:10" s="22" customFormat="1" ht="14.1" customHeight="1" x14ac:dyDescent="0.2">
      <c r="A46" s="1386" t="s">
        <v>3996</v>
      </c>
      <c r="B46" s="1387">
        <v>0</v>
      </c>
      <c r="C46" s="1382"/>
      <c r="D46" s="1387">
        <v>0</v>
      </c>
      <c r="E46" s="1382"/>
      <c r="F46" s="2068">
        <f>B46+D46</f>
        <v>0</v>
      </c>
      <c r="G46" s="1388"/>
      <c r="H46" s="272"/>
      <c r="I46" s="1372"/>
      <c r="J46" s="1372"/>
    </row>
    <row r="47" spans="1:10" s="22" customFormat="1" ht="14.1" customHeight="1" x14ac:dyDescent="0.2">
      <c r="A47" s="1394" t="s">
        <v>4019</v>
      </c>
      <c r="B47" s="1382"/>
      <c r="C47" s="1382"/>
      <c r="D47" s="1382">
        <v>0</v>
      </c>
      <c r="E47" s="1382"/>
      <c r="F47" s="1382"/>
      <c r="G47" s="1388"/>
      <c r="H47" s="272"/>
      <c r="I47" s="1372"/>
      <c r="J47" s="1372"/>
    </row>
    <row r="48" spans="1:10" s="22" customFormat="1" ht="14.1" customHeight="1" x14ac:dyDescent="0.2">
      <c r="A48" s="1386" t="s">
        <v>4020</v>
      </c>
      <c r="B48" s="1387">
        <v>0</v>
      </c>
      <c r="C48" s="1382"/>
      <c r="D48" s="1387">
        <v>0</v>
      </c>
      <c r="E48" s="1382"/>
      <c r="F48" s="2068">
        <f>B48+D48</f>
        <v>0</v>
      </c>
      <c r="G48" s="1388"/>
      <c r="H48" s="272"/>
      <c r="I48" s="1372"/>
      <c r="J48" s="1372"/>
    </row>
    <row r="49" spans="1:10" s="22" customFormat="1" ht="14.1" customHeight="1" x14ac:dyDescent="0.2">
      <c r="A49" s="1386" t="s">
        <v>4021</v>
      </c>
      <c r="B49" s="1387">
        <v>0</v>
      </c>
      <c r="C49" s="1382"/>
      <c r="D49" s="1387">
        <v>0</v>
      </c>
      <c r="E49" s="1382"/>
      <c r="F49" s="2068">
        <f t="shared" ref="F49:F61" si="0">B49+D49</f>
        <v>0</v>
      </c>
      <c r="G49" s="1388"/>
      <c r="H49" s="272"/>
      <c r="I49" s="1372"/>
      <c r="J49" s="1372"/>
    </row>
    <row r="50" spans="1:10" s="22" customFormat="1" ht="14.1" customHeight="1" x14ac:dyDescent="0.2">
      <c r="A50" s="1386" t="s">
        <v>4022</v>
      </c>
      <c r="B50" s="1387">
        <v>0</v>
      </c>
      <c r="C50" s="1382"/>
      <c r="D50" s="1387">
        <v>0</v>
      </c>
      <c r="E50" s="1382"/>
      <c r="F50" s="2068">
        <f t="shared" si="0"/>
        <v>0</v>
      </c>
      <c r="G50" s="1388"/>
      <c r="H50" s="272"/>
      <c r="I50" s="1372"/>
      <c r="J50" s="1372"/>
    </row>
    <row r="51" spans="1:10" s="22" customFormat="1" ht="14.1" customHeight="1" x14ac:dyDescent="0.2">
      <c r="A51" s="1386" t="s">
        <v>4023</v>
      </c>
      <c r="B51" s="1387">
        <v>0</v>
      </c>
      <c r="C51" s="1382"/>
      <c r="D51" s="1387">
        <v>0</v>
      </c>
      <c r="E51" s="1382"/>
      <c r="F51" s="2068">
        <f t="shared" si="0"/>
        <v>0</v>
      </c>
      <c r="G51" s="1388"/>
      <c r="H51" s="272"/>
      <c r="I51" s="1372"/>
      <c r="J51" s="1372"/>
    </row>
    <row r="52" spans="1:10" s="22" customFormat="1" ht="14.1" customHeight="1" x14ac:dyDescent="0.2">
      <c r="A52" s="1386" t="s">
        <v>4024</v>
      </c>
      <c r="B52" s="1387">
        <v>0</v>
      </c>
      <c r="C52" s="1382"/>
      <c r="D52" s="1387">
        <v>0</v>
      </c>
      <c r="E52" s="1382"/>
      <c r="F52" s="2068">
        <f t="shared" si="0"/>
        <v>0</v>
      </c>
      <c r="G52" s="1388"/>
      <c r="H52" s="272"/>
      <c r="I52" s="1372"/>
      <c r="J52" s="1372"/>
    </row>
    <row r="53" spans="1:10" s="22" customFormat="1" ht="14.1" customHeight="1" x14ac:dyDescent="0.2">
      <c r="A53" s="1386" t="s">
        <v>4025</v>
      </c>
      <c r="B53" s="1387">
        <v>0</v>
      </c>
      <c r="C53" s="1382"/>
      <c r="D53" s="1387">
        <v>0</v>
      </c>
      <c r="E53" s="1382"/>
      <c r="F53" s="2068">
        <f t="shared" si="0"/>
        <v>0</v>
      </c>
      <c r="G53" s="1388"/>
      <c r="H53" s="272"/>
      <c r="I53" s="1372"/>
      <c r="J53" s="1372"/>
    </row>
    <row r="54" spans="1:10" s="22" customFormat="1" ht="14.1" customHeight="1" x14ac:dyDescent="0.2">
      <c r="A54" s="1386" t="s">
        <v>4026</v>
      </c>
      <c r="B54" s="1387">
        <v>0</v>
      </c>
      <c r="C54" s="1382"/>
      <c r="D54" s="1387">
        <v>0</v>
      </c>
      <c r="E54" s="1382"/>
      <c r="F54" s="2068">
        <f t="shared" si="0"/>
        <v>0</v>
      </c>
      <c r="G54" s="1388"/>
      <c r="H54" s="2073"/>
      <c r="I54" s="1372"/>
      <c r="J54" s="1372"/>
    </row>
    <row r="55" spans="1:10" s="22" customFormat="1" ht="14.1" customHeight="1" x14ac:dyDescent="0.2">
      <c r="A55" s="1386" t="s">
        <v>4027</v>
      </c>
      <c r="B55" s="1387">
        <v>0</v>
      </c>
      <c r="C55" s="1382"/>
      <c r="D55" s="1387">
        <v>0</v>
      </c>
      <c r="E55" s="1382"/>
      <c r="F55" s="2068">
        <f t="shared" si="0"/>
        <v>0</v>
      </c>
      <c r="G55" s="1388"/>
      <c r="H55" s="272"/>
      <c r="I55" s="1372"/>
      <c r="J55" s="1372"/>
    </row>
    <row r="56" spans="1:10" s="22" customFormat="1" ht="14.1" customHeight="1" x14ac:dyDescent="0.2">
      <c r="A56" s="1386" t="s">
        <v>4028</v>
      </c>
      <c r="B56" s="1387">
        <v>0</v>
      </c>
      <c r="C56" s="1382"/>
      <c r="D56" s="1387">
        <v>0</v>
      </c>
      <c r="E56" s="1382"/>
      <c r="F56" s="2068">
        <f t="shared" si="0"/>
        <v>0</v>
      </c>
      <c r="G56" s="1388"/>
      <c r="H56" s="272"/>
      <c r="I56" s="1372"/>
      <c r="J56" s="1372"/>
    </row>
    <row r="57" spans="1:10" s="22" customFormat="1" ht="14.1" customHeight="1" x14ac:dyDescent="0.2">
      <c r="A57" s="1386" t="s">
        <v>4029</v>
      </c>
      <c r="B57" s="1387">
        <v>0</v>
      </c>
      <c r="C57" s="1382"/>
      <c r="D57" s="1387">
        <v>0</v>
      </c>
      <c r="E57" s="1382"/>
      <c r="F57" s="2068">
        <f t="shared" si="0"/>
        <v>0</v>
      </c>
      <c r="G57" s="1388"/>
      <c r="H57" s="272"/>
      <c r="I57" s="1372"/>
      <c r="J57" s="1372"/>
    </row>
    <row r="58" spans="1:10" s="22" customFormat="1" ht="14.1" customHeight="1" x14ac:dyDescent="0.2">
      <c r="A58" s="1386" t="s">
        <v>901</v>
      </c>
      <c r="B58" s="1387">
        <v>0</v>
      </c>
      <c r="C58" s="1382"/>
      <c r="D58" s="1387">
        <v>0</v>
      </c>
      <c r="E58" s="1382"/>
      <c r="F58" s="2068">
        <f t="shared" si="0"/>
        <v>0</v>
      </c>
      <c r="G58" s="1388"/>
      <c r="H58" s="272"/>
      <c r="I58" s="1372"/>
      <c r="J58" s="1372"/>
    </row>
    <row r="59" spans="1:10" s="22" customFormat="1" ht="14.1" customHeight="1" x14ac:dyDescent="0.2">
      <c r="A59" s="1386" t="s">
        <v>4030</v>
      </c>
      <c r="B59" s="1382">
        <v>0</v>
      </c>
      <c r="C59" s="1382"/>
      <c r="D59" s="1382">
        <v>0</v>
      </c>
      <c r="E59" s="1382"/>
      <c r="F59" s="1382" t="s">
        <v>973</v>
      </c>
      <c r="G59" s="1388"/>
      <c r="H59" s="272"/>
      <c r="I59" s="1372"/>
      <c r="J59" s="1372"/>
    </row>
    <row r="60" spans="1:10" s="22" customFormat="1" ht="14.1" customHeight="1" x14ac:dyDescent="0.2">
      <c r="A60" s="1386" t="s">
        <v>4031</v>
      </c>
      <c r="B60" s="1387">
        <v>0</v>
      </c>
      <c r="C60" s="1382"/>
      <c r="D60" s="1387">
        <v>0</v>
      </c>
      <c r="E60" s="1382"/>
      <c r="F60" s="2068">
        <f>B60+D60</f>
        <v>0</v>
      </c>
      <c r="G60" s="1388"/>
      <c r="H60" s="272"/>
      <c r="I60" s="1372"/>
      <c r="J60" s="1372"/>
    </row>
    <row r="61" spans="1:10" s="22" customFormat="1" ht="14.1" customHeight="1" x14ac:dyDescent="0.2">
      <c r="A61" s="1386" t="s">
        <v>643</v>
      </c>
      <c r="B61" s="1387">
        <v>0</v>
      </c>
      <c r="C61" s="1382"/>
      <c r="D61" s="1387">
        <v>0</v>
      </c>
      <c r="E61" s="1382"/>
      <c r="F61" s="2068">
        <f t="shared" si="0"/>
        <v>0</v>
      </c>
      <c r="G61" s="1388"/>
      <c r="H61" s="272"/>
      <c r="I61" s="1384"/>
      <c r="J61" s="1372"/>
    </row>
    <row r="62" spans="1:10" s="22" customFormat="1" ht="14.1" customHeight="1" thickBot="1" x14ac:dyDescent="0.25">
      <c r="A62" s="1394" t="s">
        <v>3997</v>
      </c>
      <c r="B62" s="2071">
        <f>B41+B42+B43+B44+B46+B48+B49+B50+B51+B52+B53+B54+B55+B56+B57+B58+B60+B61</f>
        <v>0</v>
      </c>
      <c r="C62" s="1382"/>
      <c r="D62" s="2071">
        <f>D41+D42+D43+D44+D46+D48+D49+D50+D51+D52+D53+D54+D55+D56+D57+D58+D60+D61</f>
        <v>0</v>
      </c>
      <c r="E62" s="1382"/>
      <c r="F62" s="2071">
        <f>F41+F42+F43+F44+F46+F48+F49+F50+F51+F52+F53+F54+F55+F56+F57+F58+F60+F61</f>
        <v>0</v>
      </c>
      <c r="G62" s="1388"/>
      <c r="H62" s="272"/>
      <c r="I62" s="1384"/>
      <c r="J62" s="1372"/>
    </row>
    <row r="63" spans="1:10" s="22" customFormat="1" ht="8.1" customHeight="1" thickTop="1" x14ac:dyDescent="0.2">
      <c r="A63" s="1386"/>
      <c r="B63" s="1382"/>
      <c r="C63" s="1382"/>
      <c r="D63" s="1382"/>
      <c r="E63" s="1382"/>
      <c r="F63" s="1382"/>
      <c r="G63" s="1388"/>
      <c r="H63" s="272"/>
      <c r="I63" s="1384"/>
      <c r="J63" s="1372"/>
    </row>
    <row r="64" spans="1:10" s="22" customFormat="1" ht="12.75" x14ac:dyDescent="0.2">
      <c r="A64" s="1604" t="s">
        <v>1089</v>
      </c>
      <c r="B64" s="1382"/>
      <c r="C64" s="1382"/>
      <c r="D64" s="1382"/>
      <c r="E64" s="1382"/>
      <c r="F64" s="1382"/>
      <c r="G64" s="1388"/>
      <c r="H64" s="272"/>
      <c r="I64" s="1372"/>
      <c r="J64" s="1372"/>
    </row>
    <row r="65" spans="1:10" s="22" customFormat="1" ht="12.75" customHeight="1" x14ac:dyDescent="0.2">
      <c r="A65" s="1386" t="s">
        <v>5</v>
      </c>
      <c r="B65" s="1382" t="s">
        <v>973</v>
      </c>
      <c r="C65" s="1382" t="s">
        <v>973</v>
      </c>
      <c r="D65" s="1382" t="s">
        <v>973</v>
      </c>
      <c r="E65" s="1382" t="s">
        <v>973</v>
      </c>
      <c r="F65" s="1382" t="s">
        <v>973</v>
      </c>
      <c r="G65" s="1388"/>
      <c r="H65" s="272"/>
      <c r="I65" s="1372"/>
      <c r="J65" s="1372"/>
    </row>
    <row r="66" spans="1:10" s="22" customFormat="1" ht="12.75" customHeight="1" x14ac:dyDescent="0.2">
      <c r="A66" s="1386" t="s">
        <v>4032</v>
      </c>
      <c r="B66" s="1387">
        <v>0</v>
      </c>
      <c r="C66" s="1382"/>
      <c r="D66" s="1387">
        <v>0</v>
      </c>
      <c r="E66" s="1382"/>
      <c r="F66" s="2068">
        <f t="shared" ref="F66:F76" si="1">B66+D66</f>
        <v>0</v>
      </c>
      <c r="G66" s="1388"/>
      <c r="H66" s="272"/>
      <c r="I66" s="1372"/>
      <c r="J66" s="1372"/>
    </row>
    <row r="67" spans="1:10" s="22" customFormat="1" ht="12.75" customHeight="1" x14ac:dyDescent="0.2">
      <c r="A67" s="1386" t="s">
        <v>4033</v>
      </c>
      <c r="B67" s="1387">
        <v>0</v>
      </c>
      <c r="C67" s="1382"/>
      <c r="D67" s="1387">
        <v>0</v>
      </c>
      <c r="E67" s="1382"/>
      <c r="F67" s="2068">
        <f t="shared" si="1"/>
        <v>0</v>
      </c>
      <c r="G67" s="1388"/>
      <c r="H67" s="272"/>
      <c r="I67" s="1372"/>
      <c r="J67" s="1372"/>
    </row>
    <row r="68" spans="1:10" s="22" customFormat="1" ht="12.75" customHeight="1" x14ac:dyDescent="0.2">
      <c r="A68" s="1386" t="s">
        <v>4034</v>
      </c>
      <c r="B68" s="1387">
        <v>0</v>
      </c>
      <c r="C68" s="1382"/>
      <c r="D68" s="1387">
        <v>0</v>
      </c>
      <c r="E68" s="1382"/>
      <c r="F68" s="2068">
        <f t="shared" si="1"/>
        <v>0</v>
      </c>
      <c r="G68" s="1388"/>
      <c r="H68" s="272"/>
      <c r="I68" s="1372"/>
      <c r="J68" s="1372"/>
    </row>
    <row r="69" spans="1:10" s="22" customFormat="1" ht="12.75" customHeight="1" x14ac:dyDescent="0.2">
      <c r="A69" s="1386" t="s">
        <v>4035</v>
      </c>
      <c r="B69" s="1387">
        <v>0</v>
      </c>
      <c r="C69" s="1382"/>
      <c r="D69" s="1387">
        <v>0</v>
      </c>
      <c r="E69" s="1382"/>
      <c r="F69" s="2068">
        <f t="shared" si="1"/>
        <v>0</v>
      </c>
      <c r="G69" s="1388"/>
      <c r="H69" s="272"/>
      <c r="I69" s="1372"/>
      <c r="J69" s="1372"/>
    </row>
    <row r="70" spans="1:10" s="22" customFormat="1" ht="12.75" customHeight="1" x14ac:dyDescent="0.2">
      <c r="A70" s="1386" t="s">
        <v>4036</v>
      </c>
      <c r="B70" s="1387">
        <v>0</v>
      </c>
      <c r="C70" s="1382"/>
      <c r="D70" s="1387">
        <v>0</v>
      </c>
      <c r="E70" s="1382"/>
      <c r="F70" s="2068">
        <f t="shared" si="1"/>
        <v>0</v>
      </c>
      <c r="G70" s="1388"/>
      <c r="H70" s="272"/>
      <c r="I70" s="1372"/>
      <c r="J70" s="1372"/>
    </row>
    <row r="71" spans="1:10" s="22" customFormat="1" ht="12.75" customHeight="1" x14ac:dyDescent="0.2">
      <c r="A71" s="1386" t="s">
        <v>4037</v>
      </c>
      <c r="B71" s="1387">
        <v>0</v>
      </c>
      <c r="C71" s="1382"/>
      <c r="D71" s="1387">
        <v>0</v>
      </c>
      <c r="E71" s="1382"/>
      <c r="F71" s="2068">
        <f t="shared" si="1"/>
        <v>0</v>
      </c>
      <c r="G71" s="1388"/>
      <c r="H71" s="272"/>
      <c r="I71" s="1372"/>
      <c r="J71" s="1372"/>
    </row>
    <row r="72" spans="1:10" s="22" customFormat="1" ht="12.75" customHeight="1" x14ac:dyDescent="0.2">
      <c r="A72" s="1386" t="s">
        <v>4038</v>
      </c>
      <c r="B72" s="1387">
        <v>0</v>
      </c>
      <c r="C72" s="1382"/>
      <c r="D72" s="1387">
        <v>0</v>
      </c>
      <c r="E72" s="1382"/>
      <c r="F72" s="2068">
        <f t="shared" si="1"/>
        <v>0</v>
      </c>
      <c r="G72" s="1388"/>
      <c r="H72" s="272"/>
      <c r="I72" s="1372"/>
      <c r="J72" s="1372"/>
    </row>
    <row r="73" spans="1:10" s="22" customFormat="1" ht="12.75" customHeight="1" x14ac:dyDescent="0.2">
      <c r="A73" s="1386" t="s">
        <v>4039</v>
      </c>
      <c r="B73" s="1387">
        <v>0</v>
      </c>
      <c r="C73" s="1382"/>
      <c r="D73" s="1387">
        <v>0</v>
      </c>
      <c r="E73" s="1382"/>
      <c r="F73" s="2068">
        <f t="shared" si="1"/>
        <v>0</v>
      </c>
      <c r="G73" s="1388"/>
      <c r="H73" s="272"/>
      <c r="I73" s="1372"/>
      <c r="J73" s="1372"/>
    </row>
    <row r="74" spans="1:10" s="22" customFormat="1" ht="12.75" customHeight="1" x14ac:dyDescent="0.2">
      <c r="A74" s="1386" t="s">
        <v>4040</v>
      </c>
      <c r="B74" s="1387">
        <v>0</v>
      </c>
      <c r="C74" s="1382"/>
      <c r="D74" s="1387">
        <v>0</v>
      </c>
      <c r="E74" s="1382"/>
      <c r="F74" s="2068">
        <f t="shared" si="1"/>
        <v>0</v>
      </c>
      <c r="G74" s="1388"/>
      <c r="H74" s="272"/>
      <c r="I74" s="1372"/>
      <c r="J74" s="1372"/>
    </row>
    <row r="75" spans="1:10" s="22" customFormat="1" ht="12.75" customHeight="1" x14ac:dyDescent="0.2">
      <c r="A75" s="1386" t="s">
        <v>1181</v>
      </c>
      <c r="B75" s="1387">
        <v>0</v>
      </c>
      <c r="C75" s="1382"/>
      <c r="D75" s="1387">
        <v>0</v>
      </c>
      <c r="E75" s="1382"/>
      <c r="F75" s="2068">
        <f t="shared" si="1"/>
        <v>0</v>
      </c>
      <c r="G75" s="1388"/>
      <c r="H75" s="272"/>
      <c r="I75" s="1372"/>
      <c r="J75" s="1372"/>
    </row>
    <row r="76" spans="1:10" s="22" customFormat="1" ht="14.1" customHeight="1" thickBot="1" x14ac:dyDescent="0.25">
      <c r="A76" s="1394" t="s">
        <v>4018</v>
      </c>
      <c r="B76" s="2071">
        <f>B66+B67+B68+B69+B70+B71+B72+B73+B74+B75</f>
        <v>0</v>
      </c>
      <c r="C76" s="1382"/>
      <c r="D76" s="2071">
        <f>D66+D67+D68+D69+D70+D71+D72+D73+D74+D75</f>
        <v>0</v>
      </c>
      <c r="E76" s="1382"/>
      <c r="F76" s="2068">
        <f t="shared" si="1"/>
        <v>0</v>
      </c>
      <c r="G76" s="1388"/>
      <c r="H76" s="272"/>
      <c r="I76" s="1372"/>
      <c r="J76" s="1372"/>
    </row>
    <row r="77" spans="1:10" s="22" customFormat="1" ht="9" customHeight="1" thickTop="1" x14ac:dyDescent="0.2">
      <c r="A77" s="1394"/>
      <c r="B77" s="1382"/>
      <c r="C77" s="1382"/>
      <c r="D77" s="1382"/>
      <c r="E77" s="1382"/>
      <c r="F77" s="1382"/>
      <c r="G77" s="1388"/>
      <c r="H77" s="272"/>
      <c r="I77" s="1372"/>
      <c r="J77" s="1372"/>
    </row>
    <row r="78" spans="1:10" s="22" customFormat="1" ht="14.1" customHeight="1" x14ac:dyDescent="0.2">
      <c r="A78" s="1386" t="s">
        <v>4041</v>
      </c>
      <c r="B78" s="1387">
        <v>0</v>
      </c>
      <c r="C78" s="1382"/>
      <c r="D78" s="1387">
        <v>0</v>
      </c>
      <c r="E78" s="1382"/>
      <c r="F78" s="2068">
        <f>B78+D78</f>
        <v>0</v>
      </c>
      <c r="G78" s="1388"/>
      <c r="H78" s="272"/>
      <c r="I78" s="1372"/>
      <c r="J78" s="1372"/>
    </row>
    <row r="79" spans="1:10" s="22" customFormat="1" ht="14.1" customHeight="1" x14ac:dyDescent="0.2">
      <c r="A79" s="1386" t="s">
        <v>737</v>
      </c>
      <c r="B79" s="1387">
        <v>0</v>
      </c>
      <c r="C79" s="1382"/>
      <c r="D79" s="1387">
        <v>0</v>
      </c>
      <c r="E79" s="1382"/>
      <c r="F79" s="2068">
        <f>B79+D79</f>
        <v>0</v>
      </c>
      <c r="G79" s="1388"/>
      <c r="H79" s="272"/>
      <c r="I79" s="1372"/>
      <c r="J79" s="1372"/>
    </row>
    <row r="80" spans="1:10" s="22" customFormat="1" ht="14.1" customHeight="1" x14ac:dyDescent="0.2">
      <c r="A80" s="1386" t="s">
        <v>738</v>
      </c>
      <c r="B80" s="1387">
        <v>0</v>
      </c>
      <c r="C80" s="1382"/>
      <c r="D80" s="1387">
        <v>0</v>
      </c>
      <c r="E80" s="1382"/>
      <c r="F80" s="2068">
        <f>B80+D80</f>
        <v>0</v>
      </c>
      <c r="G80" s="1388"/>
      <c r="H80" s="272"/>
      <c r="I80" s="1372"/>
      <c r="J80" s="1372"/>
    </row>
    <row r="81" spans="1:10" s="22" customFormat="1" ht="14.1" customHeight="1" x14ac:dyDescent="0.2">
      <c r="A81" s="1386" t="s">
        <v>4042</v>
      </c>
      <c r="B81" s="1387">
        <v>0</v>
      </c>
      <c r="C81" s="1382"/>
      <c r="D81" s="1382">
        <v>0</v>
      </c>
      <c r="E81" s="1382"/>
      <c r="F81" s="2068">
        <f>B81+D81</f>
        <v>0</v>
      </c>
      <c r="G81" s="1388"/>
      <c r="H81" s="272"/>
      <c r="I81" s="1372"/>
      <c r="J81" s="1372"/>
    </row>
    <row r="82" spans="1:10" s="22" customFormat="1" ht="7.5" customHeight="1" x14ac:dyDescent="0.2">
      <c r="A82" s="1386"/>
      <c r="B82" s="1382"/>
      <c r="C82" s="1382"/>
      <c r="D82" s="1652"/>
      <c r="E82" s="1382"/>
      <c r="F82" s="1382"/>
      <c r="G82" s="1388"/>
      <c r="H82" s="272"/>
      <c r="I82" s="1372"/>
      <c r="J82" s="1372"/>
    </row>
    <row r="83" spans="1:10" s="22" customFormat="1" ht="14.1" customHeight="1" thickBot="1" x14ac:dyDescent="0.25">
      <c r="A83" s="1394" t="s">
        <v>4017</v>
      </c>
      <c r="B83" s="1382" t="s">
        <v>973</v>
      </c>
      <c r="C83" s="1382"/>
      <c r="D83" s="2072">
        <f>D62-D76+D78+D79-D80+D81</f>
        <v>0</v>
      </c>
      <c r="E83" s="1382"/>
      <c r="F83" s="1382" t="s">
        <v>973</v>
      </c>
      <c r="G83" s="1388"/>
      <c r="H83" s="272"/>
      <c r="I83" s="1372"/>
      <c r="J83" s="1372"/>
    </row>
    <row r="84" spans="1:10" s="22" customFormat="1" ht="10.35" customHeight="1" thickTop="1" x14ac:dyDescent="0.2">
      <c r="A84" s="1372"/>
      <c r="B84" s="1372"/>
      <c r="C84" s="1372"/>
      <c r="D84" s="1372"/>
      <c r="E84" s="1372"/>
      <c r="F84" s="1372"/>
      <c r="G84" s="1372"/>
      <c r="H84" s="272"/>
      <c r="I84" s="1372"/>
      <c r="J84" s="1372"/>
    </row>
    <row r="85" spans="1:10" s="22" customFormat="1" ht="12.75" x14ac:dyDescent="0.2">
      <c r="A85" s="3063" t="s">
        <v>58</v>
      </c>
      <c r="B85" s="3064"/>
      <c r="C85" s="3064"/>
      <c r="D85" s="3064"/>
      <c r="E85" s="3064"/>
      <c r="F85" s="3064"/>
      <c r="G85" s="3064"/>
      <c r="H85" s="3064"/>
      <c r="I85" s="3064"/>
      <c r="J85" s="3064"/>
    </row>
    <row r="86" spans="1:10" s="22" customFormat="1" ht="12.75" x14ac:dyDescent="0.2">
      <c r="A86" s="1389" t="s">
        <v>59</v>
      </c>
      <c r="B86" s="1389"/>
      <c r="C86" s="1389"/>
      <c r="D86" s="1389"/>
      <c r="E86" s="1389"/>
      <c r="F86" s="1389"/>
      <c r="G86" s="1389"/>
      <c r="H86" s="1385"/>
      <c r="I86" s="1389"/>
      <c r="J86" s="1389"/>
    </row>
    <row r="87" spans="1:10" s="22" customFormat="1" ht="12.75" x14ac:dyDescent="0.2">
      <c r="H87"/>
    </row>
    <row r="88" spans="1:10" ht="12.75" x14ac:dyDescent="0.2">
      <c r="H88"/>
      <c r="I88" s="22"/>
    </row>
    <row r="89" spans="1:10" ht="12.75" x14ac:dyDescent="0.2">
      <c r="H89"/>
      <c r="I89" s="22"/>
    </row>
    <row r="90" spans="1:10" ht="12.75" x14ac:dyDescent="0.2">
      <c r="H90"/>
      <c r="I90" s="22"/>
    </row>
    <row r="91" spans="1:10" ht="12.75" x14ac:dyDescent="0.2">
      <c r="H91"/>
    </row>
    <row r="92" spans="1:10" ht="12.75" x14ac:dyDescent="0.2">
      <c r="H92"/>
    </row>
    <row r="93" spans="1:10" ht="12.75" x14ac:dyDescent="0.2">
      <c r="H93"/>
    </row>
    <row r="94" spans="1:10" ht="12.75" x14ac:dyDescent="0.2">
      <c r="H94"/>
    </row>
    <row r="95" spans="1:10" ht="12.75" x14ac:dyDescent="0.2">
      <c r="H95"/>
    </row>
    <row r="96" spans="1:10" ht="12.75" x14ac:dyDescent="0.2">
      <c r="H96"/>
    </row>
    <row r="97" spans="8:8" ht="12.75" x14ac:dyDescent="0.2">
      <c r="H97"/>
    </row>
    <row r="98" spans="8:8" ht="12.75" x14ac:dyDescent="0.2">
      <c r="H98"/>
    </row>
    <row r="99" spans="8:8" ht="12.75" x14ac:dyDescent="0.2">
      <c r="H99"/>
    </row>
    <row r="100" spans="8:8" ht="12.75" x14ac:dyDescent="0.2">
      <c r="H100"/>
    </row>
    <row r="101" spans="8:8" ht="12.75" x14ac:dyDescent="0.2">
      <c r="H101"/>
    </row>
    <row r="102" spans="8:8" ht="12.75" x14ac:dyDescent="0.2">
      <c r="H102"/>
    </row>
    <row r="103" spans="8:8" ht="12.75" x14ac:dyDescent="0.2">
      <c r="H103"/>
    </row>
    <row r="104" spans="8:8" ht="12.75" x14ac:dyDescent="0.2">
      <c r="H104"/>
    </row>
  </sheetData>
  <sheetProtection algorithmName="SHA-512" hashValue="FA8rkvSGwMA9d9gu3Ts2DFhcWE5pRVDYtEfa5Ys/+Kkj34zwLvypnYhsUeKyj0rtw660ZRAe6Pb3RAjawaWXdg==" saltValue="TWEToYKpuSUMPA8f2Zzr3Q==" spinCount="100000" sheet="1" objects="1" scenarios="1" autoFilter="0"/>
  <customSheetViews>
    <customSheetView guid="{B08879A4-635B-4C39-9937-AC7883D562FC}" showGridLines="0" fitToPage="1">
      <selection activeCell="B12" sqref="B12"/>
      <pageMargins left="0.62" right="0.53" top="0.71" bottom="0.56000000000000005" header="0.5" footer="0.38"/>
      <pageSetup scale="72" orientation="portrait" r:id="rId1"/>
      <headerFooter alignWithMargins="0">
        <oddFooter>&amp;R431</oddFooter>
      </headerFooter>
    </customSheetView>
    <customSheetView guid="{1250FD07-FF56-4A9D-AF9E-C27124A7EBE9}" showGridLines="0" fitToPage="1" showRuler="0">
      <selection sqref="A1:H1"/>
      <pageMargins left="0.62" right="0.53" top="0.71" bottom="0.56000000000000005" header="0.5" footer="0.38"/>
      <pageSetup scale="92" orientation="portrait" r:id="rId2"/>
      <headerFooter alignWithMargins="0">
        <oddFooter>&amp;R431</oddFooter>
      </headerFooter>
    </customSheetView>
    <customSheetView guid="{BEA4BE86-04D1-4C96-9358-7A260B9D2B2D}" showGridLines="0" fitToPage="1" showRuler="0">
      <selection sqref="A1:H1"/>
      <pageMargins left="0.62" right="0.53" top="0.71" bottom="0.56000000000000005" header="0.5" footer="0.38"/>
      <pageSetup scale="92" orientation="portrait" r:id="rId3"/>
      <headerFooter alignWithMargins="0">
        <oddFooter>&amp;R431</oddFooter>
      </headerFooter>
    </customSheetView>
    <customSheetView guid="{9FCFC836-1CA5-48BF-958D-24D2EA94B219}" showGridLines="0" fitToPage="1">
      <selection activeCell="B12" sqref="B12"/>
      <pageMargins left="0.62" right="0.53" top="0.71" bottom="0.56000000000000005" header="0.5" footer="0.38"/>
      <pageSetup scale="72" orientation="portrait" r:id="rId4"/>
      <headerFooter alignWithMargins="0">
        <oddFooter>&amp;R431</oddFooter>
      </headerFooter>
    </customSheetView>
  </customSheetViews>
  <mergeCells count="10">
    <mergeCell ref="I2:I4"/>
    <mergeCell ref="A1:H1"/>
    <mergeCell ref="A4:H4"/>
    <mergeCell ref="A85:J85"/>
    <mergeCell ref="F8:H8"/>
    <mergeCell ref="F5:H5"/>
    <mergeCell ref="F6:H6"/>
    <mergeCell ref="F7:H7"/>
    <mergeCell ref="A2:H2"/>
    <mergeCell ref="A3:H3"/>
  </mergeCells>
  <phoneticPr fontId="15" type="noConversion"/>
  <conditionalFormatting sqref="L1">
    <cfRule type="cellIs" dxfId="74" priority="3" stopIfTrue="1" operator="equal">
      <formula>"na"</formula>
    </cfRule>
  </conditionalFormatting>
  <conditionalFormatting sqref="I2:I4">
    <cfRule type="cellIs" dxfId="73" priority="1" stopIfTrue="1" operator="equal">
      <formula>"na"</formula>
    </cfRule>
  </conditionalFormatting>
  <hyperlinks>
    <hyperlink ref="A1:H1" location="Index!A1" display="Index!A1" xr:uid="{00000000-0004-0000-2400-000000000000}"/>
  </hyperlinks>
  <pageMargins left="0.6" right="0.6" top="0.5" bottom="0.5" header="0.5" footer="0.38"/>
  <pageSetup scale="65" orientation="portrait" r:id="rId5"/>
  <headerFooter alignWithMargins="0">
    <oddFooter xml:space="preserve">&amp;R431G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7"/>
  <sheetViews>
    <sheetView showGridLines="0" zoomScaleNormal="100" workbookViewId="0">
      <selection activeCell="R28" sqref="R28"/>
    </sheetView>
  </sheetViews>
  <sheetFormatPr defaultColWidth="9.42578125" defaultRowHeight="10.5" x14ac:dyDescent="0.15"/>
  <cols>
    <col min="1" max="1" width="31.42578125" style="21" customWidth="1"/>
    <col min="2" max="2" width="16.5703125" style="21" customWidth="1"/>
    <col min="3" max="3" width="1.5703125" style="21" customWidth="1"/>
    <col min="4" max="4" width="15.5703125" style="21" customWidth="1"/>
    <col min="5" max="5" width="1.5703125" style="21" customWidth="1"/>
    <col min="6" max="6" width="16.5703125" style="21" customWidth="1"/>
    <col min="7" max="7" width="1.5703125" style="21" customWidth="1"/>
    <col min="8" max="8" width="12.5703125" style="21" customWidth="1"/>
    <col min="9" max="9" width="4.5703125" style="21" customWidth="1"/>
    <col min="10" max="16" width="1.5703125" style="21" customWidth="1"/>
    <col min="17" max="16384" width="9.42578125" style="21"/>
  </cols>
  <sheetData>
    <row r="1" spans="1:19" s="356" customFormat="1" ht="15.75" x14ac:dyDescent="0.25">
      <c r="A1" s="2767" t="str">
        <f>Index!A1</f>
        <v xml:space="preserve">                                                               Office of the State Controller                                                                </v>
      </c>
      <c r="B1" s="2767"/>
      <c r="C1" s="2767"/>
      <c r="D1" s="2767"/>
      <c r="E1" s="2767"/>
      <c r="F1" s="2767"/>
      <c r="G1" s="2767"/>
      <c r="H1" s="2767"/>
      <c r="I1" s="1317"/>
      <c r="J1" s="1317"/>
      <c r="K1" s="1317"/>
      <c r="L1" s="1317"/>
      <c r="M1" s="1317"/>
      <c r="N1" s="1317"/>
      <c r="O1" s="1317"/>
      <c r="P1" s="1317"/>
      <c r="Q1" s="1317"/>
      <c r="R1" s="1317"/>
      <c r="S1" s="1598"/>
    </row>
    <row r="2" spans="1:19" s="20" customFormat="1" ht="15" customHeight="1" x14ac:dyDescent="0.25">
      <c r="A2" s="3031" t="str">
        <f>+Index!$A$2</f>
        <v>2022 ACFR Worksheets</v>
      </c>
      <c r="B2" s="3031"/>
      <c r="C2" s="3031"/>
      <c r="D2" s="3031"/>
      <c r="E2" s="3031"/>
      <c r="F2" s="3031"/>
      <c r="G2" s="3031"/>
      <c r="H2" s="3031"/>
      <c r="I2" s="2768" t="str">
        <f>IF(Index!$B$62="na","NA","")</f>
        <v/>
      </c>
    </row>
    <row r="3" spans="1:19" s="20" customFormat="1" ht="15" customHeight="1" x14ac:dyDescent="0.25">
      <c r="A3" s="2954" t="s">
        <v>3987</v>
      </c>
      <c r="B3" s="2954"/>
      <c r="C3" s="2954"/>
      <c r="D3" s="2954"/>
      <c r="E3" s="2954"/>
      <c r="F3" s="2954"/>
      <c r="G3" s="2954"/>
      <c r="H3" s="2954"/>
      <c r="I3" s="2768"/>
    </row>
    <row r="4" spans="1:19" s="22" customFormat="1" ht="15" customHeight="1" x14ac:dyDescent="0.25">
      <c r="A4" s="3062" t="s">
        <v>4168</v>
      </c>
      <c r="B4" s="3062"/>
      <c r="C4" s="3062"/>
      <c r="D4" s="3062"/>
      <c r="E4" s="3062"/>
      <c r="F4" s="3062"/>
      <c r="G4" s="3062"/>
      <c r="H4" s="3062"/>
      <c r="I4" s="2768"/>
      <c r="J4" s="903"/>
      <c r="K4" s="903"/>
    </row>
    <row r="5" spans="1:19" s="22" customFormat="1" ht="6" customHeight="1" x14ac:dyDescent="0.2">
      <c r="C5" s="253"/>
      <c r="D5" s="253"/>
      <c r="F5" s="3065"/>
      <c r="G5" s="3065"/>
      <c r="H5" s="3065"/>
    </row>
    <row r="6" spans="1:19" s="22" customFormat="1" ht="15" customHeight="1" x14ac:dyDescent="0.2">
      <c r="A6" s="1371" t="s">
        <v>327</v>
      </c>
      <c r="B6" s="1373" t="str">
        <f>Index!$E$10</f>
        <v>01</v>
      </c>
      <c r="C6" s="1375"/>
      <c r="D6" s="1375"/>
      <c r="E6" s="1374" t="s">
        <v>1154</v>
      </c>
      <c r="F6" s="2807" t="str">
        <f>+Index!$E$11</f>
        <v>North Carolina General Assembly</v>
      </c>
      <c r="G6" s="2807"/>
      <c r="H6" s="2807"/>
    </row>
    <row r="7" spans="1:19" s="22" customFormat="1" ht="15" customHeight="1" x14ac:dyDescent="0.2">
      <c r="A7" s="1372"/>
      <c r="B7" s="1372"/>
      <c r="C7" s="1375"/>
      <c r="D7" s="1375"/>
      <c r="E7" s="1374" t="s">
        <v>972</v>
      </c>
      <c r="F7" s="2832" t="str">
        <f>CONCATENATE(Index!$E$12,"",Index!$E$14)</f>
        <v/>
      </c>
      <c r="G7" s="2832"/>
      <c r="H7" s="2832"/>
    </row>
    <row r="8" spans="1:19" s="22" customFormat="1" ht="15" customHeight="1" x14ac:dyDescent="0.2">
      <c r="A8" s="1372" t="s">
        <v>477</v>
      </c>
      <c r="B8" s="1379" t="s">
        <v>973</v>
      </c>
      <c r="C8" s="1375"/>
      <c r="D8" s="1375"/>
      <c r="E8" s="1374" t="s">
        <v>348</v>
      </c>
      <c r="F8" s="2832">
        <f>+Index!$E$13</f>
        <v>0</v>
      </c>
      <c r="G8" s="2832"/>
      <c r="H8" s="2832"/>
    </row>
    <row r="9" spans="1:19" s="22" customFormat="1" ht="6" customHeight="1" thickBot="1" x14ac:dyDescent="0.25">
      <c r="A9" s="120"/>
      <c r="B9" s="120"/>
      <c r="C9" s="120"/>
      <c r="D9" s="120"/>
      <c r="E9" s="120"/>
      <c r="F9" s="120"/>
      <c r="G9" s="120"/>
      <c r="H9" s="120"/>
    </row>
    <row r="10" spans="1:19" s="22" customFormat="1" ht="5.25" customHeight="1" x14ac:dyDescent="0.2"/>
    <row r="11" spans="1:19" s="22" customFormat="1" ht="15" customHeight="1" x14ac:dyDescent="0.2">
      <c r="A11" s="1419" t="s">
        <v>4043</v>
      </c>
      <c r="B11" s="1419"/>
      <c r="C11" s="1419"/>
      <c r="D11" s="1419"/>
      <c r="E11" s="1419"/>
      <c r="F11" s="1419"/>
    </row>
    <row r="12" spans="1:19" s="22" customFormat="1" ht="15" customHeight="1" x14ac:dyDescent="0.2">
      <c r="A12" s="1419"/>
      <c r="B12" s="1419"/>
      <c r="C12" s="1419"/>
      <c r="D12" s="1419"/>
      <c r="E12" s="1419"/>
      <c r="F12" s="1419"/>
    </row>
    <row r="13" spans="1:19" s="22" customFormat="1" ht="15" customHeight="1" x14ac:dyDescent="0.2">
      <c r="A13" s="1419" t="s">
        <v>973</v>
      </c>
      <c r="B13" s="1372"/>
      <c r="C13" s="1372"/>
      <c r="D13" s="1372"/>
      <c r="E13" s="1372"/>
      <c r="F13" s="1372"/>
    </row>
    <row r="14" spans="1:19" customFormat="1" ht="15" customHeight="1" x14ac:dyDescent="0.2">
      <c r="B14" s="4" t="s">
        <v>597</v>
      </c>
      <c r="F14" s="4" t="s">
        <v>5363</v>
      </c>
    </row>
    <row r="15" spans="1:19" customFormat="1" ht="15" customHeight="1" x14ac:dyDescent="0.2">
      <c r="B15" s="798">
        <v>44378</v>
      </c>
      <c r="D15" s="26" t="s">
        <v>1054</v>
      </c>
      <c r="F15" s="26" t="s">
        <v>3988</v>
      </c>
    </row>
    <row r="16" spans="1:19" customFormat="1" ht="15" customHeight="1" x14ac:dyDescent="0.2">
      <c r="A16" s="2" t="s">
        <v>4333</v>
      </c>
      <c r="B16" s="1816"/>
      <c r="D16" s="4"/>
      <c r="F16" s="4"/>
    </row>
    <row r="17" spans="1:6" customFormat="1" ht="15" customHeight="1" x14ac:dyDescent="0.2">
      <c r="A17" s="675" t="s">
        <v>4343</v>
      </c>
      <c r="B17" s="642">
        <v>0</v>
      </c>
      <c r="C17" s="272"/>
      <c r="D17" s="642">
        <v>0</v>
      </c>
      <c r="F17" s="1817">
        <f>B17+D17</f>
        <v>0</v>
      </c>
    </row>
    <row r="18" spans="1:6" customFormat="1" ht="15" customHeight="1" x14ac:dyDescent="0.2">
      <c r="A18" s="675" t="s">
        <v>4343</v>
      </c>
      <c r="B18" s="642">
        <v>0</v>
      </c>
      <c r="C18" s="272"/>
      <c r="D18" s="642">
        <v>0</v>
      </c>
      <c r="F18" s="1817">
        <f>B18+D18</f>
        <v>0</v>
      </c>
    </row>
    <row r="19" spans="1:6" customFormat="1" ht="15" customHeight="1" x14ac:dyDescent="0.2">
      <c r="A19" s="2" t="s">
        <v>4334</v>
      </c>
      <c r="B19" s="641"/>
      <c r="C19" s="272"/>
      <c r="D19" s="641"/>
      <c r="F19" s="4"/>
    </row>
    <row r="20" spans="1:6" customFormat="1" ht="15" customHeight="1" x14ac:dyDescent="0.2">
      <c r="A20" s="675" t="s">
        <v>4343</v>
      </c>
      <c r="B20" s="642">
        <v>0</v>
      </c>
      <c r="C20" s="272"/>
      <c r="D20" s="642">
        <v>0</v>
      </c>
      <c r="F20" s="1817">
        <f>B20+D20</f>
        <v>0</v>
      </c>
    </row>
    <row r="21" spans="1:6" customFormat="1" ht="15" customHeight="1" x14ac:dyDescent="0.2">
      <c r="A21" s="675" t="s">
        <v>4343</v>
      </c>
      <c r="B21" s="642">
        <v>0</v>
      </c>
      <c r="C21" s="272"/>
      <c r="D21" s="642">
        <v>0</v>
      </c>
      <c r="F21" s="1817">
        <f>B21+D21</f>
        <v>0</v>
      </c>
    </row>
    <row r="22" spans="1:6" customFormat="1" ht="15" customHeight="1" x14ac:dyDescent="0.2">
      <c r="A22" s="2" t="s">
        <v>4335</v>
      </c>
      <c r="B22" s="642">
        <v>0</v>
      </c>
      <c r="C22" s="272"/>
      <c r="D22" s="642">
        <v>0</v>
      </c>
      <c r="F22" s="1817">
        <f>B22+D22</f>
        <v>0</v>
      </c>
    </row>
    <row r="23" spans="1:6" customFormat="1" ht="15" customHeight="1" x14ac:dyDescent="0.2">
      <c r="A23" s="2" t="s">
        <v>4336</v>
      </c>
      <c r="B23" s="642">
        <v>0</v>
      </c>
      <c r="C23" s="272"/>
      <c r="D23" s="642">
        <v>0</v>
      </c>
      <c r="F23" s="1817">
        <f>B23+D23</f>
        <v>0</v>
      </c>
    </row>
    <row r="24" spans="1:6" customFormat="1" ht="15" customHeight="1" x14ac:dyDescent="0.2">
      <c r="A24" s="2" t="s">
        <v>4337</v>
      </c>
      <c r="B24" s="641"/>
      <c r="C24" s="272"/>
      <c r="D24" s="641"/>
      <c r="F24" s="4"/>
    </row>
    <row r="25" spans="1:6" customFormat="1" ht="15" customHeight="1" x14ac:dyDescent="0.2">
      <c r="A25" s="1201" t="s">
        <v>4343</v>
      </c>
      <c r="B25" s="642">
        <v>0</v>
      </c>
      <c r="C25" s="272"/>
      <c r="D25" s="642">
        <v>0</v>
      </c>
      <c r="F25" s="1817">
        <f>B25+D25</f>
        <v>0</v>
      </c>
    </row>
    <row r="26" spans="1:6" customFormat="1" ht="15" customHeight="1" x14ac:dyDescent="0.2">
      <c r="A26" s="2" t="s">
        <v>4338</v>
      </c>
      <c r="B26" s="641"/>
      <c r="C26" s="272"/>
      <c r="D26" s="641"/>
      <c r="F26" s="4"/>
    </row>
    <row r="27" spans="1:6" customFormat="1" ht="15" customHeight="1" x14ac:dyDescent="0.2">
      <c r="A27" s="675" t="s">
        <v>4343</v>
      </c>
      <c r="B27" s="642">
        <v>0</v>
      </c>
      <c r="C27" s="272"/>
      <c r="D27" s="642">
        <v>0</v>
      </c>
      <c r="F27" s="1817">
        <f>B27+D27</f>
        <v>0</v>
      </c>
    </row>
    <row r="28" spans="1:6" customFormat="1" ht="15" customHeight="1" x14ac:dyDescent="0.2">
      <c r="A28" s="675" t="s">
        <v>4343</v>
      </c>
      <c r="B28" s="642">
        <v>0</v>
      </c>
      <c r="C28" s="272"/>
      <c r="D28" s="642">
        <v>0</v>
      </c>
      <c r="F28" s="1817">
        <f>B28+D28</f>
        <v>0</v>
      </c>
    </row>
    <row r="29" spans="1:6" customFormat="1" ht="15" customHeight="1" x14ac:dyDescent="0.2">
      <c r="A29" s="2" t="s">
        <v>376</v>
      </c>
      <c r="B29" s="641"/>
      <c r="C29" s="272"/>
      <c r="D29" s="641"/>
      <c r="F29" s="4"/>
    </row>
    <row r="30" spans="1:6" customFormat="1" ht="15" customHeight="1" x14ac:dyDescent="0.2">
      <c r="A30" s="675" t="s">
        <v>4343</v>
      </c>
      <c r="B30" s="642">
        <v>0</v>
      </c>
      <c r="C30" s="272"/>
      <c r="D30" s="642">
        <v>0</v>
      </c>
      <c r="F30" s="1817">
        <f>B30+D30</f>
        <v>0</v>
      </c>
    </row>
    <row r="31" spans="1:6" customFormat="1" ht="15" customHeight="1" x14ac:dyDescent="0.2">
      <c r="A31" s="675" t="s">
        <v>4343</v>
      </c>
      <c r="B31" s="642">
        <v>0</v>
      </c>
      <c r="C31" s="272"/>
      <c r="D31" s="642">
        <v>0</v>
      </c>
      <c r="F31" s="1817">
        <f>B31+D31</f>
        <v>0</v>
      </c>
    </row>
    <row r="32" spans="1:6" customFormat="1" ht="15" customHeight="1" x14ac:dyDescent="0.2">
      <c r="A32" s="2" t="s">
        <v>4339</v>
      </c>
      <c r="B32" s="641"/>
      <c r="C32" s="272"/>
      <c r="D32" s="641"/>
      <c r="F32" s="4"/>
    </row>
    <row r="33" spans="1:10" customFormat="1" ht="15" customHeight="1" x14ac:dyDescent="0.2">
      <c r="A33" s="1201" t="s">
        <v>4343</v>
      </c>
      <c r="B33" s="642">
        <v>0</v>
      </c>
      <c r="C33" s="272"/>
      <c r="D33" s="642">
        <v>0</v>
      </c>
      <c r="F33" s="1817">
        <f>B33+D33</f>
        <v>0</v>
      </c>
    </row>
    <row r="34" spans="1:10" customFormat="1" ht="15" customHeight="1" x14ac:dyDescent="0.2">
      <c r="A34" s="2" t="s">
        <v>4340</v>
      </c>
      <c r="B34" s="641"/>
      <c r="C34" s="272"/>
      <c r="D34" s="641"/>
      <c r="F34" s="4"/>
    </row>
    <row r="35" spans="1:10" customFormat="1" ht="15" customHeight="1" x14ac:dyDescent="0.2">
      <c r="A35" s="272" t="s">
        <v>1937</v>
      </c>
      <c r="B35" s="642">
        <v>0</v>
      </c>
      <c r="C35" s="272"/>
      <c r="D35" s="642">
        <v>0</v>
      </c>
      <c r="F35" s="1817">
        <f>B35+D35</f>
        <v>0</v>
      </c>
    </row>
    <row r="36" spans="1:10" customFormat="1" ht="15" customHeight="1" x14ac:dyDescent="0.2">
      <c r="A36" s="272" t="s">
        <v>378</v>
      </c>
      <c r="B36" s="642">
        <v>0</v>
      </c>
      <c r="C36" s="272"/>
      <c r="D36" s="642">
        <v>0</v>
      </c>
      <c r="F36" s="1817">
        <f>B36+D36</f>
        <v>0</v>
      </c>
    </row>
    <row r="37" spans="1:10" customFormat="1" ht="15" customHeight="1" x14ac:dyDescent="0.2">
      <c r="A37" s="272" t="s">
        <v>923</v>
      </c>
      <c r="B37" s="642">
        <v>0</v>
      </c>
      <c r="C37" s="272"/>
      <c r="D37" s="642">
        <v>0</v>
      </c>
      <c r="F37" s="1817">
        <f>B37+D37</f>
        <v>0</v>
      </c>
    </row>
    <row r="38" spans="1:10" customFormat="1" ht="15" customHeight="1" x14ac:dyDescent="0.2">
      <c r="B38" s="1816"/>
      <c r="D38" s="4"/>
      <c r="F38" s="4"/>
    </row>
    <row r="39" spans="1:10" customFormat="1" ht="15" customHeight="1" thickBot="1" x14ac:dyDescent="0.25">
      <c r="A39" s="2" t="s">
        <v>4341</v>
      </c>
      <c r="B39" s="1816"/>
      <c r="D39" s="2072">
        <f>SUM(D17:D25)-SUM(D27:D33)</f>
        <v>0</v>
      </c>
      <c r="F39" s="4"/>
    </row>
    <row r="40" spans="1:10" customFormat="1" ht="15" customHeight="1" thickTop="1" x14ac:dyDescent="0.2">
      <c r="B40" s="1816"/>
      <c r="D40" s="4"/>
      <c r="F40" s="4"/>
    </row>
    <row r="41" spans="1:10" s="22" customFormat="1" ht="12.75" x14ac:dyDescent="0.2">
      <c r="A41" s="1602" t="s">
        <v>4</v>
      </c>
      <c r="B41" s="1382"/>
      <c r="C41" s="1382"/>
      <c r="D41" s="1382"/>
      <c r="E41" s="1382"/>
      <c r="F41" s="1382"/>
      <c r="G41" s="1388"/>
      <c r="H41" s="272"/>
      <c r="I41" s="1372"/>
      <c r="J41" s="1372"/>
    </row>
    <row r="42" spans="1:10" s="22" customFormat="1" ht="12.75" customHeight="1" x14ac:dyDescent="0.2">
      <c r="A42" s="1394" t="s">
        <v>3991</v>
      </c>
      <c r="B42" s="1382"/>
      <c r="C42" s="1382"/>
      <c r="D42" s="1382"/>
      <c r="E42" s="1382"/>
      <c r="F42" s="1382"/>
      <c r="G42" s="1388"/>
      <c r="H42" s="272"/>
      <c r="I42" s="1372"/>
      <c r="J42" s="1372"/>
    </row>
    <row r="43" spans="1:10" s="22" customFormat="1" ht="12.75" customHeight="1" x14ac:dyDescent="0.2">
      <c r="A43" s="1386" t="s">
        <v>3993</v>
      </c>
      <c r="B43" s="1387">
        <v>0</v>
      </c>
      <c r="C43" s="1382"/>
      <c r="D43" s="1387">
        <v>0</v>
      </c>
      <c r="E43" s="1382"/>
      <c r="F43" s="1817">
        <f>B43+D43</f>
        <v>0</v>
      </c>
      <c r="G43" s="1388"/>
      <c r="H43" s="272"/>
      <c r="I43" s="1372"/>
      <c r="J43" s="1372"/>
    </row>
    <row r="44" spans="1:10" s="22" customFormat="1" ht="12.75" customHeight="1" x14ac:dyDescent="0.2">
      <c r="A44" s="1386" t="s">
        <v>3994</v>
      </c>
      <c r="B44" s="1387">
        <v>0</v>
      </c>
      <c r="C44" s="1382"/>
      <c r="D44" s="1387"/>
      <c r="E44" s="1382"/>
      <c r="F44" s="1817">
        <f>B44+D44</f>
        <v>0</v>
      </c>
      <c r="G44" s="1388"/>
      <c r="H44" s="272"/>
      <c r="I44" s="1372"/>
      <c r="J44" s="1372"/>
    </row>
    <row r="45" spans="1:10" s="22" customFormat="1" ht="12.75" customHeight="1" x14ac:dyDescent="0.2">
      <c r="A45" s="1386" t="s">
        <v>3995</v>
      </c>
      <c r="B45" s="1387">
        <v>0</v>
      </c>
      <c r="C45" s="1382"/>
      <c r="D45" s="1387"/>
      <c r="E45" s="1382"/>
      <c r="F45" s="1817">
        <f>B45+D45</f>
        <v>0</v>
      </c>
      <c r="G45" s="1388"/>
      <c r="H45" s="272"/>
      <c r="I45" s="1372"/>
      <c r="J45" s="1372"/>
    </row>
    <row r="46" spans="1:10" s="22" customFormat="1" ht="12.75" customHeight="1" x14ac:dyDescent="0.2">
      <c r="A46" s="1386" t="s">
        <v>3996</v>
      </c>
      <c r="B46" s="1387">
        <v>0</v>
      </c>
      <c r="C46" s="1382"/>
      <c r="D46" s="1387"/>
      <c r="E46" s="1382"/>
      <c r="F46" s="1817">
        <f>B46+D46</f>
        <v>0</v>
      </c>
      <c r="G46" s="1388"/>
      <c r="H46" s="272"/>
      <c r="I46" s="1372"/>
      <c r="J46" s="1372"/>
    </row>
    <row r="47" spans="1:10" s="22" customFormat="1" ht="12.75" customHeight="1" x14ac:dyDescent="0.2">
      <c r="A47" s="1394" t="s">
        <v>3992</v>
      </c>
      <c r="B47" s="1382">
        <v>0</v>
      </c>
      <c r="C47" s="1382"/>
      <c r="D47" s="1382">
        <v>0</v>
      </c>
      <c r="E47" s="1382"/>
      <c r="F47" s="1388" t="s">
        <v>973</v>
      </c>
      <c r="G47" s="1388"/>
      <c r="H47" s="272"/>
      <c r="I47" s="1384"/>
      <c r="J47" s="1372"/>
    </row>
    <row r="48" spans="1:10" s="22" customFormat="1" ht="12.75" customHeight="1" x14ac:dyDescent="0.2">
      <c r="A48" s="1386" t="s">
        <v>3996</v>
      </c>
      <c r="B48" s="1387">
        <v>0</v>
      </c>
      <c r="C48" s="1382"/>
      <c r="D48" s="1387"/>
      <c r="E48" s="1382"/>
      <c r="F48" s="1817">
        <f>B48+D48</f>
        <v>0</v>
      </c>
      <c r="G48" s="1388"/>
      <c r="H48" s="272"/>
      <c r="I48" s="1372"/>
      <c r="J48" s="1372"/>
    </row>
    <row r="49" spans="1:10" s="22" customFormat="1" ht="14.1" customHeight="1" thickBot="1" x14ac:dyDescent="0.25">
      <c r="A49" s="1394" t="s">
        <v>3997</v>
      </c>
      <c r="B49" s="2071">
        <f>B43+B44+B45+B46+B48</f>
        <v>0</v>
      </c>
      <c r="C49" s="1382"/>
      <c r="D49" s="2071">
        <f>D43+D44+D45+D46+D48</f>
        <v>0</v>
      </c>
      <c r="E49" s="1382"/>
      <c r="F49" s="1819">
        <f>F43+F44+F45+F46+F48</f>
        <v>0</v>
      </c>
      <c r="G49" s="1388"/>
      <c r="H49" s="272"/>
      <c r="I49" s="1384"/>
      <c r="J49" s="1372"/>
    </row>
    <row r="50" spans="1:10" s="22" customFormat="1" ht="8.1" customHeight="1" thickTop="1" x14ac:dyDescent="0.2">
      <c r="A50" s="1394"/>
      <c r="B50" s="1382"/>
      <c r="C50" s="1382"/>
      <c r="D50" s="1382"/>
      <c r="E50" s="1382"/>
      <c r="F50" s="1388"/>
      <c r="G50" s="1388"/>
      <c r="H50" s="272"/>
      <c r="I50" s="1384"/>
      <c r="J50" s="1372"/>
    </row>
    <row r="51" spans="1:10" s="22" customFormat="1" ht="12.75" customHeight="1" x14ac:dyDescent="0.2">
      <c r="A51" s="1394" t="s">
        <v>1089</v>
      </c>
      <c r="B51" s="1382"/>
      <c r="C51" s="1382"/>
      <c r="D51" s="1382"/>
      <c r="E51" s="1382"/>
      <c r="F51" s="1388"/>
      <c r="G51" s="1388"/>
      <c r="H51" s="272"/>
      <c r="I51" s="1372"/>
      <c r="J51" s="1372"/>
    </row>
    <row r="52" spans="1:10" s="22" customFormat="1" ht="12.75" customHeight="1" x14ac:dyDescent="0.2">
      <c r="A52" s="1386" t="s">
        <v>3998</v>
      </c>
      <c r="B52" s="1387">
        <v>0</v>
      </c>
      <c r="C52" s="1382"/>
      <c r="D52" s="1387">
        <v>0</v>
      </c>
      <c r="E52" s="1382"/>
      <c r="F52" s="1817">
        <f>B52+D52</f>
        <v>0</v>
      </c>
      <c r="G52" s="1388"/>
      <c r="H52" s="272"/>
      <c r="I52" s="1372"/>
      <c r="J52" s="1372"/>
    </row>
    <row r="53" spans="1:10" s="22" customFormat="1" ht="12.75" customHeight="1" x14ac:dyDescent="0.2">
      <c r="A53" s="1386" t="s">
        <v>3999</v>
      </c>
      <c r="B53" s="1387">
        <v>0</v>
      </c>
      <c r="C53" s="1382"/>
      <c r="D53" s="1387"/>
      <c r="E53" s="1382"/>
      <c r="F53" s="1817">
        <f t="shared" ref="F53:F64" si="0">B53+D53</f>
        <v>0</v>
      </c>
      <c r="G53" s="1388"/>
      <c r="H53" s="272"/>
      <c r="I53" s="1372"/>
      <c r="J53" s="1372"/>
    </row>
    <row r="54" spans="1:10" s="22" customFormat="1" ht="12.75" customHeight="1" x14ac:dyDescent="0.2">
      <c r="A54" s="1386" t="s">
        <v>4000</v>
      </c>
      <c r="B54" s="1387">
        <v>0</v>
      </c>
      <c r="C54" s="1382"/>
      <c r="D54" s="1387"/>
      <c r="E54" s="1382"/>
      <c r="F54" s="1817">
        <f t="shared" si="0"/>
        <v>0</v>
      </c>
      <c r="G54" s="1388"/>
      <c r="H54" s="272"/>
      <c r="I54" s="1372"/>
      <c r="J54" s="1372"/>
    </row>
    <row r="55" spans="1:10" s="22" customFormat="1" ht="12.75" customHeight="1" x14ac:dyDescent="0.2">
      <c r="A55" s="1386" t="s">
        <v>4001</v>
      </c>
      <c r="B55" s="1387">
        <v>0</v>
      </c>
      <c r="C55" s="1382"/>
      <c r="D55" s="1387"/>
      <c r="E55" s="1382"/>
      <c r="F55" s="1817">
        <f t="shared" si="0"/>
        <v>0</v>
      </c>
      <c r="G55" s="1388"/>
      <c r="H55" s="272"/>
      <c r="I55" s="1372"/>
      <c r="J55" s="1372"/>
    </row>
    <row r="56" spans="1:10" s="22" customFormat="1" ht="12.75" customHeight="1" x14ac:dyDescent="0.2">
      <c r="A56" s="1386" t="s">
        <v>4002</v>
      </c>
      <c r="B56" s="1387">
        <v>0</v>
      </c>
      <c r="C56" s="1382"/>
      <c r="D56" s="1387"/>
      <c r="E56" s="1382"/>
      <c r="F56" s="1817">
        <f t="shared" si="0"/>
        <v>0</v>
      </c>
      <c r="G56" s="1388"/>
      <c r="H56" s="272"/>
      <c r="I56" s="1372"/>
      <c r="J56" s="1372"/>
    </row>
    <row r="57" spans="1:10" s="22" customFormat="1" ht="12.75" customHeight="1" x14ac:dyDescent="0.2">
      <c r="A57" s="1386" t="s">
        <v>4003</v>
      </c>
      <c r="B57" s="1387">
        <v>0</v>
      </c>
      <c r="C57" s="1382"/>
      <c r="D57" s="1387"/>
      <c r="E57" s="1382"/>
      <c r="F57" s="1817">
        <f t="shared" si="0"/>
        <v>0</v>
      </c>
      <c r="G57" s="1388"/>
      <c r="H57" s="272"/>
      <c r="I57" s="1372"/>
      <c r="J57" s="1372"/>
    </row>
    <row r="58" spans="1:10" s="22" customFormat="1" ht="12.75" customHeight="1" x14ac:dyDescent="0.2">
      <c r="A58" s="1386" t="s">
        <v>4004</v>
      </c>
      <c r="B58" s="1387">
        <v>0</v>
      </c>
      <c r="C58" s="1382"/>
      <c r="D58" s="1387"/>
      <c r="E58" s="1382"/>
      <c r="F58" s="1817">
        <f t="shared" si="0"/>
        <v>0</v>
      </c>
      <c r="G58" s="1388"/>
      <c r="H58" s="272"/>
      <c r="I58" s="1372"/>
      <c r="J58" s="1372"/>
    </row>
    <row r="59" spans="1:10" s="22" customFormat="1" ht="12.75" customHeight="1" x14ac:dyDescent="0.2">
      <c r="A59" s="1386" t="s">
        <v>4005</v>
      </c>
      <c r="B59" s="1387">
        <v>0</v>
      </c>
      <c r="C59" s="1382"/>
      <c r="D59" s="1387"/>
      <c r="E59" s="1382"/>
      <c r="F59" s="1817">
        <f t="shared" si="0"/>
        <v>0</v>
      </c>
      <c r="G59" s="1388"/>
      <c r="H59" s="272"/>
      <c r="I59" s="1372"/>
      <c r="J59" s="1372"/>
    </row>
    <row r="60" spans="1:10" s="22" customFormat="1" ht="14.1" customHeight="1" thickBot="1" x14ac:dyDescent="0.25">
      <c r="A60" s="1394" t="s">
        <v>4018</v>
      </c>
      <c r="B60" s="2071">
        <f>B52+B53+B54+B55+B56+B57+B58+B59</f>
        <v>0</v>
      </c>
      <c r="C60" s="1382"/>
      <c r="D60" s="2071">
        <f>D52+D53+D54+D55+D56+D57+D58+D59</f>
        <v>0</v>
      </c>
      <c r="E60" s="1382"/>
      <c r="F60" s="1819">
        <f>B60+D60</f>
        <v>0</v>
      </c>
      <c r="G60" s="1388"/>
      <c r="H60" s="272"/>
      <c r="I60" s="1372"/>
      <c r="J60" s="1372"/>
    </row>
    <row r="61" spans="1:10" s="22" customFormat="1" ht="8.25" customHeight="1" thickTop="1" x14ac:dyDescent="0.2">
      <c r="A61" s="1599"/>
      <c r="B61" s="1382"/>
      <c r="C61" s="1382"/>
      <c r="D61" s="1382"/>
      <c r="E61" s="1382"/>
      <c r="F61" s="1388"/>
      <c r="G61" s="1388"/>
      <c r="H61" s="272"/>
      <c r="I61" s="1372"/>
      <c r="J61" s="1372"/>
    </row>
    <row r="62" spans="1:10" s="22" customFormat="1" ht="12.75" customHeight="1" x14ac:dyDescent="0.2">
      <c r="A62" s="1386" t="s">
        <v>737</v>
      </c>
      <c r="B62" s="1387">
        <v>0</v>
      </c>
      <c r="C62" s="1382"/>
      <c r="D62" s="1387">
        <v>0</v>
      </c>
      <c r="E62" s="1382"/>
      <c r="F62" s="1817">
        <f t="shared" si="0"/>
        <v>0</v>
      </c>
      <c r="G62" s="1388"/>
      <c r="H62" s="272"/>
      <c r="I62" s="1372"/>
      <c r="J62" s="1372"/>
    </row>
    <row r="63" spans="1:10" s="22" customFormat="1" ht="12.75" customHeight="1" x14ac:dyDescent="0.2">
      <c r="A63" s="1386" t="s">
        <v>738</v>
      </c>
      <c r="B63" s="1387">
        <v>0</v>
      </c>
      <c r="C63" s="1382"/>
      <c r="D63" s="1387">
        <v>0</v>
      </c>
      <c r="E63" s="1382"/>
      <c r="F63" s="1817">
        <f t="shared" si="0"/>
        <v>0</v>
      </c>
      <c r="G63" s="1388"/>
      <c r="H63" s="272"/>
      <c r="I63" s="1372"/>
      <c r="J63" s="1372"/>
    </row>
    <row r="64" spans="1:10" s="22" customFormat="1" ht="12.75" customHeight="1" x14ac:dyDescent="0.2">
      <c r="A64" s="1386" t="s">
        <v>4006</v>
      </c>
      <c r="B64" s="1387">
        <v>0</v>
      </c>
      <c r="C64" s="1382"/>
      <c r="D64" s="1382">
        <v>0</v>
      </c>
      <c r="E64" s="1382"/>
      <c r="F64" s="1817">
        <f t="shared" si="0"/>
        <v>0</v>
      </c>
      <c r="G64" s="1388"/>
      <c r="H64" s="272"/>
      <c r="I64" s="1372"/>
      <c r="J64" s="1372"/>
    </row>
    <row r="65" spans="1:10" s="22" customFormat="1" ht="7.5" customHeight="1" x14ac:dyDescent="0.2">
      <c r="A65" s="1386"/>
      <c r="B65" s="1382"/>
      <c r="C65" s="1382"/>
      <c r="D65" s="1652"/>
      <c r="E65" s="1382"/>
      <c r="F65" s="1382"/>
      <c r="G65" s="1388"/>
      <c r="H65" s="272"/>
      <c r="I65" s="1372"/>
      <c r="J65" s="1372"/>
    </row>
    <row r="66" spans="1:10" s="22" customFormat="1" ht="14.1" customHeight="1" thickBot="1" x14ac:dyDescent="0.25">
      <c r="A66" s="1394" t="s">
        <v>4017</v>
      </c>
      <c r="B66" s="1382" t="s">
        <v>973</v>
      </c>
      <c r="C66" s="1382"/>
      <c r="D66" s="1818">
        <f>D49-D60+D62-D63+D64</f>
        <v>0</v>
      </c>
      <c r="E66" s="1382"/>
      <c r="F66" s="1382" t="s">
        <v>973</v>
      </c>
      <c r="G66" s="1388"/>
      <c r="H66" s="272"/>
      <c r="I66" s="1372"/>
      <c r="J66" s="1372"/>
    </row>
    <row r="67" spans="1:10" s="22" customFormat="1" ht="8.1" customHeight="1" thickTop="1" x14ac:dyDescent="0.2">
      <c r="A67" s="1372"/>
      <c r="B67" s="1372"/>
      <c r="C67" s="1372"/>
      <c r="D67" s="1372"/>
      <c r="E67" s="1372"/>
      <c r="F67" s="1372"/>
      <c r="G67" s="1372"/>
      <c r="H67" s="272"/>
      <c r="I67" s="1372"/>
      <c r="J67" s="1372"/>
    </row>
    <row r="68" spans="1:10" s="22" customFormat="1" ht="12.75" x14ac:dyDescent="0.2">
      <c r="A68" s="3063" t="s">
        <v>58</v>
      </c>
      <c r="B68" s="3064"/>
      <c r="C68" s="3064"/>
      <c r="D68" s="3064"/>
      <c r="E68" s="3064"/>
      <c r="F68" s="3064"/>
      <c r="G68" s="3064"/>
      <c r="H68" s="3064"/>
      <c r="I68" s="3064"/>
      <c r="J68" s="3064"/>
    </row>
    <row r="69" spans="1:10" s="22" customFormat="1" ht="12.75" x14ac:dyDescent="0.2">
      <c r="A69" s="1389" t="s">
        <v>59</v>
      </c>
      <c r="B69" s="1389"/>
      <c r="C69" s="1389"/>
      <c r="D69" s="1389"/>
      <c r="E69" s="1389"/>
      <c r="F69" s="1389"/>
      <c r="G69" s="1389"/>
      <c r="H69" s="1385"/>
      <c r="I69" s="1389"/>
      <c r="J69" s="1389"/>
    </row>
    <row r="70" spans="1:10" s="22" customFormat="1" ht="12.75" x14ac:dyDescent="0.2">
      <c r="H70"/>
    </row>
    <row r="71" spans="1:10" ht="12.75" x14ac:dyDescent="0.2">
      <c r="H71"/>
      <c r="I71" s="22"/>
    </row>
    <row r="72" spans="1:10" ht="12.75" x14ac:dyDescent="0.2">
      <c r="H72"/>
      <c r="I72" s="22"/>
    </row>
    <row r="73" spans="1:10" ht="12.75" x14ac:dyDescent="0.2">
      <c r="H73"/>
      <c r="I73" s="22"/>
    </row>
    <row r="74" spans="1:10" ht="12.75" x14ac:dyDescent="0.2">
      <c r="H74"/>
    </row>
    <row r="75" spans="1:10" ht="12.75" x14ac:dyDescent="0.2">
      <c r="H75"/>
    </row>
    <row r="76" spans="1:10" ht="12.75" x14ac:dyDescent="0.2">
      <c r="H76"/>
    </row>
    <row r="77" spans="1:10" ht="12.75" x14ac:dyDescent="0.2">
      <c r="H77"/>
    </row>
    <row r="78" spans="1:10" ht="12.75" x14ac:dyDescent="0.2">
      <c r="H78"/>
    </row>
    <row r="79" spans="1:10" ht="12.75" x14ac:dyDescent="0.2">
      <c r="H79"/>
    </row>
    <row r="80" spans="1:10" ht="12.75" x14ac:dyDescent="0.2">
      <c r="H80"/>
    </row>
    <row r="81" spans="8:8" ht="12.75" x14ac:dyDescent="0.2">
      <c r="H81"/>
    </row>
    <row r="82" spans="8:8" ht="12.75" x14ac:dyDescent="0.2">
      <c r="H82"/>
    </row>
    <row r="83" spans="8:8" ht="12.75" x14ac:dyDescent="0.2">
      <c r="H83"/>
    </row>
    <row r="84" spans="8:8" ht="12.75" x14ac:dyDescent="0.2">
      <c r="H84"/>
    </row>
    <row r="85" spans="8:8" ht="12.75" x14ac:dyDescent="0.2">
      <c r="H85"/>
    </row>
    <row r="86" spans="8:8" ht="12.75" x14ac:dyDescent="0.2">
      <c r="H86"/>
    </row>
    <row r="87" spans="8:8" ht="12.75" x14ac:dyDescent="0.2">
      <c r="H87"/>
    </row>
  </sheetData>
  <sheetProtection algorithmName="SHA-512" hashValue="ZXIYdmVZ1oPJsLp0Wcl4fZxZzBiOxLgnIHB5PWl2ea7Oov3Aq1sdVu81DAay0PsnOVcVTtGXVGWzI5J+RgowPw==" saltValue="+g+I6Cb05u2xyKm6osEfPQ==" spinCount="100000" sheet="1" objects="1" scenarios="1" autoFilter="0"/>
  <mergeCells count="10">
    <mergeCell ref="A1:H1"/>
    <mergeCell ref="A4:H4"/>
    <mergeCell ref="F7:H7"/>
    <mergeCell ref="F8:H8"/>
    <mergeCell ref="A68:J68"/>
    <mergeCell ref="A2:H2"/>
    <mergeCell ref="A3:H3"/>
    <mergeCell ref="F5:H5"/>
    <mergeCell ref="F6:H6"/>
    <mergeCell ref="I2:I4"/>
  </mergeCells>
  <conditionalFormatting sqref="S1">
    <cfRule type="cellIs" dxfId="72" priority="3" stopIfTrue="1" operator="equal">
      <formula>"na"</formula>
    </cfRule>
  </conditionalFormatting>
  <conditionalFormatting sqref="I2:I4">
    <cfRule type="cellIs" dxfId="71" priority="1" stopIfTrue="1" operator="equal">
      <formula>"na"</formula>
    </cfRule>
  </conditionalFormatting>
  <dataValidations count="3">
    <dataValidation type="list" allowBlank="1" showInputMessage="1" showErrorMessage="1" sqref="A27:A28" xr:uid="{00000000-0002-0000-2500-000002000000}">
      <formula1>CurrentLiabilities</formula1>
    </dataValidation>
    <dataValidation type="list" allowBlank="1" showInputMessage="1" showErrorMessage="1" sqref="A31 A30" xr:uid="{00000000-0002-0000-2500-000003000000}">
      <formula1>NoncurrentLiabilities</formula1>
    </dataValidation>
    <dataValidation type="list" allowBlank="1" showInputMessage="1" showErrorMessage="1" sqref="A25" xr:uid="{00000000-0002-0000-2500-000004000000}">
      <formula1>DeferredOutflows</formula1>
    </dataValidation>
  </dataValidations>
  <hyperlinks>
    <hyperlink ref="A1:H1" location="Index!A1" display="Index!A1" xr:uid="{00000000-0004-0000-2500-000000000000}"/>
  </hyperlinks>
  <pageMargins left="0.6" right="0.6" top="0.5" bottom="0.5" header="0.5" footer="0.38"/>
  <pageSetup scale="79" orientation="portrait" r:id="rId1"/>
  <headerFooter alignWithMargins="0">
    <oddFooter>&amp;R431BTA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Notes!$R$4:$R$21</xm:f>
          </x14:formula1>
          <xm:sqref>A17:A18</xm:sqref>
        </x14:dataValidation>
        <x14:dataValidation type="list" allowBlank="1" showInputMessage="1" showErrorMessage="1" xr:uid="{00000000-0002-0000-2500-000001000000}">
          <x14:formula1>
            <xm:f>Notes!$R$24:$R$32</xm:f>
          </x14:formula1>
          <xm:sqref>A20:A21</xm:sqref>
        </x14:dataValidation>
        <x14:dataValidation type="list" allowBlank="1" showInputMessage="1" showErrorMessage="1" xr:uid="{E5787500-58E2-4D6F-AEE0-FE7E47F3FB35}">
          <x14:formula1>
            <xm:f>Notes!$R$77:$R$82</xm:f>
          </x14:formula1>
          <xm:sqref>A33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dimension ref="A1:AP55"/>
  <sheetViews>
    <sheetView showGridLines="0" topLeftCell="B1" zoomScaleNormal="100" workbookViewId="0">
      <selection activeCell="AG27" sqref="AG27"/>
    </sheetView>
  </sheetViews>
  <sheetFormatPr defaultColWidth="9.42578125" defaultRowHeight="15.75" x14ac:dyDescent="0.25"/>
  <cols>
    <col min="1" max="1" width="0" style="46" hidden="1" customWidth="1"/>
    <col min="2" max="2" width="7.5703125" style="46" customWidth="1"/>
    <col min="3" max="3" width="1.5703125" style="46" customWidth="1"/>
    <col min="4" max="4" width="11.42578125" style="46" customWidth="1"/>
    <col min="5" max="5" width="1.5703125" style="46" customWidth="1"/>
    <col min="6" max="6" width="8.5703125" style="46" customWidth="1"/>
    <col min="7" max="7" width="1.5703125" style="46" customWidth="1"/>
    <col min="8" max="8" width="20.5703125" style="46" customWidth="1"/>
    <col min="9" max="9" width="1.5703125" style="46" customWidth="1"/>
    <col min="10" max="10" width="5.42578125" style="46" customWidth="1"/>
    <col min="11" max="11" width="1.5703125" style="46" customWidth="1"/>
    <col min="12" max="12" width="7.5703125" style="46" customWidth="1"/>
    <col min="13" max="13" width="1.5703125" style="46" customWidth="1"/>
    <col min="14" max="14" width="13.42578125" style="46" customWidth="1"/>
    <col min="15" max="15" width="1.5703125" style="46" customWidth="1"/>
    <col min="16" max="16" width="9.5703125" style="46" customWidth="1"/>
    <col min="17" max="17" width="1.5703125" style="46" customWidth="1"/>
    <col min="18" max="18" width="21" style="46" customWidth="1"/>
    <col min="19" max="19" width="0.5703125" style="46" customWidth="1"/>
    <col min="20" max="20" width="5.42578125" style="46" customWidth="1"/>
    <col min="21" max="21" width="4.5703125" style="46" bestFit="1" customWidth="1"/>
    <col min="22" max="35" width="5.42578125" style="46" customWidth="1"/>
    <col min="36" max="39" width="5.42578125" customWidth="1"/>
    <col min="40" max="41" width="5.42578125" style="46" customWidth="1"/>
    <col min="42" max="42" width="5.42578125" customWidth="1"/>
    <col min="43" max="16384" width="9.42578125" style="46"/>
  </cols>
  <sheetData>
    <row r="1" spans="2:40" s="154" customFormat="1" ht="25.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767"/>
      <c r="T1" s="2767"/>
      <c r="U1" s="1423" t="str">
        <f>IF(Index!$B$63="na","NA","")</f>
        <v/>
      </c>
      <c r="V1" s="182"/>
      <c r="W1" s="182"/>
    </row>
    <row r="2" spans="2:40" s="154" customFormat="1" ht="15" customHeight="1" x14ac:dyDescent="0.25">
      <c r="C2" s="208"/>
      <c r="D2" s="208"/>
      <c r="E2" s="208"/>
      <c r="F2" s="208"/>
      <c r="G2" s="208"/>
      <c r="H2" s="208"/>
      <c r="I2" s="208"/>
      <c r="J2" s="208"/>
      <c r="K2" s="208" t="str">
        <f>+Index!$A$2</f>
        <v>2022 ACFR Worksheets</v>
      </c>
      <c r="L2" s="208"/>
      <c r="M2" s="208"/>
      <c r="N2" s="208"/>
      <c r="O2" s="208"/>
      <c r="P2" s="208"/>
      <c r="Q2" s="237"/>
      <c r="R2" s="208"/>
      <c r="S2" s="208"/>
      <c r="T2" s="1587" t="s">
        <v>1091</v>
      </c>
      <c r="U2" s="1423"/>
      <c r="V2" s="182"/>
      <c r="W2" s="182"/>
    </row>
    <row r="3" spans="2:40" s="154" customFormat="1" ht="15" customHeight="1" x14ac:dyDescent="0.25">
      <c r="B3" s="3068" t="s">
        <v>3561</v>
      </c>
      <c r="C3" s="3068"/>
      <c r="D3" s="3068"/>
      <c r="E3" s="3068"/>
      <c r="F3" s="3068"/>
      <c r="G3" s="3068"/>
      <c r="H3" s="3068"/>
      <c r="I3" s="3068"/>
      <c r="J3" s="3068"/>
      <c r="K3" s="3068"/>
      <c r="L3" s="3068"/>
      <c r="M3" s="3068"/>
      <c r="N3" s="3068"/>
      <c r="O3" s="3068"/>
      <c r="P3" s="3068"/>
      <c r="Q3" s="3068"/>
      <c r="R3" s="3068"/>
      <c r="S3" s="3068"/>
      <c r="T3" s="3068"/>
      <c r="U3" s="1423"/>
      <c r="V3" s="182"/>
      <c r="W3" s="182"/>
    </row>
    <row r="4" spans="2:40" s="154" customFormat="1" ht="15" customHeight="1" x14ac:dyDescent="0.25">
      <c r="B4" s="3068" t="s">
        <v>1063</v>
      </c>
      <c r="C4" s="3068"/>
      <c r="D4" s="3068"/>
      <c r="E4" s="3068"/>
      <c r="F4" s="3068"/>
      <c r="G4" s="3068"/>
      <c r="H4" s="3068"/>
      <c r="I4" s="3068"/>
      <c r="J4" s="3068"/>
      <c r="K4" s="3068"/>
      <c r="L4" s="3068"/>
      <c r="M4" s="3068"/>
      <c r="N4" s="3068"/>
      <c r="O4" s="3068"/>
      <c r="P4" s="3068"/>
      <c r="Q4" s="3068"/>
      <c r="R4" s="3068"/>
      <c r="S4" s="3068"/>
      <c r="T4" s="3068"/>
    </row>
    <row r="5" spans="2:40" s="46" customFormat="1" ht="15" customHeight="1" x14ac:dyDescent="0.3">
      <c r="B5" s="152"/>
      <c r="C5" s="152"/>
      <c r="D5" s="152"/>
      <c r="E5" s="152"/>
      <c r="F5" s="153"/>
      <c r="G5" s="153"/>
      <c r="H5" s="153"/>
      <c r="I5" s="153"/>
      <c r="J5" s="153"/>
      <c r="K5" s="152"/>
      <c r="L5" s="153"/>
      <c r="M5" s="153"/>
      <c r="N5" s="153"/>
      <c r="O5" s="153"/>
      <c r="P5" s="153"/>
      <c r="Q5" s="153"/>
      <c r="R5" s="153"/>
      <c r="S5" s="153"/>
      <c r="T5" s="153"/>
    </row>
    <row r="6" spans="2:40" ht="15" customHeight="1" x14ac:dyDescent="0.25">
      <c r="B6" s="47" t="s">
        <v>327</v>
      </c>
      <c r="E6" s="3069" t="str">
        <f>+Index!$E$10</f>
        <v>01</v>
      </c>
      <c r="F6" s="3069"/>
      <c r="G6" s="3069"/>
      <c r="H6" s="3069"/>
      <c r="I6" s="525"/>
      <c r="J6" s="525"/>
      <c r="L6" s="155"/>
      <c r="M6" s="155"/>
      <c r="N6" s="48" t="s">
        <v>972</v>
      </c>
      <c r="O6" s="3067" t="str">
        <f>CONCATENATE(Index!$E$12," ",Index!$E$14)</f>
        <v xml:space="preserve"> </v>
      </c>
      <c r="P6" s="3067"/>
      <c r="Q6" s="3067"/>
      <c r="R6" s="3067"/>
      <c r="S6" s="3067"/>
      <c r="T6" s="3067"/>
    </row>
    <row r="7" spans="2:40" ht="15" customHeight="1" x14ac:dyDescent="0.25">
      <c r="B7" s="47" t="s">
        <v>1154</v>
      </c>
      <c r="E7" s="1096" t="str">
        <f>+Index!$E$11</f>
        <v>North Carolina General Assembly</v>
      </c>
      <c r="F7" s="1096"/>
      <c r="G7" s="1096"/>
      <c r="H7" s="1096"/>
      <c r="I7" s="526"/>
      <c r="J7" s="526"/>
      <c r="K7" s="526"/>
      <c r="L7" s="527"/>
      <c r="N7" s="48" t="s">
        <v>348</v>
      </c>
      <c r="O7" s="3070">
        <f>+Index!$E$13</f>
        <v>0</v>
      </c>
      <c r="P7" s="3070"/>
      <c r="Q7" s="3070"/>
      <c r="R7" s="3070"/>
      <c r="S7" s="3070"/>
      <c r="T7" s="3070"/>
    </row>
    <row r="8" spans="2:40" ht="15" customHeight="1" thickBot="1" x14ac:dyDescent="0.3">
      <c r="B8" s="49"/>
      <c r="C8" s="49"/>
      <c r="D8" s="49"/>
      <c r="E8" s="49"/>
      <c r="F8" s="49"/>
      <c r="G8" s="49"/>
      <c r="H8" s="49"/>
      <c r="I8" s="49"/>
      <c r="J8" s="49"/>
      <c r="K8" s="50"/>
      <c r="L8" s="49"/>
      <c r="M8" s="49"/>
      <c r="N8" s="49"/>
      <c r="O8" s="49"/>
      <c r="P8" s="49"/>
      <c r="Q8" s="49"/>
      <c r="R8" s="49"/>
      <c r="S8" s="49"/>
      <c r="T8" s="49"/>
    </row>
    <row r="9" spans="2:40" s="164" customFormat="1" ht="15" customHeight="1" x14ac:dyDescent="0.2">
      <c r="D9" s="163" t="s">
        <v>1155</v>
      </c>
      <c r="F9" s="163" t="s">
        <v>979</v>
      </c>
      <c r="I9" s="167"/>
      <c r="J9" s="168"/>
      <c r="K9" s="163"/>
      <c r="N9" s="163" t="s">
        <v>1064</v>
      </c>
      <c r="P9" s="163" t="s">
        <v>982</v>
      </c>
      <c r="S9" s="163"/>
      <c r="T9" s="163"/>
    </row>
    <row r="10" spans="2:40" s="164" customFormat="1" ht="15" customHeight="1" x14ac:dyDescent="0.2">
      <c r="D10" s="163" t="s">
        <v>684</v>
      </c>
      <c r="F10" s="163" t="s">
        <v>1157</v>
      </c>
      <c r="I10" s="167"/>
      <c r="J10" s="163"/>
      <c r="K10" s="163"/>
      <c r="N10" s="163" t="s">
        <v>684</v>
      </c>
      <c r="P10" s="163" t="s">
        <v>1157</v>
      </c>
      <c r="S10" s="163"/>
      <c r="T10" s="163"/>
    </row>
    <row r="11" spans="2:40" s="164" customFormat="1" ht="15" customHeight="1" thickBot="1" x14ac:dyDescent="0.25">
      <c r="B11" s="169" t="s">
        <v>1157</v>
      </c>
      <c r="C11" s="163"/>
      <c r="D11" s="170" t="s">
        <v>974</v>
      </c>
      <c r="F11" s="169" t="s">
        <v>808</v>
      </c>
      <c r="H11" s="169" t="s">
        <v>1156</v>
      </c>
      <c r="J11" s="163"/>
      <c r="K11" s="163"/>
      <c r="L11" s="169" t="s">
        <v>1157</v>
      </c>
      <c r="M11" s="163"/>
      <c r="N11" s="170" t="s">
        <v>975</v>
      </c>
      <c r="P11" s="169" t="s">
        <v>808</v>
      </c>
      <c r="R11" s="169" t="s">
        <v>1156</v>
      </c>
      <c r="S11" s="163"/>
      <c r="T11" s="163"/>
      <c r="U11" s="163"/>
      <c r="V11" s="163"/>
      <c r="W11" s="163"/>
    </row>
    <row r="12" spans="2:40" s="164" customFormat="1" ht="15" customHeight="1" x14ac:dyDescent="0.2">
      <c r="B12" s="530"/>
      <c r="C12" s="165"/>
      <c r="D12" s="2657"/>
      <c r="E12" s="165"/>
      <c r="F12" s="763"/>
      <c r="G12" s="165"/>
      <c r="H12" s="531"/>
      <c r="J12" s="1216"/>
      <c r="K12" s="165"/>
      <c r="L12" s="532">
        <f t="shared" ref="L12:L31" si="0">+F12</f>
        <v>0</v>
      </c>
      <c r="M12" s="165"/>
      <c r="N12" s="2657"/>
      <c r="O12" s="165"/>
      <c r="P12" s="532">
        <f t="shared" ref="P12:P31" si="1">+B12</f>
        <v>0</v>
      </c>
      <c r="R12" s="533">
        <f t="shared" ref="R12:R31" si="2">+H12</f>
        <v>0</v>
      </c>
      <c r="T12" s="1216"/>
      <c r="U12" s="552"/>
      <c r="V12" s="553"/>
      <c r="W12" s="553"/>
      <c r="X12" s="553"/>
      <c r="Y12" s="553"/>
      <c r="Z12" s="553"/>
      <c r="AA12" s="553"/>
      <c r="AB12" s="553"/>
      <c r="AG12" s="743"/>
      <c r="AH12" s="744"/>
      <c r="AK12" s="743"/>
      <c r="AM12" s="743"/>
      <c r="AN12" s="744"/>
    </row>
    <row r="13" spans="2:40" s="164" customFormat="1" ht="15" customHeight="1" x14ac:dyDescent="0.2">
      <c r="B13" s="530"/>
      <c r="C13" s="165"/>
      <c r="D13" s="530"/>
      <c r="E13" s="165"/>
      <c r="F13" s="763"/>
      <c r="G13" s="165"/>
      <c r="H13" s="531"/>
      <c r="J13" s="1216"/>
      <c r="K13" s="165"/>
      <c r="L13" s="532">
        <f t="shared" si="0"/>
        <v>0</v>
      </c>
      <c r="M13" s="165"/>
      <c r="N13" s="530"/>
      <c r="O13" s="165"/>
      <c r="P13" s="532">
        <f t="shared" si="1"/>
        <v>0</v>
      </c>
      <c r="R13" s="533">
        <f t="shared" si="2"/>
        <v>0</v>
      </c>
      <c r="T13" s="1216"/>
      <c r="U13" s="552"/>
      <c r="V13" s="553"/>
      <c r="W13" s="553"/>
      <c r="X13" s="553"/>
      <c r="Y13" s="553"/>
      <c r="Z13" s="553"/>
      <c r="AA13" s="553"/>
      <c r="AB13" s="553"/>
      <c r="AG13" s="743"/>
      <c r="AH13" s="744"/>
      <c r="AK13" s="743"/>
      <c r="AM13" s="743"/>
      <c r="AN13" s="744"/>
    </row>
    <row r="14" spans="2:40" s="164" customFormat="1" ht="15" customHeight="1" x14ac:dyDescent="0.2">
      <c r="B14" s="530"/>
      <c r="C14" s="165"/>
      <c r="D14" s="530"/>
      <c r="E14" s="165"/>
      <c r="F14" s="763"/>
      <c r="G14" s="165"/>
      <c r="H14" s="531"/>
      <c r="J14" s="1216"/>
      <c r="K14" s="165"/>
      <c r="L14" s="532">
        <f t="shared" si="0"/>
        <v>0</v>
      </c>
      <c r="M14" s="165"/>
      <c r="N14" s="530"/>
      <c r="O14" s="165"/>
      <c r="P14" s="532">
        <f t="shared" si="1"/>
        <v>0</v>
      </c>
      <c r="R14" s="533">
        <f t="shared" si="2"/>
        <v>0</v>
      </c>
      <c r="T14" s="1216"/>
      <c r="U14" s="552"/>
      <c r="V14" s="553"/>
      <c r="W14" s="553"/>
      <c r="X14" s="553"/>
      <c r="Y14" s="553"/>
      <c r="Z14" s="553"/>
      <c r="AA14" s="553"/>
      <c r="AB14" s="553"/>
      <c r="AG14" s="743"/>
      <c r="AH14" s="744"/>
      <c r="AK14" s="743"/>
      <c r="AM14" s="743"/>
      <c r="AN14" s="744"/>
    </row>
    <row r="15" spans="2:40" s="164" customFormat="1" ht="15" customHeight="1" x14ac:dyDescent="0.2">
      <c r="B15" s="530"/>
      <c r="C15" s="165"/>
      <c r="D15" s="530"/>
      <c r="E15" s="165"/>
      <c r="F15" s="763"/>
      <c r="G15" s="165"/>
      <c r="H15" s="531"/>
      <c r="J15" s="1216"/>
      <c r="K15" s="165"/>
      <c r="L15" s="532">
        <f t="shared" si="0"/>
        <v>0</v>
      </c>
      <c r="M15" s="165"/>
      <c r="N15" s="530"/>
      <c r="O15" s="165"/>
      <c r="P15" s="532">
        <f t="shared" si="1"/>
        <v>0</v>
      </c>
      <c r="R15" s="533">
        <f t="shared" si="2"/>
        <v>0</v>
      </c>
      <c r="T15" s="1216"/>
      <c r="U15" s="552"/>
      <c r="V15" s="553"/>
      <c r="W15" s="553"/>
      <c r="X15" s="553"/>
      <c r="Y15" s="553"/>
      <c r="Z15" s="553"/>
      <c r="AA15" s="553"/>
      <c r="AB15" s="553"/>
      <c r="AG15" s="743"/>
      <c r="AH15" s="744"/>
      <c r="AK15" s="743"/>
      <c r="AM15" s="743"/>
      <c r="AN15" s="744"/>
    </row>
    <row r="16" spans="2:40" s="164" customFormat="1" ht="15" customHeight="1" x14ac:dyDescent="0.2">
      <c r="B16" s="530"/>
      <c r="C16" s="165"/>
      <c r="D16" s="530"/>
      <c r="E16" s="165"/>
      <c r="F16" s="763"/>
      <c r="G16" s="165"/>
      <c r="H16" s="531"/>
      <c r="J16" s="1216"/>
      <c r="K16" s="165"/>
      <c r="L16" s="532">
        <f t="shared" si="0"/>
        <v>0</v>
      </c>
      <c r="M16" s="165"/>
      <c r="N16" s="530"/>
      <c r="O16" s="165"/>
      <c r="P16" s="532">
        <f t="shared" si="1"/>
        <v>0</v>
      </c>
      <c r="R16" s="533">
        <f t="shared" si="2"/>
        <v>0</v>
      </c>
      <c r="T16" s="1216"/>
      <c r="U16" s="552"/>
      <c r="V16" s="553"/>
      <c r="W16" s="553"/>
      <c r="X16" s="553"/>
      <c r="Y16" s="553"/>
      <c r="Z16" s="553"/>
      <c r="AA16" s="553"/>
      <c r="AB16" s="553"/>
      <c r="AG16" s="743"/>
      <c r="AH16" s="744"/>
      <c r="AK16" s="743"/>
      <c r="AM16" s="743"/>
      <c r="AN16" s="744"/>
    </row>
    <row r="17" spans="2:40" s="164" customFormat="1" ht="15" customHeight="1" x14ac:dyDescent="0.2">
      <c r="B17" s="530"/>
      <c r="C17" s="165"/>
      <c r="D17" s="530"/>
      <c r="E17" s="165"/>
      <c r="F17" s="763"/>
      <c r="G17" s="165"/>
      <c r="H17" s="531"/>
      <c r="J17" s="1216"/>
      <c r="K17" s="165"/>
      <c r="L17" s="532">
        <f t="shared" si="0"/>
        <v>0</v>
      </c>
      <c r="M17" s="165"/>
      <c r="N17" s="530"/>
      <c r="O17" s="165"/>
      <c r="P17" s="532">
        <f t="shared" si="1"/>
        <v>0</v>
      </c>
      <c r="R17" s="533">
        <f t="shared" si="2"/>
        <v>0</v>
      </c>
      <c r="T17" s="1216"/>
      <c r="U17" s="552"/>
      <c r="V17" s="553"/>
      <c r="W17" s="553"/>
      <c r="X17" s="553"/>
      <c r="Y17" s="553"/>
      <c r="Z17" s="553"/>
      <c r="AA17" s="553"/>
      <c r="AB17" s="553"/>
      <c r="AG17" s="743"/>
      <c r="AH17" s="744"/>
      <c r="AK17" s="743"/>
      <c r="AM17" s="743"/>
      <c r="AN17" s="744"/>
    </row>
    <row r="18" spans="2:40" s="164" customFormat="1" ht="15" customHeight="1" x14ac:dyDescent="0.2">
      <c r="B18" s="530"/>
      <c r="C18" s="165"/>
      <c r="D18" s="530"/>
      <c r="E18" s="165"/>
      <c r="F18" s="763"/>
      <c r="G18" s="165"/>
      <c r="H18" s="531"/>
      <c r="J18" s="1216"/>
      <c r="K18" s="165"/>
      <c r="L18" s="532">
        <f t="shared" si="0"/>
        <v>0</v>
      </c>
      <c r="M18" s="165"/>
      <c r="N18" s="530"/>
      <c r="O18" s="165"/>
      <c r="P18" s="532">
        <f t="shared" si="1"/>
        <v>0</v>
      </c>
      <c r="R18" s="533">
        <f t="shared" si="2"/>
        <v>0</v>
      </c>
      <c r="T18" s="1216"/>
      <c r="U18" s="552"/>
      <c r="V18" s="553"/>
      <c r="W18" s="553"/>
      <c r="X18" s="553"/>
      <c r="Y18" s="553"/>
      <c r="Z18" s="553"/>
      <c r="AA18" s="553"/>
      <c r="AB18" s="553"/>
      <c r="AG18" s="743"/>
      <c r="AH18" s="744"/>
      <c r="AK18" s="743"/>
      <c r="AM18" s="743"/>
      <c r="AN18" s="744"/>
    </row>
    <row r="19" spans="2:40" s="164" customFormat="1" ht="15" customHeight="1" x14ac:dyDescent="0.2">
      <c r="B19" s="530"/>
      <c r="C19" s="165"/>
      <c r="D19" s="530"/>
      <c r="E19" s="165"/>
      <c r="F19" s="763"/>
      <c r="G19" s="165"/>
      <c r="H19" s="531"/>
      <c r="J19" s="1216"/>
      <c r="K19" s="165"/>
      <c r="L19" s="532">
        <f t="shared" si="0"/>
        <v>0</v>
      </c>
      <c r="M19" s="165"/>
      <c r="N19" s="530"/>
      <c r="O19" s="165"/>
      <c r="P19" s="532">
        <f t="shared" si="1"/>
        <v>0</v>
      </c>
      <c r="R19" s="533">
        <f t="shared" si="2"/>
        <v>0</v>
      </c>
      <c r="T19" s="1216"/>
      <c r="U19" s="552"/>
      <c r="V19" s="553"/>
      <c r="W19" s="553"/>
      <c r="X19" s="553"/>
      <c r="Y19" s="553"/>
      <c r="Z19" s="553"/>
      <c r="AA19" s="553"/>
      <c r="AB19" s="553"/>
      <c r="AG19" s="743"/>
      <c r="AH19" s="744"/>
      <c r="AK19" s="743"/>
      <c r="AM19" s="743"/>
      <c r="AN19" s="744"/>
    </row>
    <row r="20" spans="2:40" s="164" customFormat="1" ht="15" customHeight="1" x14ac:dyDescent="0.2">
      <c r="B20" s="530"/>
      <c r="C20" s="165"/>
      <c r="D20" s="530"/>
      <c r="E20" s="165"/>
      <c r="F20" s="763"/>
      <c r="G20" s="165"/>
      <c r="H20" s="531"/>
      <c r="J20" s="1216"/>
      <c r="K20" s="165"/>
      <c r="L20" s="532">
        <f t="shared" si="0"/>
        <v>0</v>
      </c>
      <c r="M20" s="165"/>
      <c r="N20" s="530"/>
      <c r="O20" s="165"/>
      <c r="P20" s="532">
        <f t="shared" si="1"/>
        <v>0</v>
      </c>
      <c r="R20" s="533">
        <f t="shared" si="2"/>
        <v>0</v>
      </c>
      <c r="T20" s="1216"/>
      <c r="U20" s="552"/>
      <c r="V20" s="553"/>
      <c r="W20" s="553"/>
      <c r="X20" s="553"/>
      <c r="Y20" s="553"/>
      <c r="Z20" s="553"/>
      <c r="AA20" s="553"/>
      <c r="AB20" s="553"/>
      <c r="AG20" s="743"/>
      <c r="AH20" s="744"/>
      <c r="AK20" s="743"/>
      <c r="AM20" s="743"/>
      <c r="AN20" s="744"/>
    </row>
    <row r="21" spans="2:40" s="164" customFormat="1" ht="15" customHeight="1" x14ac:dyDescent="0.2">
      <c r="B21" s="530"/>
      <c r="C21" s="165"/>
      <c r="D21" s="530"/>
      <c r="E21" s="165"/>
      <c r="F21" s="763"/>
      <c r="G21" s="165"/>
      <c r="H21" s="531"/>
      <c r="J21" s="1216"/>
      <c r="K21" s="165"/>
      <c r="L21" s="532">
        <f t="shared" si="0"/>
        <v>0</v>
      </c>
      <c r="M21" s="165"/>
      <c r="N21" s="530"/>
      <c r="O21" s="165"/>
      <c r="P21" s="532">
        <f t="shared" si="1"/>
        <v>0</v>
      </c>
      <c r="R21" s="533">
        <f t="shared" si="2"/>
        <v>0</v>
      </c>
      <c r="T21" s="1216"/>
      <c r="U21" s="552"/>
      <c r="V21" s="553"/>
      <c r="W21" s="553"/>
      <c r="X21" s="553"/>
      <c r="Y21" s="553"/>
      <c r="Z21" s="553"/>
      <c r="AA21" s="553"/>
      <c r="AB21" s="553"/>
      <c r="AG21" s="743"/>
      <c r="AH21" s="744"/>
      <c r="AK21" s="743"/>
      <c r="AM21" s="743"/>
      <c r="AN21" s="744"/>
    </row>
    <row r="22" spans="2:40" s="164" customFormat="1" ht="15" customHeight="1" x14ac:dyDescent="0.2">
      <c r="B22" s="530"/>
      <c r="C22" s="165"/>
      <c r="D22" s="530"/>
      <c r="E22" s="165"/>
      <c r="F22" s="763"/>
      <c r="G22" s="165"/>
      <c r="H22" s="531"/>
      <c r="J22" s="1216"/>
      <c r="K22" s="165"/>
      <c r="L22" s="532">
        <f t="shared" si="0"/>
        <v>0</v>
      </c>
      <c r="M22" s="165"/>
      <c r="N22" s="530"/>
      <c r="O22" s="165"/>
      <c r="P22" s="532">
        <f t="shared" si="1"/>
        <v>0</v>
      </c>
      <c r="R22" s="533">
        <f t="shared" si="2"/>
        <v>0</v>
      </c>
      <c r="T22" s="1216"/>
      <c r="U22" s="552"/>
      <c r="V22" s="553"/>
      <c r="W22" s="553"/>
      <c r="X22" s="553"/>
      <c r="Y22" s="553"/>
      <c r="Z22" s="553"/>
      <c r="AA22" s="553"/>
      <c r="AB22" s="553"/>
      <c r="AG22" s="743"/>
      <c r="AH22" s="744"/>
      <c r="AK22" s="743"/>
      <c r="AM22" s="743"/>
      <c r="AN22" s="744"/>
    </row>
    <row r="23" spans="2:40" s="164" customFormat="1" ht="15" customHeight="1" x14ac:dyDescent="0.2">
      <c r="B23" s="530"/>
      <c r="C23" s="165"/>
      <c r="D23" s="530"/>
      <c r="E23" s="165"/>
      <c r="F23" s="763"/>
      <c r="G23" s="165"/>
      <c r="H23" s="531"/>
      <c r="J23" s="1216"/>
      <c r="K23" s="165"/>
      <c r="L23" s="532">
        <f t="shared" si="0"/>
        <v>0</v>
      </c>
      <c r="M23" s="165"/>
      <c r="N23" s="530"/>
      <c r="O23" s="165"/>
      <c r="P23" s="532">
        <f t="shared" si="1"/>
        <v>0</v>
      </c>
      <c r="R23" s="533">
        <f t="shared" si="2"/>
        <v>0</v>
      </c>
      <c r="T23" s="1216"/>
      <c r="U23" s="552"/>
      <c r="V23" s="553"/>
      <c r="W23" s="553"/>
      <c r="X23" s="553"/>
      <c r="Y23" s="553"/>
      <c r="Z23" s="553"/>
      <c r="AA23" s="553"/>
      <c r="AB23" s="553"/>
      <c r="AG23" s="743"/>
      <c r="AH23" s="744"/>
      <c r="AK23" s="743"/>
      <c r="AM23" s="743"/>
      <c r="AN23" s="744"/>
    </row>
    <row r="24" spans="2:40" s="164" customFormat="1" ht="15" customHeight="1" x14ac:dyDescent="0.2">
      <c r="B24" s="530"/>
      <c r="C24" s="165"/>
      <c r="D24" s="530"/>
      <c r="E24" s="165"/>
      <c r="F24" s="763"/>
      <c r="G24" s="165"/>
      <c r="H24" s="531"/>
      <c r="J24" s="1216"/>
      <c r="K24" s="165"/>
      <c r="L24" s="532">
        <f t="shared" si="0"/>
        <v>0</v>
      </c>
      <c r="M24" s="165"/>
      <c r="N24" s="530"/>
      <c r="O24" s="165"/>
      <c r="P24" s="532">
        <f t="shared" si="1"/>
        <v>0</v>
      </c>
      <c r="R24" s="533">
        <f t="shared" si="2"/>
        <v>0</v>
      </c>
      <c r="T24" s="1216"/>
      <c r="U24" s="552"/>
      <c r="V24" s="553"/>
      <c r="W24" s="553"/>
      <c r="X24" s="553"/>
      <c r="Y24" s="553"/>
      <c r="Z24" s="553"/>
      <c r="AA24" s="553"/>
      <c r="AB24" s="553"/>
      <c r="AG24" s="743"/>
      <c r="AH24" s="744"/>
      <c r="AK24" s="743"/>
      <c r="AM24" s="743"/>
      <c r="AN24" s="744"/>
    </row>
    <row r="25" spans="2:40" s="164" customFormat="1" ht="15" customHeight="1" x14ac:dyDescent="0.2">
      <c r="B25" s="530"/>
      <c r="C25" s="165"/>
      <c r="D25" s="530"/>
      <c r="E25" s="165"/>
      <c r="F25" s="763"/>
      <c r="G25" s="165"/>
      <c r="H25" s="531"/>
      <c r="J25" s="1216"/>
      <c r="K25" s="165"/>
      <c r="L25" s="532">
        <f t="shared" si="0"/>
        <v>0</v>
      </c>
      <c r="M25" s="165"/>
      <c r="N25" s="530"/>
      <c r="O25" s="165"/>
      <c r="P25" s="532">
        <f t="shared" si="1"/>
        <v>0</v>
      </c>
      <c r="R25" s="533">
        <f t="shared" si="2"/>
        <v>0</v>
      </c>
      <c r="T25" s="1216"/>
      <c r="U25" s="552"/>
      <c r="V25" s="553"/>
      <c r="W25" s="553"/>
      <c r="X25" s="553"/>
      <c r="Y25" s="553"/>
      <c r="Z25" s="553"/>
      <c r="AA25" s="553"/>
      <c r="AB25" s="553"/>
      <c r="AG25" s="743"/>
      <c r="AH25" s="744"/>
      <c r="AK25" s="743"/>
      <c r="AM25" s="743"/>
      <c r="AN25" s="744"/>
    </row>
    <row r="26" spans="2:40" s="164" customFormat="1" ht="15" customHeight="1" x14ac:dyDescent="0.2">
      <c r="B26" s="530"/>
      <c r="C26" s="165"/>
      <c r="D26" s="530"/>
      <c r="E26" s="165"/>
      <c r="F26" s="763"/>
      <c r="G26" s="165"/>
      <c r="H26" s="531"/>
      <c r="J26" s="1216"/>
      <c r="K26" s="165"/>
      <c r="L26" s="532">
        <f t="shared" si="0"/>
        <v>0</v>
      </c>
      <c r="M26" s="165"/>
      <c r="N26" s="530"/>
      <c r="O26" s="165"/>
      <c r="P26" s="532">
        <f t="shared" si="1"/>
        <v>0</v>
      </c>
      <c r="R26" s="533">
        <f t="shared" si="2"/>
        <v>0</v>
      </c>
      <c r="T26" s="1216"/>
      <c r="U26" s="552"/>
      <c r="V26" s="553"/>
      <c r="W26" s="553"/>
      <c r="X26" s="553"/>
      <c r="Y26" s="553"/>
      <c r="Z26" s="553"/>
      <c r="AA26" s="553"/>
      <c r="AB26" s="553"/>
      <c r="AG26" s="743"/>
      <c r="AH26" s="744"/>
      <c r="AK26" s="743"/>
      <c r="AM26" s="743"/>
      <c r="AN26" s="744"/>
    </row>
    <row r="27" spans="2:40" s="164" customFormat="1" ht="15" customHeight="1" x14ac:dyDescent="0.2">
      <c r="B27" s="530"/>
      <c r="C27" s="165"/>
      <c r="D27" s="530"/>
      <c r="E27" s="165"/>
      <c r="F27" s="763"/>
      <c r="G27" s="165"/>
      <c r="H27" s="531"/>
      <c r="J27" s="1216"/>
      <c r="K27" s="165"/>
      <c r="L27" s="532">
        <f t="shared" si="0"/>
        <v>0</v>
      </c>
      <c r="M27" s="165"/>
      <c r="N27" s="530"/>
      <c r="O27" s="165"/>
      <c r="P27" s="532">
        <f t="shared" si="1"/>
        <v>0</v>
      </c>
      <c r="R27" s="533">
        <f t="shared" si="2"/>
        <v>0</v>
      </c>
      <c r="T27" s="1216"/>
      <c r="U27" s="552"/>
      <c r="V27" s="553"/>
      <c r="W27" s="553"/>
      <c r="X27" s="553"/>
      <c r="Y27" s="553"/>
      <c r="Z27" s="553"/>
      <c r="AA27" s="553"/>
      <c r="AB27" s="553"/>
      <c r="AG27" s="743"/>
      <c r="AH27" s="744"/>
      <c r="AK27" s="743"/>
      <c r="AM27" s="743"/>
      <c r="AN27" s="744"/>
    </row>
    <row r="28" spans="2:40" s="164" customFormat="1" ht="15" customHeight="1" x14ac:dyDescent="0.2">
      <c r="B28" s="530"/>
      <c r="C28" s="165"/>
      <c r="D28" s="530"/>
      <c r="E28" s="165"/>
      <c r="F28" s="763"/>
      <c r="G28" s="165"/>
      <c r="H28" s="531"/>
      <c r="J28" s="1216"/>
      <c r="K28" s="165"/>
      <c r="L28" s="532">
        <f t="shared" si="0"/>
        <v>0</v>
      </c>
      <c r="M28" s="165"/>
      <c r="N28" s="530"/>
      <c r="O28" s="165"/>
      <c r="P28" s="532">
        <f t="shared" si="1"/>
        <v>0</v>
      </c>
      <c r="R28" s="533">
        <f t="shared" si="2"/>
        <v>0</v>
      </c>
      <c r="T28" s="1216"/>
      <c r="U28" s="552"/>
      <c r="V28" s="553"/>
      <c r="W28" s="553"/>
      <c r="X28" s="553"/>
      <c r="Y28" s="553"/>
      <c r="Z28" s="553"/>
      <c r="AA28" s="553"/>
      <c r="AB28" s="553"/>
      <c r="AG28" s="743"/>
      <c r="AH28" s="744"/>
      <c r="AK28" s="743"/>
      <c r="AM28" s="743"/>
      <c r="AN28" s="744"/>
    </row>
    <row r="29" spans="2:40" s="164" customFormat="1" ht="15" customHeight="1" x14ac:dyDescent="0.2">
      <c r="B29" s="530"/>
      <c r="C29" s="165"/>
      <c r="D29" s="530"/>
      <c r="E29" s="165"/>
      <c r="F29" s="763"/>
      <c r="G29" s="165"/>
      <c r="H29" s="531"/>
      <c r="J29" s="1216"/>
      <c r="K29" s="165"/>
      <c r="L29" s="532">
        <f t="shared" si="0"/>
        <v>0</v>
      </c>
      <c r="M29" s="165"/>
      <c r="N29" s="530"/>
      <c r="O29" s="165"/>
      <c r="P29" s="532">
        <f t="shared" si="1"/>
        <v>0</v>
      </c>
      <c r="R29" s="533">
        <f t="shared" si="2"/>
        <v>0</v>
      </c>
      <c r="T29" s="1216"/>
      <c r="U29" s="552"/>
      <c r="V29" s="553"/>
      <c r="W29" s="553"/>
      <c r="X29" s="553"/>
      <c r="Y29" s="553"/>
      <c r="Z29" s="553"/>
      <c r="AA29" s="553"/>
      <c r="AB29" s="553"/>
      <c r="AG29" s="743"/>
      <c r="AH29" s="744"/>
      <c r="AK29" s="743"/>
      <c r="AM29" s="743"/>
      <c r="AN29" s="744"/>
    </row>
    <row r="30" spans="2:40" s="164" customFormat="1" ht="15" customHeight="1" x14ac:dyDescent="0.2">
      <c r="B30" s="530"/>
      <c r="C30" s="165"/>
      <c r="D30" s="530"/>
      <c r="E30" s="165"/>
      <c r="F30" s="763"/>
      <c r="G30" s="165"/>
      <c r="H30" s="531"/>
      <c r="J30" s="1216"/>
      <c r="K30" s="165"/>
      <c r="L30" s="532">
        <f t="shared" si="0"/>
        <v>0</v>
      </c>
      <c r="M30" s="165"/>
      <c r="N30" s="530"/>
      <c r="O30" s="165"/>
      <c r="P30" s="532">
        <f t="shared" si="1"/>
        <v>0</v>
      </c>
      <c r="R30" s="533">
        <f t="shared" si="2"/>
        <v>0</v>
      </c>
      <c r="T30" s="1216"/>
      <c r="U30" s="552"/>
      <c r="V30" s="553"/>
      <c r="W30" s="553"/>
      <c r="X30" s="553"/>
      <c r="Y30" s="553"/>
      <c r="Z30" s="553"/>
      <c r="AA30" s="553"/>
      <c r="AB30" s="553"/>
      <c r="AG30" s="743"/>
      <c r="AH30" s="744"/>
      <c r="AK30" s="743"/>
      <c r="AM30" s="743"/>
      <c r="AN30" s="744"/>
    </row>
    <row r="31" spans="2:40" s="164" customFormat="1" ht="15" customHeight="1" x14ac:dyDescent="0.2">
      <c r="B31" s="530"/>
      <c r="C31" s="165"/>
      <c r="D31" s="530"/>
      <c r="E31" s="165"/>
      <c r="F31" s="763"/>
      <c r="G31" s="165"/>
      <c r="H31" s="531"/>
      <c r="J31" s="1216"/>
      <c r="K31" s="165"/>
      <c r="L31" s="532">
        <f t="shared" si="0"/>
        <v>0</v>
      </c>
      <c r="M31" s="165"/>
      <c r="N31" s="530"/>
      <c r="O31" s="165"/>
      <c r="P31" s="532">
        <f t="shared" si="1"/>
        <v>0</v>
      </c>
      <c r="R31" s="533">
        <f t="shared" si="2"/>
        <v>0</v>
      </c>
      <c r="T31" s="1216"/>
      <c r="U31" s="552"/>
      <c r="V31" s="553"/>
      <c r="W31" s="553"/>
      <c r="X31" s="553"/>
      <c r="Y31" s="553"/>
      <c r="Z31" s="553"/>
      <c r="AA31" s="553"/>
      <c r="AB31" s="553"/>
      <c r="AG31" s="743"/>
      <c r="AH31" s="744"/>
      <c r="AK31" s="743"/>
      <c r="AM31" s="743"/>
      <c r="AN31" s="744"/>
    </row>
    <row r="32" spans="2:40" s="164" customFormat="1" ht="15" customHeight="1" thickBot="1" x14ac:dyDescent="0.25">
      <c r="D32" s="163" t="s">
        <v>976</v>
      </c>
      <c r="E32" s="163"/>
      <c r="F32" s="163"/>
      <c r="G32" s="163"/>
      <c r="H32" s="166">
        <f>SUM(H12:H31)</f>
        <v>0</v>
      </c>
      <c r="N32" s="163" t="s">
        <v>977</v>
      </c>
      <c r="O32" s="163"/>
      <c r="P32" s="163"/>
      <c r="Q32" s="163"/>
      <c r="R32" s="166">
        <f>SUM(R12:R31)</f>
        <v>0</v>
      </c>
      <c r="U32" s="553"/>
      <c r="V32" s="553"/>
      <c r="W32" s="553"/>
      <c r="X32" s="553"/>
      <c r="Y32" s="553"/>
      <c r="Z32" s="553"/>
      <c r="AA32" s="553"/>
      <c r="AB32" s="553"/>
    </row>
    <row r="33" spans="1:23" s="164" customFormat="1" ht="18" customHeight="1" x14ac:dyDescent="0.2">
      <c r="D33" s="163" t="s">
        <v>973</v>
      </c>
      <c r="E33" s="163"/>
      <c r="F33" s="163"/>
      <c r="G33" s="163"/>
      <c r="H33" s="163" t="s">
        <v>978</v>
      </c>
      <c r="N33" s="3066" t="str">
        <f>IF(R33&lt;&gt;0,"Out of Balance","")</f>
        <v/>
      </c>
      <c r="O33" s="3066"/>
      <c r="P33" s="3066"/>
      <c r="Q33" s="528"/>
      <c r="R33" s="529">
        <f>+H32-R32</f>
        <v>0</v>
      </c>
    </row>
    <row r="34" spans="1:23" s="164" customFormat="1" ht="15" customHeight="1" x14ac:dyDescent="0.2">
      <c r="B34" s="263" t="s">
        <v>771</v>
      </c>
      <c r="D34" s="163"/>
      <c r="E34" s="163"/>
      <c r="F34" s="163"/>
      <c r="G34" s="163"/>
      <c r="K34" s="163"/>
      <c r="O34" s="163"/>
      <c r="P34" s="163"/>
      <c r="Q34" s="163"/>
    </row>
    <row r="35" spans="1:23" s="164" customFormat="1" ht="15" customHeight="1" x14ac:dyDescent="0.2">
      <c r="B35" s="168" t="s">
        <v>5552</v>
      </c>
      <c r="D35" s="163"/>
      <c r="E35" s="163"/>
      <c r="F35" s="163"/>
      <c r="G35" s="163"/>
      <c r="K35" s="163"/>
      <c r="O35" s="163"/>
      <c r="P35" s="163"/>
      <c r="Q35" s="163"/>
    </row>
    <row r="36" spans="1:23" s="164" customFormat="1" ht="15" customHeight="1" x14ac:dyDescent="0.2">
      <c r="B36" s="168"/>
      <c r="D36" s="163"/>
      <c r="E36" s="163"/>
      <c r="F36" s="163"/>
      <c r="G36" s="163"/>
      <c r="K36" s="163"/>
      <c r="O36" s="163"/>
      <c r="P36" s="163"/>
      <c r="Q36" s="163"/>
    </row>
    <row r="37" spans="1:23" s="164" customFormat="1" ht="15" customHeight="1" x14ac:dyDescent="0.2">
      <c r="D37" s="163"/>
      <c r="E37" s="163"/>
      <c r="F37" s="163"/>
      <c r="G37" s="163"/>
      <c r="K37" s="163"/>
      <c r="O37" s="163"/>
      <c r="P37" s="163"/>
      <c r="Q37" s="163"/>
    </row>
    <row r="38" spans="1:23" s="164" customFormat="1" ht="15" customHeight="1" x14ac:dyDescent="0.2">
      <c r="A38" s="443" t="str">
        <f ca="1">MID(CELL("filename",A1),FIND("]",CELL("filename",A1))+1,256)</f>
        <v>501</v>
      </c>
      <c r="B38" s="443" t="s">
        <v>449</v>
      </c>
      <c r="D38" s="163"/>
      <c r="E38" s="163"/>
      <c r="F38" s="163"/>
      <c r="G38" s="163"/>
      <c r="K38" s="163"/>
      <c r="O38" s="163"/>
      <c r="P38" s="163"/>
      <c r="Q38" s="163"/>
    </row>
    <row r="39" spans="1:23" s="164" customFormat="1" ht="15" customHeight="1" x14ac:dyDescent="0.2">
      <c r="A39" s="443" t="s">
        <v>446</v>
      </c>
      <c r="B39" s="443" t="str">
        <f t="shared" ref="B39:B48" ca="1" si="3">IF(ISNA(INDEX(ErrorTable,MATCH($A$38&amp;$A39&amp;FALSE,ErrorKey,0),6)),"",INDEX(ErrorTable,MATCH($A$38&amp;$A39&amp;FALSE,ErrorKey,0),6))</f>
        <v/>
      </c>
      <c r="D39" s="163"/>
      <c r="E39" s="163"/>
      <c r="F39" s="163"/>
      <c r="G39" s="163"/>
      <c r="K39" s="163"/>
      <c r="O39" s="163"/>
      <c r="P39" s="163"/>
      <c r="Q39" s="163"/>
    </row>
    <row r="40" spans="1:23" s="164" customFormat="1" ht="15" customHeight="1" x14ac:dyDescent="0.2">
      <c r="A40" s="443" t="s">
        <v>447</v>
      </c>
      <c r="B40" s="443" t="str">
        <f t="shared" ca="1" si="3"/>
        <v/>
      </c>
      <c r="D40" s="163"/>
      <c r="E40" s="163"/>
      <c r="F40" s="163"/>
      <c r="G40" s="163"/>
      <c r="K40" s="163"/>
      <c r="O40" s="163"/>
      <c r="P40" s="163"/>
      <c r="Q40" s="163"/>
    </row>
    <row r="41" spans="1:23" s="164" customFormat="1" ht="15" customHeight="1" x14ac:dyDescent="0.2">
      <c r="A41" s="443" t="s">
        <v>448</v>
      </c>
      <c r="B41" s="443" t="str">
        <f t="shared" ca="1" si="3"/>
        <v/>
      </c>
      <c r="D41" s="163"/>
      <c r="E41" s="163"/>
      <c r="F41" s="163"/>
      <c r="G41" s="163"/>
      <c r="K41" s="163"/>
      <c r="O41" s="163"/>
      <c r="P41" s="163"/>
      <c r="Q41" s="163"/>
    </row>
    <row r="42" spans="1:23" s="164" customFormat="1" ht="15" customHeight="1" x14ac:dyDescent="0.2">
      <c r="A42" s="443" t="s">
        <v>450</v>
      </c>
      <c r="B42" s="443" t="str">
        <f t="shared" ca="1" si="3"/>
        <v/>
      </c>
      <c r="D42" s="163"/>
      <c r="E42" s="163"/>
      <c r="F42" s="163"/>
      <c r="G42" s="163"/>
      <c r="K42" s="163"/>
      <c r="O42" s="163"/>
      <c r="P42" s="163"/>
      <c r="Q42" s="163"/>
    </row>
    <row r="43" spans="1:23" ht="20.85" customHeight="1" x14ac:dyDescent="0.25">
      <c r="A43" s="443" t="s">
        <v>451</v>
      </c>
      <c r="B43" s="443" t="str">
        <f t="shared" ca="1" si="3"/>
        <v/>
      </c>
    </row>
    <row r="44" spans="1:23" ht="20.85" customHeight="1" x14ac:dyDescent="0.25">
      <c r="A44" s="443" t="s">
        <v>452</v>
      </c>
      <c r="B44" s="443" t="str">
        <f t="shared" ca="1" si="3"/>
        <v/>
      </c>
      <c r="D44" s="52" t="s">
        <v>973</v>
      </c>
      <c r="E44" s="52"/>
      <c r="F44" s="52"/>
      <c r="G44" s="52"/>
      <c r="H44" s="52"/>
      <c r="I44" s="52"/>
      <c r="J44" s="52"/>
      <c r="K44" s="52"/>
      <c r="L44" s="52"/>
      <c r="M44" s="52"/>
    </row>
    <row r="45" spans="1:23" ht="20.85" customHeight="1" x14ac:dyDescent="0.25">
      <c r="A45" s="443" t="s">
        <v>453</v>
      </c>
      <c r="B45" s="443" t="str">
        <f t="shared" ca="1" si="3"/>
        <v/>
      </c>
      <c r="D45" s="52" t="s">
        <v>973</v>
      </c>
      <c r="E45" s="52"/>
      <c r="F45" s="52"/>
      <c r="G45" s="52"/>
      <c r="M45" s="52"/>
      <c r="N45" s="51" t="s">
        <v>973</v>
      </c>
      <c r="O45" s="51"/>
      <c r="P45" s="51"/>
      <c r="Q45" s="51"/>
      <c r="U45" s="52" t="s">
        <v>973</v>
      </c>
      <c r="V45" s="52"/>
      <c r="W45" s="52"/>
    </row>
    <row r="46" spans="1:23" ht="20.85" customHeight="1" x14ac:dyDescent="0.25">
      <c r="A46" s="443" t="s">
        <v>454</v>
      </c>
      <c r="B46" s="443" t="str">
        <f t="shared" ca="1" si="3"/>
        <v/>
      </c>
    </row>
    <row r="47" spans="1:23" ht="20.85" customHeight="1" x14ac:dyDescent="0.25">
      <c r="A47" s="443" t="s">
        <v>455</v>
      </c>
      <c r="B47" s="443" t="str">
        <f t="shared" ca="1" si="3"/>
        <v/>
      </c>
    </row>
    <row r="48" spans="1:23" ht="20.85" customHeight="1" x14ac:dyDescent="0.25">
      <c r="A48" s="443" t="s">
        <v>456</v>
      </c>
      <c r="B48" s="443" t="str">
        <f t="shared" ca="1" si="3"/>
        <v/>
      </c>
    </row>
    <row r="49" spans="4:23" ht="20.85" customHeight="1" x14ac:dyDescent="0.25"/>
    <row r="50" spans="4:23" ht="20.85" customHeight="1" x14ac:dyDescent="0.25"/>
    <row r="51" spans="4:23" ht="20.85" customHeight="1" x14ac:dyDescent="0.25"/>
    <row r="52" spans="4:23" ht="20.85" customHeight="1" x14ac:dyDescent="0.25">
      <c r="D52" s="46" t="s">
        <v>973</v>
      </c>
    </row>
    <row r="53" spans="4:23" ht="20.85" customHeight="1" x14ac:dyDescent="0.25"/>
    <row r="54" spans="4:23" ht="20.85" customHeight="1" x14ac:dyDescent="0.25"/>
    <row r="55" spans="4:23" ht="20.85" customHeight="1" x14ac:dyDescent="0.25">
      <c r="D55" s="52" t="s">
        <v>973</v>
      </c>
      <c r="E55" s="52"/>
      <c r="F55" s="52"/>
      <c r="G55" s="52"/>
      <c r="M55" s="52"/>
      <c r="N55" s="51" t="s">
        <v>973</v>
      </c>
      <c r="O55" s="51"/>
      <c r="P55" s="51"/>
      <c r="Q55" s="51"/>
      <c r="U55" s="52" t="s">
        <v>973</v>
      </c>
      <c r="V55" s="52"/>
      <c r="W55" s="52"/>
    </row>
  </sheetData>
  <sheetProtection algorithmName="SHA-512" hashValue="NmSjOmaWTdEbroqOFrzzKlVxiyRu2IPwFY62F081l3hHKxXr2FJJJ0HLeOFMEVwrAp7dc+ayz3RVg8qvophRig==" saltValue="DhmrkC1Ps05p9EdE018zkw==" spinCount="100000" sheet="1" objects="1" scenarios="1" autoFilter="0"/>
  <dataConsolidate link="1"/>
  <customSheetViews>
    <customSheetView guid="{B08879A4-635B-4C39-9937-AC7883D562FC}" showGridLines="0"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hiddenColumns="1" showRuler="0">
      <selection sqref="A1:U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hiddenColumns="1" showRuler="0">
      <selection sqref="A1:U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7">
    <mergeCell ref="N33:P33"/>
    <mergeCell ref="O6:T6"/>
    <mergeCell ref="B1:T1"/>
    <mergeCell ref="B3:T3"/>
    <mergeCell ref="B4:T4"/>
    <mergeCell ref="E6:H6"/>
    <mergeCell ref="O7:T7"/>
  </mergeCells>
  <phoneticPr fontId="15" type="noConversion"/>
  <conditionalFormatting sqref="U1:W3">
    <cfRule type="cellIs" dxfId="70" priority="1" stopIfTrue="1" operator="equal">
      <formula>"na"</formula>
    </cfRule>
  </conditionalFormatting>
  <dataValidations count="1">
    <dataValidation type="textLength" operator="equal" allowBlank="1" showInputMessage="1" showErrorMessage="1" errorTitle="Invalid data!" error="GASB number must be 4 digits." sqref="B12:B31" xr:uid="{00000000-0002-0000-2600-000000000000}">
      <formula1>4</formula1>
    </dataValidation>
  </dataValidations>
  <hyperlinks>
    <hyperlink ref="B1:T1" location="Index!A1" display="Index!A1" xr:uid="{00000000-0004-0000-2600-000000000000}"/>
  </hyperlinks>
  <printOptions horizontalCentered="1"/>
  <pageMargins left="0.5" right="0.5" top="0.75" bottom="0.5" header="0.5" footer="0.5"/>
  <pageSetup scale="99" orientation="landscape" blackAndWhite="1" r:id="rId5"/>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A1:S51"/>
  <sheetViews>
    <sheetView showGridLines="0" topLeftCell="B1" zoomScaleNormal="100" workbookViewId="0">
      <selection activeCell="V21" sqref="V21"/>
    </sheetView>
  </sheetViews>
  <sheetFormatPr defaultColWidth="9.42578125" defaultRowHeight="15.75" x14ac:dyDescent="0.25"/>
  <cols>
    <col min="1" max="1" width="0" style="845" hidden="1" customWidth="1"/>
    <col min="2" max="2" width="13.42578125" style="845" customWidth="1"/>
    <col min="3" max="3" width="1" style="845" customWidth="1"/>
    <col min="4" max="4" width="11.42578125" style="845" customWidth="1"/>
    <col min="5" max="5" width="1" style="845" customWidth="1"/>
    <col min="6" max="6" width="9.85546875" style="845" customWidth="1"/>
    <col min="7" max="7" width="1" style="845" customWidth="1"/>
    <col min="8" max="8" width="20.85546875" style="845" customWidth="1"/>
    <col min="9" max="9" width="1" style="845" customWidth="1"/>
    <col min="10" max="10" width="20.5703125" style="845" customWidth="1"/>
    <col min="11" max="11" width="1.7109375" style="845" customWidth="1"/>
    <col min="12" max="12" width="1.42578125" style="845" customWidth="1"/>
    <col min="13" max="13" width="16.42578125" style="845" customWidth="1"/>
    <col min="14" max="14" width="1.42578125" style="845" customWidth="1"/>
    <col min="15" max="15" width="16.42578125" style="845" customWidth="1"/>
    <col min="16" max="16" width="1.28515625" style="845" customWidth="1"/>
    <col min="17" max="17" width="28.140625" style="845" customWidth="1"/>
    <col min="18" max="18" width="4.42578125" style="845" customWidth="1"/>
    <col min="19" max="16384" width="9.42578125" style="845"/>
  </cols>
  <sheetData>
    <row r="1" spans="2:19"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767"/>
      <c r="R1" s="3075" t="str">
        <f>IF(Index!$B$64="na","NA","")</f>
        <v/>
      </c>
      <c r="S1" s="3074"/>
    </row>
    <row r="2" spans="2:19" ht="15" customHeight="1" x14ac:dyDescent="0.25">
      <c r="B2" s="3072" t="str">
        <f>+Index!$A$2</f>
        <v>2022 ACFR Worksheets</v>
      </c>
      <c r="C2" s="3072"/>
      <c r="D2" s="3072"/>
      <c r="E2" s="3072"/>
      <c r="F2" s="3072"/>
      <c r="G2" s="3072"/>
      <c r="H2" s="3072"/>
      <c r="I2" s="3072"/>
      <c r="J2" s="3072"/>
      <c r="K2" s="3072"/>
      <c r="L2" s="3072"/>
      <c r="M2" s="3072"/>
      <c r="N2" s="3072"/>
      <c r="O2" s="3072"/>
      <c r="P2" s="3072"/>
      <c r="Q2" s="3072"/>
      <c r="R2" s="3075"/>
      <c r="S2" s="3074"/>
    </row>
    <row r="3" spans="2:19" ht="15" customHeight="1" x14ac:dyDescent="0.25">
      <c r="B3" s="3072" t="s">
        <v>3562</v>
      </c>
      <c r="C3" s="3072"/>
      <c r="D3" s="3072"/>
      <c r="E3" s="3072"/>
      <c r="F3" s="3072"/>
      <c r="G3" s="3072"/>
      <c r="H3" s="3072"/>
      <c r="I3" s="3072"/>
      <c r="J3" s="3072"/>
      <c r="K3" s="3072"/>
      <c r="L3" s="3072"/>
      <c r="M3" s="3072"/>
      <c r="N3" s="3072"/>
      <c r="O3" s="3072"/>
      <c r="P3" s="3072"/>
      <c r="Q3" s="3072"/>
      <c r="R3" s="3075"/>
      <c r="S3" s="3074"/>
    </row>
    <row r="4" spans="2:19" ht="15" customHeight="1" x14ac:dyDescent="0.25">
      <c r="B4" s="3072" t="s">
        <v>4810</v>
      </c>
      <c r="C4" s="3072"/>
      <c r="D4" s="3072"/>
      <c r="E4" s="3072"/>
      <c r="F4" s="3072"/>
      <c r="G4" s="3072"/>
      <c r="H4" s="3072"/>
      <c r="I4" s="3072"/>
      <c r="J4" s="3072"/>
      <c r="K4" s="3072"/>
      <c r="L4" s="3072"/>
      <c r="M4" s="3072"/>
      <c r="N4" s="3072"/>
      <c r="O4" s="3072"/>
      <c r="P4" s="3072"/>
      <c r="Q4" s="3072"/>
    </row>
    <row r="5" spans="2:19" ht="15" customHeight="1" x14ac:dyDescent="0.25">
      <c r="B5" s="156"/>
      <c r="C5" s="548"/>
      <c r="D5" s="159"/>
      <c r="E5" s="159"/>
      <c r="F5" s="159"/>
      <c r="G5" s="159"/>
      <c r="H5" s="159"/>
      <c r="I5" s="159"/>
      <c r="J5" s="159"/>
      <c r="K5" s="159"/>
      <c r="L5" s="159"/>
      <c r="M5" s="760" t="s">
        <v>1838</v>
      </c>
      <c r="N5" s="760"/>
      <c r="O5" s="760"/>
      <c r="P5" s="159"/>
      <c r="Q5" s="159"/>
      <c r="R5" s="156"/>
    </row>
    <row r="6" spans="2:19" ht="15" customHeight="1" x14ac:dyDescent="0.25">
      <c r="B6" s="549" t="s">
        <v>327</v>
      </c>
      <c r="C6" s="156"/>
      <c r="D6" s="3076" t="str">
        <f>+Index!$E$10</f>
        <v>01</v>
      </c>
      <c r="E6" s="3076"/>
      <c r="F6" s="3076"/>
      <c r="G6" s="3076"/>
      <c r="H6" s="157"/>
      <c r="I6" s="156"/>
      <c r="J6" s="156"/>
      <c r="K6" s="550" t="s">
        <v>972</v>
      </c>
      <c r="L6" s="3077" t="str">
        <f>CONCATENATE(Index!$E$12," ",Index!$E$14)</f>
        <v xml:space="preserve"> </v>
      </c>
      <c r="M6" s="3077"/>
      <c r="N6" s="3077"/>
      <c r="O6" s="3077"/>
      <c r="P6" s="3077"/>
      <c r="Q6" s="854"/>
    </row>
    <row r="7" spans="2:19" ht="15" customHeight="1" x14ac:dyDescent="0.25">
      <c r="B7" s="549" t="s">
        <v>1154</v>
      </c>
      <c r="C7" s="156"/>
      <c r="D7" s="3076" t="str">
        <f>+Index!$E$11</f>
        <v>North Carolina General Assembly</v>
      </c>
      <c r="E7" s="3076"/>
      <c r="F7" s="3076"/>
      <c r="G7" s="3076"/>
      <c r="H7" s="3076"/>
      <c r="I7" s="156"/>
      <c r="J7" s="156"/>
      <c r="K7" s="550" t="s">
        <v>348</v>
      </c>
      <c r="L7" s="3078">
        <f>+Index!$E$13</f>
        <v>0</v>
      </c>
      <c r="M7" s="3078"/>
      <c r="N7" s="3078"/>
      <c r="O7" s="3078"/>
      <c r="P7" s="3078"/>
      <c r="Q7" s="854"/>
    </row>
    <row r="8" spans="2:19" ht="15" customHeight="1" x14ac:dyDescent="0.25">
      <c r="B8" s="549" t="s">
        <v>723</v>
      </c>
      <c r="C8" s="156"/>
      <c r="D8" s="554"/>
      <c r="E8" s="156"/>
      <c r="F8" s="156"/>
      <c r="G8" s="156"/>
      <c r="H8" s="156"/>
      <c r="I8" s="156"/>
      <c r="J8" s="156"/>
      <c r="K8" s="156"/>
      <c r="L8" s="156"/>
      <c r="M8" s="156"/>
      <c r="N8" s="156"/>
      <c r="O8" s="156"/>
      <c r="P8" s="156"/>
      <c r="Q8" s="858"/>
    </row>
    <row r="9" spans="2:19" ht="11.25" customHeight="1" thickBot="1" x14ac:dyDescent="0.3">
      <c r="B9" s="847"/>
      <c r="C9" s="849"/>
      <c r="D9" s="847"/>
      <c r="E9" s="847"/>
      <c r="F9" s="848"/>
      <c r="G9" s="847"/>
      <c r="H9" s="848"/>
      <c r="I9" s="859"/>
      <c r="J9" s="3073"/>
      <c r="K9" s="3073"/>
      <c r="L9" s="3073"/>
      <c r="M9" s="3073"/>
      <c r="N9" s="2460"/>
      <c r="O9" s="2460"/>
      <c r="P9" s="859"/>
      <c r="Q9" s="860"/>
    </row>
    <row r="10" spans="2:19" ht="14.1" customHeight="1" thickBot="1" x14ac:dyDescent="0.3">
      <c r="B10" s="2431" t="s">
        <v>1155</v>
      </c>
      <c r="C10" s="2431"/>
      <c r="D10" s="2432" t="s">
        <v>979</v>
      </c>
      <c r="E10" s="2433"/>
      <c r="F10" s="2432" t="s">
        <v>979</v>
      </c>
      <c r="G10" s="2433"/>
      <c r="H10" s="2434"/>
      <c r="I10" s="2430"/>
      <c r="J10" s="3071" t="s">
        <v>1096</v>
      </c>
      <c r="K10" s="3071"/>
      <c r="L10" s="3071"/>
      <c r="M10" s="3071"/>
      <c r="N10" s="3071"/>
      <c r="O10" s="3071"/>
      <c r="P10" s="2430"/>
      <c r="Q10" s="2426"/>
    </row>
    <row r="11" spans="2:19" ht="14.1" customHeight="1" x14ac:dyDescent="0.25">
      <c r="B11" s="2431" t="s">
        <v>684</v>
      </c>
      <c r="C11" s="2431"/>
      <c r="D11" s="2432" t="s">
        <v>722</v>
      </c>
      <c r="E11" s="2433"/>
      <c r="F11" s="2432" t="s">
        <v>1157</v>
      </c>
      <c r="G11" s="2433"/>
      <c r="H11" s="2434"/>
      <c r="I11" s="2430"/>
      <c r="J11" s="2435"/>
      <c r="K11" s="2435"/>
      <c r="L11" s="2435"/>
      <c r="M11" s="2436" t="s">
        <v>5395</v>
      </c>
      <c r="N11" s="2436"/>
      <c r="O11" s="2436" t="s">
        <v>5394</v>
      </c>
      <c r="P11" s="2430"/>
      <c r="Q11" s="2426"/>
    </row>
    <row r="12" spans="2:19" ht="14.1" customHeight="1" thickBot="1" x14ac:dyDescent="0.3">
      <c r="B12" s="2437" t="s">
        <v>1293</v>
      </c>
      <c r="C12" s="2432"/>
      <c r="D12" s="2437" t="s">
        <v>808</v>
      </c>
      <c r="E12" s="2426"/>
      <c r="F12" s="2437" t="s">
        <v>808</v>
      </c>
      <c r="G12" s="2426"/>
      <c r="H12" s="2438" t="s">
        <v>1156</v>
      </c>
      <c r="I12" s="2430"/>
      <c r="J12" s="2438" t="s">
        <v>1097</v>
      </c>
      <c r="K12" s="2439"/>
      <c r="L12" s="2440"/>
      <c r="M12" s="2438" t="s">
        <v>5396</v>
      </c>
      <c r="N12" s="2462"/>
      <c r="O12" s="2438" t="s">
        <v>1307</v>
      </c>
      <c r="P12" s="2430"/>
      <c r="Q12" s="2438" t="s">
        <v>980</v>
      </c>
      <c r="R12" s="850" t="s">
        <v>973</v>
      </c>
    </row>
    <row r="13" spans="2:19" ht="17.25" customHeight="1" x14ac:dyDescent="0.25">
      <c r="B13" s="1165"/>
      <c r="C13" s="851"/>
      <c r="D13" s="1166"/>
      <c r="E13" s="851"/>
      <c r="F13" s="1165"/>
      <c r="G13" s="846"/>
      <c r="H13" s="852"/>
      <c r="I13" s="855"/>
      <c r="J13" s="1165"/>
      <c r="K13" s="853"/>
      <c r="L13" s="1168"/>
      <c r="M13" s="1165"/>
      <c r="N13" s="2463"/>
      <c r="O13" s="2659"/>
      <c r="P13" s="855"/>
      <c r="Q13" s="2658"/>
    </row>
    <row r="14" spans="2:19" ht="17.25" customHeight="1" x14ac:dyDescent="0.25">
      <c r="B14" s="1165"/>
      <c r="C14" s="851"/>
      <c r="D14" s="1166"/>
      <c r="E14" s="851"/>
      <c r="F14" s="853"/>
      <c r="G14" s="846"/>
      <c r="H14" s="852"/>
      <c r="I14" s="855"/>
      <c r="J14" s="853"/>
      <c r="K14" s="853"/>
      <c r="L14" s="1168"/>
      <c r="M14" s="853"/>
      <c r="N14" s="2463"/>
      <c r="O14" s="2659"/>
      <c r="P14" s="855"/>
      <c r="Q14" s="854"/>
    </row>
    <row r="15" spans="2:19" ht="17.25" customHeight="1" x14ac:dyDescent="0.25">
      <c r="B15" s="1165"/>
      <c r="C15" s="851"/>
      <c r="D15" s="1166"/>
      <c r="E15" s="851"/>
      <c r="F15" s="853"/>
      <c r="G15" s="846"/>
      <c r="H15" s="852"/>
      <c r="I15" s="855"/>
      <c r="J15" s="853"/>
      <c r="K15" s="853"/>
      <c r="L15" s="1168"/>
      <c r="M15" s="853"/>
      <c r="N15" s="2463"/>
      <c r="O15" s="2659"/>
      <c r="P15" s="855"/>
      <c r="Q15" s="854"/>
    </row>
    <row r="16" spans="2:19" ht="17.25" customHeight="1" x14ac:dyDescent="0.25">
      <c r="B16" s="1165"/>
      <c r="C16" s="851"/>
      <c r="D16" s="1166"/>
      <c r="E16" s="851"/>
      <c r="F16" s="853"/>
      <c r="G16" s="846"/>
      <c r="H16" s="852"/>
      <c r="I16" s="855"/>
      <c r="J16" s="853"/>
      <c r="K16" s="853"/>
      <c r="L16" s="1168"/>
      <c r="M16" s="853"/>
      <c r="N16" s="2463"/>
      <c r="O16" s="2659"/>
      <c r="P16" s="855"/>
      <c r="Q16" s="854"/>
    </row>
    <row r="17" spans="2:17" ht="17.25" customHeight="1" x14ac:dyDescent="0.25">
      <c r="B17" s="1165"/>
      <c r="C17" s="851"/>
      <c r="D17" s="1166"/>
      <c r="E17" s="851"/>
      <c r="F17" s="853"/>
      <c r="G17" s="846"/>
      <c r="H17" s="852"/>
      <c r="I17" s="855"/>
      <c r="J17" s="853"/>
      <c r="K17" s="853"/>
      <c r="L17" s="1168"/>
      <c r="M17" s="853"/>
      <c r="N17" s="2463"/>
      <c r="O17" s="2659"/>
      <c r="P17" s="855"/>
      <c r="Q17" s="854"/>
    </row>
    <row r="18" spans="2:17" ht="17.25" customHeight="1" x14ac:dyDescent="0.25">
      <c r="B18" s="1165"/>
      <c r="C18" s="1167"/>
      <c r="D18" s="1166"/>
      <c r="E18" s="851"/>
      <c r="F18" s="853"/>
      <c r="G18" s="846"/>
      <c r="H18" s="852"/>
      <c r="I18" s="855"/>
      <c r="J18" s="853"/>
      <c r="K18" s="853"/>
      <c r="L18" s="1168"/>
      <c r="M18" s="853"/>
      <c r="N18" s="2463"/>
      <c r="O18" s="2659"/>
      <c r="P18" s="855"/>
      <c r="Q18" s="854"/>
    </row>
    <row r="19" spans="2:17" ht="17.25" customHeight="1" x14ac:dyDescent="0.25">
      <c r="B19" s="1165"/>
      <c r="C19" s="1167"/>
      <c r="D19" s="1166"/>
      <c r="E19" s="851"/>
      <c r="F19" s="853"/>
      <c r="G19" s="846"/>
      <c r="H19" s="852"/>
      <c r="I19" s="855"/>
      <c r="J19" s="853"/>
      <c r="K19" s="853"/>
      <c r="L19" s="1168"/>
      <c r="M19" s="853"/>
      <c r="N19" s="2463"/>
      <c r="O19" s="2659"/>
      <c r="P19" s="855"/>
      <c r="Q19" s="854"/>
    </row>
    <row r="20" spans="2:17" ht="17.25" customHeight="1" x14ac:dyDescent="0.25">
      <c r="B20" s="1165"/>
      <c r="C20" s="1167"/>
      <c r="D20" s="1166"/>
      <c r="E20" s="851"/>
      <c r="F20" s="853"/>
      <c r="G20" s="846"/>
      <c r="H20" s="852"/>
      <c r="I20" s="855"/>
      <c r="J20" s="853"/>
      <c r="K20" s="853"/>
      <c r="L20" s="1168"/>
      <c r="M20" s="853"/>
      <c r="N20" s="2463"/>
      <c r="O20" s="2659"/>
      <c r="P20" s="855"/>
      <c r="Q20" s="854"/>
    </row>
    <row r="21" spans="2:17" ht="17.25" customHeight="1" x14ac:dyDescent="0.25">
      <c r="B21" s="1165"/>
      <c r="C21" s="851"/>
      <c r="D21" s="1166"/>
      <c r="E21" s="851"/>
      <c r="F21" s="853"/>
      <c r="G21" s="846"/>
      <c r="H21" s="852"/>
      <c r="I21" s="855"/>
      <c r="J21" s="853"/>
      <c r="K21" s="853"/>
      <c r="L21" s="1168"/>
      <c r="M21" s="853"/>
      <c r="N21" s="2463"/>
      <c r="O21" s="2659"/>
      <c r="P21" s="855"/>
      <c r="Q21" s="854"/>
    </row>
    <row r="22" spans="2:17" ht="17.25" customHeight="1" x14ac:dyDescent="0.25">
      <c r="B22" s="1165"/>
      <c r="C22" s="851"/>
      <c r="D22" s="1166"/>
      <c r="E22" s="851"/>
      <c r="F22" s="853"/>
      <c r="G22" s="846"/>
      <c r="H22" s="852"/>
      <c r="I22" s="855"/>
      <c r="J22" s="853"/>
      <c r="K22" s="853"/>
      <c r="L22" s="1168"/>
      <c r="M22" s="853"/>
      <c r="N22" s="2463"/>
      <c r="O22" s="2659"/>
      <c r="P22" s="855"/>
      <c r="Q22" s="854"/>
    </row>
    <row r="23" spans="2:17" ht="17.25" customHeight="1" x14ac:dyDescent="0.25">
      <c r="B23" s="1165"/>
      <c r="C23" s="851"/>
      <c r="D23" s="1166"/>
      <c r="E23" s="851"/>
      <c r="F23" s="853"/>
      <c r="G23" s="846"/>
      <c r="H23" s="852"/>
      <c r="I23" s="855"/>
      <c r="J23" s="853"/>
      <c r="K23" s="853"/>
      <c r="L23" s="1168"/>
      <c r="M23" s="853"/>
      <c r="N23" s="2463"/>
      <c r="O23" s="2659"/>
      <c r="P23" s="855"/>
      <c r="Q23" s="854"/>
    </row>
    <row r="24" spans="2:17" ht="17.25" customHeight="1" x14ac:dyDescent="0.25">
      <c r="B24" s="1165"/>
      <c r="C24" s="851"/>
      <c r="D24" s="1166"/>
      <c r="E24" s="851"/>
      <c r="F24" s="853"/>
      <c r="G24" s="846"/>
      <c r="H24" s="852"/>
      <c r="I24" s="855"/>
      <c r="J24" s="853"/>
      <c r="K24" s="853"/>
      <c r="L24" s="1168"/>
      <c r="M24" s="853"/>
      <c r="N24" s="2463"/>
      <c r="O24" s="2659"/>
      <c r="P24" s="855"/>
      <c r="Q24" s="854"/>
    </row>
    <row r="25" spans="2:17" ht="17.25" customHeight="1" x14ac:dyDescent="0.25">
      <c r="B25" s="1165"/>
      <c r="C25" s="851"/>
      <c r="D25" s="1166"/>
      <c r="E25" s="851"/>
      <c r="F25" s="853"/>
      <c r="G25" s="846"/>
      <c r="H25" s="852"/>
      <c r="I25" s="855"/>
      <c r="J25" s="853"/>
      <c r="K25" s="853"/>
      <c r="L25" s="1168"/>
      <c r="M25" s="853"/>
      <c r="N25" s="2463"/>
      <c r="O25" s="2659"/>
      <c r="P25" s="855"/>
      <c r="Q25" s="854"/>
    </row>
    <row r="26" spans="2:17" ht="17.25" customHeight="1" x14ac:dyDescent="0.25">
      <c r="B26" s="1165"/>
      <c r="C26" s="851"/>
      <c r="D26" s="1166"/>
      <c r="E26" s="851"/>
      <c r="F26" s="853"/>
      <c r="G26" s="846"/>
      <c r="H26" s="852"/>
      <c r="I26" s="855"/>
      <c r="J26" s="853"/>
      <c r="K26" s="853"/>
      <c r="L26" s="1168"/>
      <c r="M26" s="853"/>
      <c r="N26" s="2463"/>
      <c r="O26" s="2659"/>
      <c r="P26" s="855"/>
      <c r="Q26" s="854"/>
    </row>
    <row r="27" spans="2:17" ht="17.25" customHeight="1" x14ac:dyDescent="0.25">
      <c r="B27" s="1165"/>
      <c r="C27" s="851"/>
      <c r="D27" s="1166"/>
      <c r="E27" s="851"/>
      <c r="F27" s="853"/>
      <c r="G27" s="846"/>
      <c r="H27" s="852"/>
      <c r="I27" s="855"/>
      <c r="J27" s="853"/>
      <c r="K27" s="853"/>
      <c r="L27" s="1168"/>
      <c r="M27" s="853"/>
      <c r="N27" s="2463"/>
      <c r="O27" s="2659"/>
      <c r="P27" s="855"/>
      <c r="Q27" s="854"/>
    </row>
    <row r="28" spans="2:17" ht="17.25" customHeight="1" x14ac:dyDescent="0.25">
      <c r="B28" s="1165"/>
      <c r="C28" s="851"/>
      <c r="D28" s="1166"/>
      <c r="E28" s="851"/>
      <c r="F28" s="853"/>
      <c r="G28" s="846"/>
      <c r="H28" s="852"/>
      <c r="I28" s="855"/>
      <c r="J28" s="853"/>
      <c r="K28" s="853"/>
      <c r="L28" s="1168"/>
      <c r="M28" s="853"/>
      <c r="N28" s="2463"/>
      <c r="O28" s="2659"/>
      <c r="P28" s="855"/>
      <c r="Q28" s="854"/>
    </row>
    <row r="29" spans="2:17" ht="17.25" customHeight="1" x14ac:dyDescent="0.25">
      <c r="B29" s="1165"/>
      <c r="C29" s="851"/>
      <c r="D29" s="1166"/>
      <c r="E29" s="851"/>
      <c r="F29" s="853"/>
      <c r="G29" s="846"/>
      <c r="H29" s="852"/>
      <c r="I29" s="855"/>
      <c r="J29" s="853"/>
      <c r="K29" s="853"/>
      <c r="L29" s="1168"/>
      <c r="M29" s="853"/>
      <c r="N29" s="2463"/>
      <c r="O29" s="2659"/>
      <c r="P29" s="855"/>
      <c r="Q29" s="854"/>
    </row>
    <row r="30" spans="2:17" ht="17.25" customHeight="1" thickBot="1" x14ac:dyDescent="0.3">
      <c r="B30" s="2429"/>
      <c r="C30" s="2429"/>
      <c r="D30" s="2426"/>
      <c r="E30" s="2430"/>
      <c r="F30" s="2430" t="s">
        <v>1292</v>
      </c>
      <c r="G30" s="2426">
        <v>132</v>
      </c>
      <c r="H30" s="2427">
        <f>SUM(H13:H29)</f>
        <v>0</v>
      </c>
      <c r="I30" s="855"/>
      <c r="J30" s="551" t="s">
        <v>5388</v>
      </c>
      <c r="K30" s="855"/>
      <c r="L30" s="851"/>
      <c r="M30" s="855"/>
      <c r="N30" s="855"/>
      <c r="O30" s="855"/>
      <c r="P30" s="855"/>
      <c r="Q30" s="855"/>
    </row>
    <row r="31" spans="2:17" ht="18" customHeight="1" x14ac:dyDescent="0.25">
      <c r="B31" s="2428" t="s">
        <v>771</v>
      </c>
      <c r="C31" s="2429"/>
      <c r="D31" s="2426"/>
      <c r="E31" s="2426"/>
      <c r="F31" s="2426"/>
      <c r="G31" s="2430"/>
      <c r="H31" s="2426"/>
      <c r="I31" s="2426"/>
      <c r="J31" s="2426"/>
      <c r="K31" s="2426"/>
      <c r="L31" s="2426"/>
      <c r="M31" s="2426"/>
      <c r="N31" s="2426"/>
      <c r="O31" s="2426"/>
      <c r="P31" s="846"/>
      <c r="Q31" s="856"/>
    </row>
    <row r="32" spans="2:17" ht="26.1" customHeight="1" x14ac:dyDescent="0.25"/>
    <row r="33" spans="1:18" ht="26.1" customHeight="1" x14ac:dyDescent="0.25">
      <c r="A33" s="443">
        <v>505</v>
      </c>
      <c r="B33" s="443" t="s">
        <v>449</v>
      </c>
    </row>
    <row r="34" spans="1:18" ht="20.85" customHeight="1" x14ac:dyDescent="0.25">
      <c r="A34" s="443" t="s">
        <v>446</v>
      </c>
      <c r="B34" s="443" t="str">
        <f t="shared" ref="B34:B43" ca="1" si="0">IF(ISNA(INDEX(ErrorTable,MATCH($A$33&amp;$A34&amp;FALSE,ErrorKey,0),6)),"",INDEX(ErrorTable,MATCH($A$33&amp;$A34&amp;FALSE,ErrorKey,0),6))</f>
        <v>GASB number is blank.</v>
      </c>
    </row>
    <row r="35" spans="1:18" ht="20.85" customHeight="1" x14ac:dyDescent="0.25">
      <c r="A35" s="443" t="s">
        <v>447</v>
      </c>
      <c r="B35" s="443" t="str">
        <f t="shared" ca="1" si="0"/>
        <v/>
      </c>
    </row>
    <row r="36" spans="1:18" ht="20.85" customHeight="1" x14ac:dyDescent="0.25">
      <c r="A36" s="443" t="s">
        <v>448</v>
      </c>
      <c r="B36" s="443" t="str">
        <f t="shared" ca="1" si="0"/>
        <v/>
      </c>
    </row>
    <row r="37" spans="1:18" ht="20.85" customHeight="1" x14ac:dyDescent="0.25">
      <c r="A37" s="443" t="s">
        <v>450</v>
      </c>
      <c r="B37" s="443" t="str">
        <f t="shared" ca="1" si="0"/>
        <v/>
      </c>
    </row>
    <row r="38" spans="1:18" ht="20.85" customHeight="1" x14ac:dyDescent="0.25">
      <c r="A38" s="443" t="s">
        <v>451</v>
      </c>
      <c r="B38" s="443" t="str">
        <f t="shared" ca="1" si="0"/>
        <v/>
      </c>
    </row>
    <row r="39" spans="1:18" ht="20.85" customHeight="1" x14ac:dyDescent="0.25">
      <c r="A39" s="443" t="s">
        <v>452</v>
      </c>
      <c r="B39" s="443" t="str">
        <f t="shared" ca="1" si="0"/>
        <v/>
      </c>
    </row>
    <row r="40" spans="1:18" ht="20.85" customHeight="1" x14ac:dyDescent="0.25">
      <c r="A40" s="443" t="s">
        <v>453</v>
      </c>
      <c r="B40" s="443" t="str">
        <f t="shared" ca="1" si="0"/>
        <v/>
      </c>
      <c r="D40" s="857" t="s">
        <v>973</v>
      </c>
      <c r="E40" s="857"/>
      <c r="F40" s="857"/>
      <c r="G40" s="857"/>
      <c r="H40" s="857"/>
      <c r="I40" s="857"/>
      <c r="J40" s="857"/>
      <c r="K40" s="857" t="s">
        <v>973</v>
      </c>
    </row>
    <row r="41" spans="1:18" ht="20.85" customHeight="1" x14ac:dyDescent="0.25">
      <c r="A41" s="443" t="s">
        <v>454</v>
      </c>
      <c r="B41" s="443" t="str">
        <f t="shared" ca="1" si="0"/>
        <v/>
      </c>
      <c r="D41" s="857" t="s">
        <v>973</v>
      </c>
      <c r="E41" s="857"/>
      <c r="K41" s="857" t="s">
        <v>973</v>
      </c>
      <c r="L41" s="850"/>
      <c r="R41" s="857" t="s">
        <v>973</v>
      </c>
    </row>
    <row r="42" spans="1:18" ht="20.85" customHeight="1" x14ac:dyDescent="0.25">
      <c r="A42" s="443" t="s">
        <v>455</v>
      </c>
      <c r="B42" s="443" t="str">
        <f t="shared" ca="1" si="0"/>
        <v/>
      </c>
    </row>
    <row r="43" spans="1:18" ht="20.85" customHeight="1" x14ac:dyDescent="0.25">
      <c r="A43" s="443" t="s">
        <v>456</v>
      </c>
      <c r="B43" s="443" t="str">
        <f t="shared" ca="1" si="0"/>
        <v/>
      </c>
    </row>
    <row r="44" spans="1:18" ht="20.85" customHeight="1" x14ac:dyDescent="0.25"/>
    <row r="45" spans="1:18" ht="20.85" customHeight="1" x14ac:dyDescent="0.25"/>
    <row r="46" spans="1:18" ht="20.85" customHeight="1" x14ac:dyDescent="0.25"/>
    <row r="47" spans="1:18" ht="20.85" customHeight="1" x14ac:dyDescent="0.25"/>
    <row r="48" spans="1:18" ht="20.85" customHeight="1" x14ac:dyDescent="0.25">
      <c r="D48" s="845" t="s">
        <v>973</v>
      </c>
    </row>
    <row r="49" spans="4:18" ht="20.85" customHeight="1" x14ac:dyDescent="0.25"/>
    <row r="50" spans="4:18" ht="20.85" customHeight="1" x14ac:dyDescent="0.25"/>
    <row r="51" spans="4:18" ht="20.85" customHeight="1" x14ac:dyDescent="0.25">
      <c r="D51" s="857" t="s">
        <v>973</v>
      </c>
      <c r="E51" s="857"/>
      <c r="K51" s="857" t="s">
        <v>973</v>
      </c>
      <c r="L51" s="850"/>
      <c r="R51" s="857" t="s">
        <v>973</v>
      </c>
    </row>
  </sheetData>
  <sheetProtection algorithmName="SHA-512" hashValue="kV/pbUMXo0m2+0sjjiDN9zz721KxJXgnELOjivo5u3oTV15wKIpxpcBED3gr9WCxAQ7ZbMIOt7gPuLVJuDff9Q==" saltValue="EwpzENY08azYa4SPUOYJ7A==" spinCount="100000" sheet="1" objects="1" scenarios="1" autoFilter="0"/>
  <dataConsolidate link="1"/>
  <customSheetViews>
    <customSheetView guid="{B08879A4-635B-4C39-9937-AC7883D562FC}" showGridLines="0" fitToPage="1">
      <selection sqref="A1:N1"/>
      <pageMargins left="0.5" right="0.5" top="0.75" bottom="0.5" header="0.5" footer="0.5"/>
      <pageSetup scale="85" orientation="landscape" blackAndWhite="1" r:id="rId1"/>
      <headerFooter alignWithMargins="0">
        <oddFooter>&amp;R&amp;"Arial,Regular"&amp;A</oddFooter>
      </headerFooter>
    </customSheetView>
    <customSheetView guid="{9FCFC836-1CA5-48BF-958D-24D2EA94B219}" showGridLines="0" fitToPage="1">
      <selection sqref="A1:N1"/>
      <pageMargins left="0.5" right="0.5" top="0.75" bottom="0.5" header="0.5" footer="0.5"/>
      <pageSetup scale="85" orientation="landscape" blackAndWhite="1" r:id="rId2"/>
      <headerFooter alignWithMargins="0">
        <oddFooter>&amp;R&amp;"Arial,Regular"&amp;A</oddFooter>
      </headerFooter>
    </customSheetView>
  </customSheetViews>
  <mergeCells count="12">
    <mergeCell ref="J10:O10"/>
    <mergeCell ref="B4:Q4"/>
    <mergeCell ref="J9:M9"/>
    <mergeCell ref="S1:S3"/>
    <mergeCell ref="R1:R3"/>
    <mergeCell ref="B3:Q3"/>
    <mergeCell ref="B1:Q1"/>
    <mergeCell ref="B2:Q2"/>
    <mergeCell ref="D6:G6"/>
    <mergeCell ref="L6:P6"/>
    <mergeCell ref="D7:H7"/>
    <mergeCell ref="L7:P7"/>
  </mergeCells>
  <conditionalFormatting sqref="C18:C20 R1:S3">
    <cfRule type="cellIs" dxfId="69" priority="7" stopIfTrue="1" operator="equal">
      <formula>"na"</formula>
    </cfRule>
  </conditionalFormatting>
  <dataValidations count="2">
    <dataValidation type="textLength" operator="equal" allowBlank="1" showInputMessage="1" showErrorMessage="1" errorTitle="Invalid data!" error="GASB number must be 4 digits." sqref="D8" xr:uid="{00000000-0002-0000-2700-000000000000}">
      <formula1>4</formula1>
    </dataValidation>
    <dataValidation type="list" allowBlank="1" showInputMessage="1" showErrorMessage="1" sqref="D13:D29" xr:uid="{00000000-0002-0000-2700-000001000000}">
      <formula1>List505thru520</formula1>
    </dataValidation>
  </dataValidations>
  <hyperlinks>
    <hyperlink ref="B1:Q1" location="Index!A1" display="Index!A1" xr:uid="{00000000-0004-0000-2700-000000000000}"/>
  </hyperlinks>
  <pageMargins left="0.5" right="0.5" top="0.75" bottom="0.5" header="0.5" footer="0.5"/>
  <pageSetup scale="85" orientation="landscape" blackAndWhite="1" r:id="rId3"/>
  <headerFooter alignWithMargins="0">
    <oddFooter>&amp;R&amp;"Arial,Regular"&amp;A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Q54"/>
  <sheetViews>
    <sheetView showGridLines="0" topLeftCell="B1" zoomScaleNormal="100" workbookViewId="0">
      <selection activeCell="U22" sqref="U22"/>
    </sheetView>
  </sheetViews>
  <sheetFormatPr defaultColWidth="9.42578125" defaultRowHeight="15.75" x14ac:dyDescent="0.25"/>
  <cols>
    <col min="1" max="1" width="9.42578125" style="53" hidden="1" customWidth="1"/>
    <col min="2" max="2" width="13.5703125" style="53" customWidth="1"/>
    <col min="3" max="3" width="1.5703125" style="53" customWidth="1"/>
    <col min="4" max="4" width="7" style="53" customWidth="1"/>
    <col min="5" max="5" width="1.5703125" style="53" customWidth="1"/>
    <col min="6" max="6" width="7.85546875" style="53" customWidth="1"/>
    <col min="7" max="7" width="1.5703125" style="53" customWidth="1"/>
    <col min="8" max="8" width="20" style="53" customWidth="1"/>
    <col min="9" max="9" width="1.140625" style="53" customWidth="1"/>
    <col min="10" max="10" width="15.42578125" style="53" customWidth="1"/>
    <col min="11" max="11" width="1.42578125" style="53" customWidth="1"/>
    <col min="12" max="12" width="13.42578125" style="53" customWidth="1"/>
    <col min="13" max="13" width="1.140625" style="53" customWidth="1"/>
    <col min="14" max="14" width="13.42578125" style="53" customWidth="1"/>
    <col min="15" max="15" width="1" style="53" customWidth="1"/>
    <col min="16" max="16" width="34.5703125" style="53" customWidth="1"/>
    <col min="17" max="17" width="4.5703125" style="53" bestFit="1" customWidth="1"/>
    <col min="18" max="16384" width="9.42578125" style="53"/>
  </cols>
  <sheetData>
    <row r="1" spans="2:17"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3075" t="str">
        <f>IF(Index!$B$65="na","NA","")</f>
        <v/>
      </c>
    </row>
    <row r="2" spans="2:17"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3075"/>
    </row>
    <row r="3" spans="2:17" s="171" customFormat="1" ht="15" customHeight="1" x14ac:dyDescent="0.25">
      <c r="B3" s="3080" t="s">
        <v>3563</v>
      </c>
      <c r="C3" s="3080"/>
      <c r="D3" s="3080"/>
      <c r="E3" s="3080"/>
      <c r="F3" s="3080"/>
      <c r="G3" s="3080"/>
      <c r="H3" s="3080"/>
      <c r="I3" s="3080"/>
      <c r="J3" s="3080"/>
      <c r="K3" s="3080"/>
      <c r="L3" s="3080"/>
      <c r="M3" s="3080"/>
      <c r="N3" s="3080"/>
      <c r="O3" s="3080"/>
      <c r="P3" s="3080"/>
      <c r="Q3" s="3075"/>
    </row>
    <row r="4" spans="2:17" s="171" customFormat="1" ht="15" customHeight="1" x14ac:dyDescent="0.25">
      <c r="B4" s="3080" t="s">
        <v>4811</v>
      </c>
      <c r="C4" s="3080"/>
      <c r="D4" s="3080"/>
      <c r="E4" s="3080"/>
      <c r="F4" s="3080"/>
      <c r="G4" s="3080"/>
      <c r="H4" s="3080"/>
      <c r="I4" s="3080"/>
      <c r="J4" s="3080"/>
      <c r="K4" s="3080"/>
      <c r="L4" s="3080"/>
      <c r="M4" s="3080"/>
      <c r="N4" s="3080"/>
      <c r="O4" s="3080"/>
      <c r="P4" s="3080"/>
    </row>
    <row r="5" spans="2:17" s="173" customFormat="1" ht="15" customHeight="1" x14ac:dyDescent="0.2">
      <c r="B5" s="179"/>
      <c r="C5" s="180"/>
      <c r="D5" s="180"/>
      <c r="E5" s="180"/>
      <c r="F5" s="180"/>
      <c r="G5" s="180"/>
      <c r="H5" s="180"/>
      <c r="I5" s="180"/>
      <c r="J5" s="180"/>
      <c r="K5" s="179"/>
      <c r="L5" s="760" t="s">
        <v>1838</v>
      </c>
      <c r="M5" s="760"/>
      <c r="N5" s="760"/>
      <c r="O5" s="180"/>
      <c r="P5" s="180"/>
    </row>
    <row r="6" spans="2:17" s="173" customFormat="1" ht="15" customHeight="1" x14ac:dyDescent="0.2">
      <c r="B6" s="172" t="s">
        <v>327</v>
      </c>
      <c r="D6" s="3076" t="str">
        <f>+Index!$E$10</f>
        <v>01</v>
      </c>
      <c r="E6" s="3076"/>
      <c r="F6" s="3076"/>
      <c r="G6" s="3076"/>
      <c r="H6" s="157"/>
      <c r="O6" s="174" t="s">
        <v>972</v>
      </c>
      <c r="P6" s="773" t="str">
        <f>CONCATENATE(Index!$E$12," ",Index!$E$14)</f>
        <v xml:space="preserve"> </v>
      </c>
    </row>
    <row r="7" spans="2:17" s="173" customFormat="1" ht="15" customHeight="1" x14ac:dyDescent="0.2">
      <c r="B7" s="172" t="s">
        <v>1154</v>
      </c>
      <c r="D7" s="3076" t="str">
        <f>+Index!$E$11</f>
        <v>North Carolina General Assembly</v>
      </c>
      <c r="E7" s="3076"/>
      <c r="F7" s="3076"/>
      <c r="G7" s="3076"/>
      <c r="H7" s="307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77" t="s">
        <v>1064</v>
      </c>
      <c r="D10" s="158" t="s">
        <v>982</v>
      </c>
      <c r="E10" s="156"/>
      <c r="F10" s="158" t="s">
        <v>982</v>
      </c>
      <c r="I10" s="179"/>
      <c r="J10" s="3079" t="s">
        <v>156</v>
      </c>
      <c r="K10" s="3079"/>
      <c r="L10" s="3079"/>
      <c r="M10" s="3079"/>
      <c r="N10" s="3079"/>
      <c r="O10" s="159"/>
    </row>
    <row r="11" spans="2:17" s="173" customFormat="1" ht="15" customHeight="1" x14ac:dyDescent="0.2">
      <c r="B11" s="177" t="s">
        <v>684</v>
      </c>
      <c r="D11" s="158" t="s">
        <v>722</v>
      </c>
      <c r="E11" s="156"/>
      <c r="F11" s="158" t="s">
        <v>1157</v>
      </c>
      <c r="I11" s="179"/>
      <c r="J11" s="156"/>
      <c r="K11" s="156"/>
      <c r="L11" s="2436" t="s">
        <v>5395</v>
      </c>
      <c r="M11" s="158"/>
      <c r="N11" s="2436" t="s">
        <v>5394</v>
      </c>
      <c r="O11" s="156"/>
    </row>
    <row r="12" spans="2:17" s="173" customFormat="1" ht="15" customHeight="1" thickBot="1" x14ac:dyDescent="0.25">
      <c r="B12" s="239" t="s">
        <v>1092</v>
      </c>
      <c r="C12" s="177"/>
      <c r="D12" s="160" t="s">
        <v>808</v>
      </c>
      <c r="E12" s="156"/>
      <c r="F12" s="160" t="s">
        <v>808</v>
      </c>
      <c r="H12" s="181" t="s">
        <v>1156</v>
      </c>
      <c r="J12" s="160" t="s">
        <v>1097</v>
      </c>
      <c r="K12" s="162"/>
      <c r="L12" s="2438" t="s">
        <v>5396</v>
      </c>
      <c r="M12" s="2464"/>
      <c r="N12" s="2438" t="s">
        <v>1307</v>
      </c>
      <c r="O12" s="162"/>
      <c r="P12" s="181" t="s">
        <v>980</v>
      </c>
    </row>
    <row r="13" spans="2:17" s="173" customFormat="1" ht="15" customHeight="1" x14ac:dyDescent="0.2">
      <c r="B13" s="561"/>
      <c r="C13" s="242"/>
      <c r="D13" s="554"/>
      <c r="E13" s="161"/>
      <c r="F13" s="554"/>
      <c r="G13" s="242"/>
      <c r="H13" s="556"/>
      <c r="I13" s="1849"/>
      <c r="J13" s="1851"/>
      <c r="K13" s="1850"/>
      <c r="L13" s="558"/>
      <c r="M13" s="2465"/>
      <c r="N13" s="2660"/>
      <c r="O13" s="1850"/>
      <c r="P13" s="557"/>
    </row>
    <row r="14" spans="2:17" s="173" customFormat="1" ht="15" customHeight="1" x14ac:dyDescent="0.2">
      <c r="B14" s="561"/>
      <c r="C14" s="242"/>
      <c r="D14" s="554"/>
      <c r="E14" s="161"/>
      <c r="F14" s="554"/>
      <c r="G14" s="242"/>
      <c r="H14" s="556"/>
      <c r="I14" s="1849"/>
      <c r="J14" s="557"/>
      <c r="K14" s="1850"/>
      <c r="L14" s="558"/>
      <c r="M14" s="2465"/>
      <c r="N14" s="2660"/>
      <c r="O14" s="1850"/>
      <c r="P14" s="1851"/>
    </row>
    <row r="15" spans="2:17" s="173" customFormat="1" ht="15" customHeight="1" x14ac:dyDescent="0.2">
      <c r="B15" s="561"/>
      <c r="C15" s="242"/>
      <c r="D15" s="554"/>
      <c r="E15" s="161"/>
      <c r="F15" s="554"/>
      <c r="G15" s="242"/>
      <c r="H15" s="556"/>
      <c r="I15" s="1849"/>
      <c r="J15" s="557"/>
      <c r="K15" s="1850"/>
      <c r="L15" s="558"/>
      <c r="M15" s="2465"/>
      <c r="N15" s="2661"/>
      <c r="O15" s="1850"/>
      <c r="P15" s="1851"/>
    </row>
    <row r="16" spans="2:17" s="173" customFormat="1" ht="15" customHeight="1" x14ac:dyDescent="0.2">
      <c r="B16" s="1474"/>
      <c r="C16" s="242"/>
      <c r="D16" s="554"/>
      <c r="E16" s="161"/>
      <c r="F16" s="554"/>
      <c r="G16" s="242"/>
      <c r="H16" s="556"/>
      <c r="J16" s="557"/>
      <c r="K16" s="156"/>
      <c r="L16" s="558"/>
      <c r="M16" s="2465"/>
      <c r="N16" s="2660"/>
      <c r="O16" s="156"/>
      <c r="P16" s="557"/>
    </row>
    <row r="17" spans="2:16" s="173" customFormat="1" ht="15" customHeight="1" x14ac:dyDescent="0.2">
      <c r="B17" s="1475"/>
      <c r="C17" s="555"/>
      <c r="D17" s="554"/>
      <c r="E17" s="161"/>
      <c r="F17" s="554"/>
      <c r="G17" s="161"/>
      <c r="H17" s="556"/>
      <c r="J17" s="560"/>
      <c r="L17" s="563"/>
      <c r="M17" s="2466"/>
      <c r="N17" s="2660"/>
      <c r="P17" s="560"/>
    </row>
    <row r="18" spans="2:16" s="173" customFormat="1" ht="15" customHeight="1" x14ac:dyDescent="0.2">
      <c r="B18" s="1474"/>
      <c r="C18" s="555"/>
      <c r="D18" s="554"/>
      <c r="E18" s="161"/>
      <c r="F18" s="554"/>
      <c r="G18" s="161"/>
      <c r="H18" s="556"/>
      <c r="J18" s="560"/>
      <c r="L18" s="563"/>
      <c r="M18" s="2466"/>
      <c r="N18" s="2660"/>
      <c r="P18" s="560"/>
    </row>
    <row r="19" spans="2:16" s="173" customFormat="1" ht="15" customHeight="1" x14ac:dyDescent="0.2">
      <c r="B19" s="1475"/>
      <c r="C19" s="555"/>
      <c r="D19" s="554"/>
      <c r="E19" s="161"/>
      <c r="F19" s="554"/>
      <c r="G19" s="161"/>
      <c r="H19" s="556"/>
      <c r="J19" s="560"/>
      <c r="L19" s="563"/>
      <c r="M19" s="2466"/>
      <c r="N19" s="2660"/>
      <c r="P19" s="560"/>
    </row>
    <row r="20" spans="2:16" s="173" customFormat="1" ht="15" customHeight="1" x14ac:dyDescent="0.2">
      <c r="B20" s="1474"/>
      <c r="C20" s="555"/>
      <c r="D20" s="554"/>
      <c r="E20" s="161"/>
      <c r="F20" s="554"/>
      <c r="G20" s="161"/>
      <c r="H20" s="556"/>
      <c r="J20" s="560"/>
      <c r="L20" s="563"/>
      <c r="M20" s="2466"/>
      <c r="N20" s="2660"/>
      <c r="P20" s="560"/>
    </row>
    <row r="21" spans="2:16" s="173" customFormat="1" ht="15" customHeight="1" x14ac:dyDescent="0.2">
      <c r="B21" s="1475"/>
      <c r="C21" s="555"/>
      <c r="D21" s="554"/>
      <c r="E21" s="161"/>
      <c r="F21" s="554"/>
      <c r="G21" s="161"/>
      <c r="H21" s="556"/>
      <c r="J21" s="560"/>
      <c r="L21" s="563"/>
      <c r="M21" s="2466"/>
      <c r="N21" s="2660"/>
      <c r="P21" s="560"/>
    </row>
    <row r="22" spans="2:16" s="173" customFormat="1" ht="15" customHeight="1" x14ac:dyDescent="0.2">
      <c r="B22" s="1474"/>
      <c r="C22" s="555"/>
      <c r="D22" s="554"/>
      <c r="E22" s="161"/>
      <c r="F22" s="554"/>
      <c r="G22" s="161"/>
      <c r="H22" s="556"/>
      <c r="J22" s="560"/>
      <c r="L22" s="563"/>
      <c r="M22" s="2466"/>
      <c r="N22" s="2660"/>
      <c r="P22" s="560"/>
    </row>
    <row r="23" spans="2:16" s="173" customFormat="1" ht="15" customHeight="1" x14ac:dyDescent="0.2">
      <c r="B23" s="1475"/>
      <c r="C23" s="555"/>
      <c r="D23" s="554"/>
      <c r="E23" s="161"/>
      <c r="F23" s="554"/>
      <c r="G23" s="161"/>
      <c r="H23" s="556"/>
      <c r="J23" s="560"/>
      <c r="L23" s="563"/>
      <c r="M23" s="2466"/>
      <c r="N23" s="2660"/>
      <c r="P23" s="560"/>
    </row>
    <row r="24" spans="2:16" s="173" customFormat="1" ht="15" customHeight="1" x14ac:dyDescent="0.2">
      <c r="B24" s="1474"/>
      <c r="C24" s="555"/>
      <c r="D24" s="554"/>
      <c r="E24" s="161"/>
      <c r="F24" s="554"/>
      <c r="G24" s="161"/>
      <c r="H24" s="556"/>
      <c r="J24" s="560"/>
      <c r="L24" s="563"/>
      <c r="M24" s="2466"/>
      <c r="N24" s="2660"/>
      <c r="P24" s="560"/>
    </row>
    <row r="25" spans="2:16" s="173" customFormat="1" ht="15" customHeight="1" x14ac:dyDescent="0.2">
      <c r="B25" s="1475"/>
      <c r="C25" s="555"/>
      <c r="D25" s="554"/>
      <c r="E25" s="161"/>
      <c r="F25" s="554"/>
      <c r="G25" s="161"/>
      <c r="H25" s="556"/>
      <c r="J25" s="560"/>
      <c r="L25" s="563"/>
      <c r="M25" s="2466"/>
      <c r="N25" s="2660"/>
      <c r="P25" s="560"/>
    </row>
    <row r="26" spans="2:16" s="173" customFormat="1" ht="15" customHeight="1" x14ac:dyDescent="0.2">
      <c r="B26" s="1474"/>
      <c r="C26" s="555"/>
      <c r="D26" s="554"/>
      <c r="E26" s="161"/>
      <c r="F26" s="554"/>
      <c r="G26" s="161"/>
      <c r="H26" s="556"/>
      <c r="J26" s="560"/>
      <c r="L26" s="563"/>
      <c r="M26" s="2466"/>
      <c r="N26" s="2660"/>
      <c r="P26" s="560"/>
    </row>
    <row r="27" spans="2:16" s="173" customFormat="1" ht="15" customHeight="1" x14ac:dyDescent="0.2">
      <c r="B27" s="1475"/>
      <c r="C27" s="555"/>
      <c r="D27" s="554"/>
      <c r="E27" s="161"/>
      <c r="F27" s="554"/>
      <c r="G27" s="161"/>
      <c r="H27" s="556"/>
      <c r="J27" s="560"/>
      <c r="L27" s="563"/>
      <c r="M27" s="2466"/>
      <c r="N27" s="2660"/>
      <c r="P27" s="560"/>
    </row>
    <row r="28" spans="2:16" s="173" customFormat="1" ht="15" customHeight="1" x14ac:dyDescent="0.2">
      <c r="B28" s="1474"/>
      <c r="C28" s="555"/>
      <c r="D28" s="554"/>
      <c r="E28" s="161"/>
      <c r="F28" s="554"/>
      <c r="G28" s="161"/>
      <c r="H28" s="556"/>
      <c r="J28" s="560"/>
      <c r="L28" s="563"/>
      <c r="M28" s="2466"/>
      <c r="N28" s="2660"/>
      <c r="P28" s="560"/>
    </row>
    <row r="29" spans="2:16" s="173" customFormat="1" ht="15" customHeight="1" x14ac:dyDescent="0.2">
      <c r="B29" s="1475"/>
      <c r="C29" s="555"/>
      <c r="D29" s="554"/>
      <c r="E29" s="161"/>
      <c r="F29" s="554"/>
      <c r="G29" s="161"/>
      <c r="H29" s="556"/>
      <c r="J29" s="560"/>
      <c r="L29" s="563"/>
      <c r="M29" s="2466"/>
      <c r="N29" s="2660"/>
      <c r="P29" s="560"/>
    </row>
    <row r="30" spans="2:16" s="173" customFormat="1" ht="15" customHeight="1" x14ac:dyDescent="0.2">
      <c r="B30" s="1474"/>
      <c r="C30" s="555"/>
      <c r="D30" s="554"/>
      <c r="E30" s="161"/>
      <c r="F30" s="554"/>
      <c r="G30" s="161"/>
      <c r="H30" s="556"/>
      <c r="J30" s="560"/>
      <c r="L30" s="563"/>
      <c r="M30" s="2466"/>
      <c r="N30" s="2660"/>
      <c r="P30" s="560"/>
    </row>
    <row r="31" spans="2:16" s="173" customFormat="1" ht="15" customHeight="1" thickBot="1" x14ac:dyDescent="0.25">
      <c r="E31" s="177"/>
      <c r="F31" s="177" t="s">
        <v>981</v>
      </c>
      <c r="G31" s="177"/>
      <c r="H31" s="178">
        <f>SUM(H13:H30)</f>
        <v>0</v>
      </c>
      <c r="J31" s="245" t="s">
        <v>5388</v>
      </c>
    </row>
    <row r="32" spans="2:16" s="173" customFormat="1" ht="7.35" customHeight="1" x14ac:dyDescent="0.2">
      <c r="E32" s="177"/>
      <c r="G32" s="177"/>
      <c r="O32" s="177"/>
    </row>
    <row r="33" spans="1:15" s="173" customFormat="1" ht="15" customHeight="1" x14ac:dyDescent="0.2">
      <c r="B33" s="245" t="s">
        <v>771</v>
      </c>
      <c r="E33" s="177"/>
      <c r="G33" s="177"/>
      <c r="O33" s="177"/>
    </row>
    <row r="34" spans="1:15" s="173" customFormat="1" ht="15" customHeight="1" x14ac:dyDescent="0.2">
      <c r="E34" s="177"/>
      <c r="G34" s="177"/>
      <c r="O34" s="177"/>
    </row>
    <row r="35" spans="1:15" s="173" customFormat="1" ht="15" customHeight="1" x14ac:dyDescent="0.2">
      <c r="E35" s="177"/>
      <c r="G35" s="177"/>
      <c r="O35" s="177"/>
    </row>
    <row r="36" spans="1:15" s="173" customFormat="1" ht="15" customHeight="1" x14ac:dyDescent="0.2">
      <c r="E36" s="177"/>
      <c r="G36" s="177"/>
      <c r="O36" s="177"/>
    </row>
    <row r="37" spans="1:15" s="173" customFormat="1" ht="15" customHeight="1" x14ac:dyDescent="0.2">
      <c r="A37" s="443" t="str">
        <f ca="1">MID(CELL("filename",A1),FIND("]",CELL("filename",A1))+1,256)</f>
        <v>510</v>
      </c>
      <c r="B37" s="443" t="s">
        <v>449</v>
      </c>
      <c r="E37" s="177"/>
      <c r="G37" s="177"/>
      <c r="O37" s="177"/>
    </row>
    <row r="38" spans="1:15" s="173" customFormat="1" ht="15" customHeight="1" x14ac:dyDescent="0.2">
      <c r="A38" s="443" t="s">
        <v>446</v>
      </c>
      <c r="B38" s="443" t="str">
        <f ca="1">IF(ISNA(INDEX(ErrorTable,MATCH($A$37&amp;$A38&amp;FALSE,ErrorKey,0),6)),"",INDEX(ErrorTable,MATCH($A$37&amp;$A38&amp;FALSE,ErrorKey,0),6))</f>
        <v>GASB number is blank.</v>
      </c>
      <c r="E38" s="177"/>
      <c r="G38" s="177"/>
      <c r="O38" s="177"/>
    </row>
    <row r="39" spans="1:15" ht="20.85" customHeight="1" x14ac:dyDescent="0.25">
      <c r="A39" s="443" t="s">
        <v>447</v>
      </c>
      <c r="B39" s="443" t="str">
        <f t="shared" ref="B39:B47" ca="1" si="0">IF(ISNA(INDEX(ErrorTable,MATCH($A$37&amp;$A39&amp;FALSE,ErrorKey,0),6)),"",INDEX(ErrorTable,MATCH($A$37&amp;$A39&amp;FALSE,ErrorKey,0),6))</f>
        <v/>
      </c>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N9ARrGuG8DubKQsmR4MqQF2mmfMAl3nAZz8nd9dPMXBpZBVDMv+qoipbsmUZzmbdkosg41pwNRvygG31OsPILw==" saltValue="A7Wf/Q6ZlW7Nq4xpWOIOx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8"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800-000000000000}">
      <formula1>4</formula1>
    </dataValidation>
    <dataValidation type="list" allowBlank="1" showInputMessage="1" showErrorMessage="1" sqref="D13:D30" xr:uid="{00000000-0002-0000-2800-000001000000}">
      <formula1>List505thru520</formula1>
    </dataValidation>
  </dataValidations>
  <hyperlinks>
    <hyperlink ref="B1:P1" location="Index!A1" display="Index!A1" xr:uid="{00000000-0004-0000-28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pageSetUpPr fitToPage="1"/>
  </sheetPr>
  <dimension ref="A1:V54"/>
  <sheetViews>
    <sheetView showGridLines="0" topLeftCell="B1" zoomScaleNormal="100" workbookViewId="0"/>
  </sheetViews>
  <sheetFormatPr defaultColWidth="9.42578125" defaultRowHeight="15.75" x14ac:dyDescent="0.25"/>
  <cols>
    <col min="1" max="1" width="9.42578125" style="53" hidden="1" customWidth="1"/>
    <col min="2" max="2" width="13.85546875" style="53" customWidth="1"/>
    <col min="3" max="3" width="1.5703125" style="53" customWidth="1"/>
    <col min="4" max="4" width="7.42578125" style="53" customWidth="1"/>
    <col min="5" max="5" width="1.5703125" style="53" customWidth="1"/>
    <col min="6" max="6" width="8" style="53" customWidth="1"/>
    <col min="7" max="7" width="1.5703125" style="53" customWidth="1"/>
    <col min="8" max="8" width="19.140625" style="53" customWidth="1"/>
    <col min="9" max="9" width="1.28515625" style="53" customWidth="1"/>
    <col min="10" max="10" width="15.42578125" style="53" customWidth="1"/>
    <col min="11" max="11" width="1.140625" style="53" customWidth="1"/>
    <col min="12" max="12" width="13.42578125" style="53" customWidth="1"/>
    <col min="13" max="13" width="0.85546875" style="53" customWidth="1"/>
    <col min="14" max="14" width="13.42578125" style="53" customWidth="1"/>
    <col min="15" max="15" width="0.85546875" style="53" customWidth="1"/>
    <col min="16" max="16" width="36.42578125" style="53" customWidth="1"/>
    <col min="17" max="17" width="4.5703125" style="53" bestFit="1" customWidth="1"/>
    <col min="18" max="16384" width="9.42578125" style="53"/>
  </cols>
  <sheetData>
    <row r="1" spans="2:17"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3075" t="str">
        <f>IF(Index!$B$66="na","NA","")</f>
        <v/>
      </c>
    </row>
    <row r="2" spans="2:17"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3075"/>
    </row>
    <row r="3" spans="2:17" s="171" customFormat="1" ht="15" customHeight="1" x14ac:dyDescent="0.25">
      <c r="B3" s="3080" t="s">
        <v>1520</v>
      </c>
      <c r="C3" s="3080"/>
      <c r="D3" s="3080"/>
      <c r="E3" s="3080"/>
      <c r="F3" s="3080"/>
      <c r="G3" s="3080"/>
      <c r="H3" s="3080"/>
      <c r="I3" s="3080"/>
      <c r="J3" s="3080"/>
      <c r="K3" s="3080"/>
      <c r="L3" s="3080"/>
      <c r="M3" s="3080"/>
      <c r="N3" s="3080"/>
      <c r="O3" s="3080"/>
      <c r="P3" s="3080"/>
      <c r="Q3" s="3075"/>
    </row>
    <row r="4" spans="2:17" s="171" customFormat="1" ht="15" customHeight="1" x14ac:dyDescent="0.25">
      <c r="B4" s="3072" t="s">
        <v>4810</v>
      </c>
      <c r="C4" s="3072"/>
      <c r="D4" s="3072"/>
      <c r="E4" s="3072"/>
      <c r="F4" s="3072"/>
      <c r="G4" s="3072"/>
      <c r="H4" s="3072"/>
      <c r="I4" s="3072"/>
      <c r="J4" s="3072"/>
      <c r="K4" s="3072"/>
      <c r="L4" s="3072"/>
      <c r="M4" s="3072"/>
      <c r="N4" s="3072"/>
      <c r="O4" s="3072"/>
      <c r="P4" s="3072"/>
      <c r="Q4" s="3072"/>
    </row>
    <row r="5" spans="2:17" s="173" customFormat="1" ht="15" customHeight="1" x14ac:dyDescent="0.3">
      <c r="B5" s="179"/>
      <c r="C5" s="180"/>
      <c r="D5" s="180"/>
      <c r="E5" s="180"/>
      <c r="F5" s="180"/>
      <c r="G5" s="180"/>
      <c r="H5" s="180"/>
      <c r="I5" s="180"/>
      <c r="J5" s="180"/>
      <c r="K5" s="179"/>
      <c r="L5" s="1469"/>
      <c r="M5" s="1469"/>
      <c r="N5" s="1469"/>
      <c r="O5" s="180"/>
      <c r="P5" s="1588" t="s">
        <v>3797</v>
      </c>
    </row>
    <row r="6" spans="2:17" s="173" customFormat="1" ht="15" customHeight="1" x14ac:dyDescent="0.2">
      <c r="B6" s="172" t="s">
        <v>327</v>
      </c>
      <c r="D6" s="3076" t="str">
        <f>+Index!$E$10</f>
        <v>01</v>
      </c>
      <c r="E6" s="3076"/>
      <c r="F6" s="3076"/>
      <c r="G6" s="3076"/>
      <c r="H6" s="157"/>
      <c r="O6" s="174" t="s">
        <v>972</v>
      </c>
      <c r="P6" s="773" t="str">
        <f>CONCATENATE(Index!$E$12," ",Index!$E$14)</f>
        <v xml:space="preserve"> </v>
      </c>
    </row>
    <row r="7" spans="2:17" s="173" customFormat="1" ht="15" customHeight="1" x14ac:dyDescent="0.2">
      <c r="B7" s="172" t="s">
        <v>1154</v>
      </c>
      <c r="D7" s="3076" t="str">
        <f>+Index!$E$11</f>
        <v>North Carolina General Assembly</v>
      </c>
      <c r="E7" s="3076"/>
      <c r="F7" s="3076"/>
      <c r="G7" s="3076"/>
      <c r="H7" s="307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7.25" customHeight="1" thickBot="1" x14ac:dyDescent="0.25">
      <c r="B10" s="1080" t="s">
        <v>1521</v>
      </c>
      <c r="C10" s="1081"/>
      <c r="D10" s="158" t="s">
        <v>979</v>
      </c>
      <c r="E10" s="156"/>
      <c r="F10" s="158" t="s">
        <v>979</v>
      </c>
      <c r="I10" s="179"/>
      <c r="J10" s="3079" t="s">
        <v>1096</v>
      </c>
      <c r="K10" s="3079"/>
      <c r="L10" s="3079"/>
      <c r="M10" s="3079"/>
      <c r="N10" s="3079"/>
      <c r="O10" s="159"/>
    </row>
    <row r="11" spans="2:17" s="173" customFormat="1" ht="15" customHeight="1" x14ac:dyDescent="0.2">
      <c r="B11" s="177" t="s">
        <v>1064</v>
      </c>
      <c r="D11" s="158" t="s">
        <v>722</v>
      </c>
      <c r="E11" s="156"/>
      <c r="F11" s="158" t="s">
        <v>1157</v>
      </c>
      <c r="I11" s="179"/>
      <c r="J11" s="156"/>
      <c r="K11" s="156"/>
      <c r="L11" s="2436" t="s">
        <v>5395</v>
      </c>
      <c r="M11" s="158"/>
      <c r="N11" s="2436" t="s">
        <v>5394</v>
      </c>
      <c r="O11" s="156"/>
    </row>
    <row r="12" spans="2:17" s="173" customFormat="1" ht="15" customHeight="1" thickBot="1" x14ac:dyDescent="0.25">
      <c r="B12" s="181" t="s">
        <v>684</v>
      </c>
      <c r="C12" s="177"/>
      <c r="D12" s="160" t="s">
        <v>808</v>
      </c>
      <c r="E12" s="156"/>
      <c r="F12" s="160" t="s">
        <v>808</v>
      </c>
      <c r="H12" s="181" t="s">
        <v>1156</v>
      </c>
      <c r="J12" s="160" t="s">
        <v>1097</v>
      </c>
      <c r="K12" s="162"/>
      <c r="L12" s="2438" t="s">
        <v>5396</v>
      </c>
      <c r="M12" s="2464"/>
      <c r="N12" s="2438" t="s">
        <v>1307</v>
      </c>
      <c r="O12" s="162"/>
      <c r="P12" s="181" t="s">
        <v>980</v>
      </c>
    </row>
    <row r="13" spans="2:17" s="173" customFormat="1" ht="15" customHeight="1" x14ac:dyDescent="0.2">
      <c r="B13" s="241">
        <v>114600</v>
      </c>
      <c r="D13" s="561"/>
      <c r="E13" s="242"/>
      <c r="F13" s="561"/>
      <c r="G13" s="242"/>
      <c r="H13" s="562"/>
      <c r="J13" s="557"/>
      <c r="K13" s="156"/>
      <c r="L13" s="558"/>
      <c r="M13" s="2465"/>
      <c r="N13" s="2660"/>
      <c r="P13" s="560"/>
    </row>
    <row r="14" spans="2:17" s="173" customFormat="1" ht="15" customHeight="1" x14ac:dyDescent="0.2">
      <c r="B14" s="241">
        <v>114600</v>
      </c>
      <c r="D14" s="561"/>
      <c r="E14" s="242"/>
      <c r="F14" s="561"/>
      <c r="G14" s="242"/>
      <c r="H14" s="562"/>
      <c r="J14" s="557"/>
      <c r="K14" s="156"/>
      <c r="L14" s="558"/>
      <c r="M14" s="2465"/>
      <c r="N14" s="2660"/>
      <c r="P14" s="560"/>
    </row>
    <row r="15" spans="2:17" s="173" customFormat="1" ht="15" customHeight="1" x14ac:dyDescent="0.2">
      <c r="B15" s="241">
        <v>114600</v>
      </c>
      <c r="D15" s="561"/>
      <c r="E15" s="242"/>
      <c r="F15" s="561"/>
      <c r="G15" s="242"/>
      <c r="H15" s="562"/>
      <c r="J15" s="557"/>
      <c r="K15" s="156"/>
      <c r="L15" s="558"/>
      <c r="M15" s="2465"/>
      <c r="N15" s="2660"/>
      <c r="P15" s="560"/>
    </row>
    <row r="16" spans="2:17" s="173" customFormat="1" ht="15" customHeight="1" x14ac:dyDescent="0.2">
      <c r="B16" s="241">
        <v>114600</v>
      </c>
      <c r="D16" s="561"/>
      <c r="E16" s="242"/>
      <c r="F16" s="561"/>
      <c r="G16" s="242"/>
      <c r="H16" s="562"/>
      <c r="J16" s="557"/>
      <c r="K16" s="156"/>
      <c r="L16" s="558"/>
      <c r="M16" s="2465"/>
      <c r="N16" s="2661"/>
      <c r="P16" s="560"/>
    </row>
    <row r="17" spans="2:22" s="173" customFormat="1" ht="15" customHeight="1" x14ac:dyDescent="0.2">
      <c r="B17" s="241">
        <v>114600</v>
      </c>
      <c r="D17" s="561"/>
      <c r="E17" s="242"/>
      <c r="F17" s="561"/>
      <c r="G17" s="242"/>
      <c r="H17" s="562"/>
      <c r="J17" s="560"/>
      <c r="L17" s="563"/>
      <c r="M17" s="2466"/>
      <c r="N17" s="2660"/>
      <c r="P17" s="560"/>
    </row>
    <row r="18" spans="2:22" s="173" customFormat="1" ht="15" customHeight="1" x14ac:dyDescent="0.2">
      <c r="B18" s="241">
        <v>114600</v>
      </c>
      <c r="D18" s="561"/>
      <c r="E18" s="242"/>
      <c r="F18" s="561"/>
      <c r="G18" s="242"/>
      <c r="H18" s="562"/>
      <c r="J18" s="560"/>
      <c r="L18" s="563"/>
      <c r="M18" s="2466"/>
      <c r="N18" s="2660"/>
      <c r="P18" s="560"/>
    </row>
    <row r="19" spans="2:22" s="173" customFormat="1" ht="15" customHeight="1" x14ac:dyDescent="0.2">
      <c r="B19" s="241">
        <v>114600</v>
      </c>
      <c r="D19" s="561"/>
      <c r="E19" s="242"/>
      <c r="F19" s="561"/>
      <c r="G19" s="242"/>
      <c r="H19" s="562"/>
      <c r="J19" s="560"/>
      <c r="L19" s="563"/>
      <c r="M19" s="2466"/>
      <c r="N19" s="2660"/>
      <c r="P19" s="560"/>
    </row>
    <row r="20" spans="2:22" s="173" customFormat="1" ht="15" customHeight="1" x14ac:dyDescent="0.2">
      <c r="B20" s="241">
        <v>114600</v>
      </c>
      <c r="D20" s="561"/>
      <c r="E20" s="242"/>
      <c r="F20" s="561"/>
      <c r="G20" s="242"/>
      <c r="H20" s="562"/>
      <c r="J20" s="560"/>
      <c r="L20" s="563"/>
      <c r="M20" s="2466"/>
      <c r="N20" s="2660"/>
      <c r="P20" s="560"/>
    </row>
    <row r="21" spans="2:22" s="173" customFormat="1" ht="15" customHeight="1" x14ac:dyDescent="0.2">
      <c r="B21" s="241">
        <v>114600</v>
      </c>
      <c r="D21" s="561"/>
      <c r="E21" s="242"/>
      <c r="F21" s="561"/>
      <c r="G21" s="242"/>
      <c r="H21" s="562"/>
      <c r="J21" s="560"/>
      <c r="L21" s="563"/>
      <c r="M21" s="2466"/>
      <c r="N21" s="2660"/>
      <c r="P21" s="560"/>
    </row>
    <row r="22" spans="2:22" s="173" customFormat="1" ht="15" customHeight="1" x14ac:dyDescent="0.2">
      <c r="B22" s="241">
        <v>114600</v>
      </c>
      <c r="D22" s="561"/>
      <c r="E22" s="242"/>
      <c r="F22" s="561"/>
      <c r="G22" s="242"/>
      <c r="H22" s="562"/>
      <c r="J22" s="560"/>
      <c r="L22" s="563"/>
      <c r="M22" s="2466"/>
      <c r="N22" s="2660"/>
      <c r="P22" s="560"/>
    </row>
    <row r="23" spans="2:22" s="173" customFormat="1" ht="15" customHeight="1" x14ac:dyDescent="0.2">
      <c r="B23" s="241">
        <v>114600</v>
      </c>
      <c r="D23" s="561"/>
      <c r="E23" s="242"/>
      <c r="F23" s="561"/>
      <c r="G23" s="242"/>
      <c r="H23" s="562"/>
      <c r="J23" s="560"/>
      <c r="L23" s="563"/>
      <c r="M23" s="2466"/>
      <c r="N23" s="2660"/>
      <c r="P23" s="560"/>
    </row>
    <row r="24" spans="2:22" s="173" customFormat="1" ht="15" customHeight="1" x14ac:dyDescent="0.2">
      <c r="B24" s="241">
        <v>114600</v>
      </c>
      <c r="D24" s="561"/>
      <c r="E24" s="242"/>
      <c r="F24" s="561"/>
      <c r="G24" s="242"/>
      <c r="H24" s="562"/>
      <c r="J24" s="560"/>
      <c r="L24" s="563"/>
      <c r="M24" s="2466"/>
      <c r="N24" s="2660"/>
      <c r="P24" s="560"/>
    </row>
    <row r="25" spans="2:22" s="173" customFormat="1" ht="15" customHeight="1" thickBot="1" x14ac:dyDescent="0.25">
      <c r="B25" s="242"/>
      <c r="D25" s="177"/>
      <c r="E25" s="177"/>
      <c r="F25" s="177" t="s">
        <v>981</v>
      </c>
      <c r="G25" s="177"/>
      <c r="H25" s="178">
        <f>SUM(H13:H24)</f>
        <v>0</v>
      </c>
      <c r="J25" s="245" t="s">
        <v>5553</v>
      </c>
      <c r="L25" s="244"/>
      <c r="M25" s="244"/>
      <c r="N25" s="244"/>
    </row>
    <row r="26" spans="2:22" s="173" customFormat="1" ht="7.35" customHeight="1" x14ac:dyDescent="0.2">
      <c r="E26" s="177"/>
      <c r="F26" s="177"/>
      <c r="G26" s="177"/>
      <c r="O26" s="177"/>
    </row>
    <row r="27" spans="2:22" s="1589" customFormat="1" ht="15" customHeight="1" x14ac:dyDescent="0.2">
      <c r="B27" s="1080" t="s">
        <v>3980</v>
      </c>
      <c r="C27" s="1590"/>
      <c r="D27" s="1085"/>
      <c r="E27" s="177"/>
      <c r="F27" s="177"/>
      <c r="G27" s="177"/>
      <c r="H27" s="1591"/>
      <c r="L27" s="1592"/>
      <c r="M27" s="1592"/>
      <c r="N27" s="1592"/>
      <c r="R27" s="1593"/>
      <c r="S27" s="1593"/>
      <c r="T27" s="1593"/>
      <c r="U27" s="1593"/>
      <c r="V27" s="1593"/>
    </row>
    <row r="28" spans="2:22" s="1589" customFormat="1" ht="15" customHeight="1" x14ac:dyDescent="0.2">
      <c r="B28" s="1594">
        <v>124100</v>
      </c>
      <c r="D28" s="561"/>
      <c r="E28" s="1595"/>
      <c r="F28" s="1474"/>
      <c r="G28" s="1595"/>
      <c r="H28" s="1596">
        <v>0</v>
      </c>
      <c r="J28" s="560"/>
      <c r="K28" s="173"/>
      <c r="L28" s="563"/>
      <c r="M28" s="2466"/>
      <c r="N28" s="2660"/>
      <c r="O28" s="173"/>
      <c r="P28" s="560"/>
      <c r="R28" s="1593"/>
      <c r="S28" s="1593"/>
      <c r="T28" s="1593"/>
      <c r="U28" s="1593"/>
      <c r="V28" s="1593"/>
    </row>
    <row r="29" spans="2:22" s="1589" customFormat="1" ht="15" customHeight="1" x14ac:dyDescent="0.2">
      <c r="B29" s="1594">
        <v>124100</v>
      </c>
      <c r="D29" s="561"/>
      <c r="E29" s="1595"/>
      <c r="F29" s="1474"/>
      <c r="G29" s="1595"/>
      <c r="H29" s="1596"/>
      <c r="J29" s="560"/>
      <c r="K29" s="173"/>
      <c r="L29" s="563"/>
      <c r="M29" s="2466"/>
      <c r="N29" s="2660"/>
      <c r="O29" s="173"/>
      <c r="P29" s="560"/>
      <c r="R29" s="1593"/>
      <c r="S29" s="1593"/>
      <c r="T29" s="1593"/>
      <c r="U29" s="1593"/>
      <c r="V29" s="1593"/>
    </row>
    <row r="30" spans="2:22" s="1589" customFormat="1" ht="15" customHeight="1" x14ac:dyDescent="0.2">
      <c r="B30" s="1594">
        <v>124100</v>
      </c>
      <c r="D30" s="561"/>
      <c r="E30" s="1595"/>
      <c r="F30" s="1474"/>
      <c r="G30" s="1595"/>
      <c r="H30" s="1596"/>
      <c r="J30" s="560"/>
      <c r="K30" s="173"/>
      <c r="L30" s="563"/>
      <c r="M30" s="2466"/>
      <c r="N30" s="2660"/>
      <c r="O30" s="173"/>
      <c r="P30" s="560"/>
      <c r="R30" s="1593"/>
      <c r="S30" s="1593"/>
      <c r="T30" s="1593"/>
      <c r="U30" s="1593"/>
      <c r="V30" s="1593"/>
    </row>
    <row r="31" spans="2:22" s="1589" customFormat="1" ht="15" customHeight="1" thickBot="1" x14ac:dyDescent="0.25">
      <c r="E31" s="177"/>
      <c r="F31" s="177" t="s">
        <v>981</v>
      </c>
      <c r="G31" s="177"/>
      <c r="H31" s="1597">
        <f>SUM(H28:H30)</f>
        <v>0</v>
      </c>
      <c r="J31" s="245" t="s">
        <v>5554</v>
      </c>
      <c r="R31" s="1593"/>
      <c r="S31" s="1593"/>
      <c r="T31" s="1593"/>
      <c r="U31" s="1593"/>
      <c r="V31" s="1593"/>
    </row>
    <row r="32" spans="2:22" s="1589" customFormat="1" ht="7.35" customHeight="1" x14ac:dyDescent="0.2">
      <c r="E32" s="177"/>
      <c r="F32" s="177"/>
      <c r="G32" s="177"/>
      <c r="O32" s="177"/>
      <c r="R32" s="1593"/>
      <c r="S32" s="1593"/>
      <c r="T32" s="1593"/>
      <c r="U32" s="1593"/>
      <c r="V32" s="1593"/>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MID(CELL("filename",A1),FIND("]",CELL("filename",A1))+1,256)</f>
        <v>515</v>
      </c>
      <c r="B37" s="443" t="s">
        <v>449</v>
      </c>
      <c r="E37" s="177"/>
      <c r="F37" s="177"/>
      <c r="G37" s="177"/>
      <c r="O37" s="177"/>
    </row>
    <row r="38" spans="1:15" s="173" customFormat="1" ht="15"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ht="20.85" customHeight="1" x14ac:dyDescent="0.25">
      <c r="A39" s="443" t="s">
        <v>447</v>
      </c>
      <c r="B39" s="443" t="str">
        <f t="shared" ca="1" si="0"/>
        <v/>
      </c>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u+C27Y2Qgr/lQC6x/iKF9lTE8l+qr0b4/ftVfTDi6BZXxUP4YkW1FkA4ikXkYxZyKILfsi3tnSJGOAWqL9Kwug==" saltValue="mqJ35ly/xar9vr2HPPOABg=="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7:H7"/>
    <mergeCell ref="B4:Q4"/>
    <mergeCell ref="J10:N10"/>
    <mergeCell ref="Q1:Q3"/>
    <mergeCell ref="B2:P2"/>
    <mergeCell ref="B3:P3"/>
    <mergeCell ref="B1:P1"/>
    <mergeCell ref="D6:G6"/>
  </mergeCells>
  <phoneticPr fontId="15" type="noConversion"/>
  <conditionalFormatting sqref="Q1:Q3">
    <cfRule type="cellIs" dxfId="67" priority="1" stopIfTrue="1" operator="equal">
      <formula>"na"</formula>
    </cfRule>
  </conditionalFormatting>
  <dataValidations count="2">
    <dataValidation type="textLength" operator="equal" allowBlank="1" showInputMessage="1" showErrorMessage="1" errorTitle="Invalid data!" error="GASB number must be 4 digits." sqref="D8 F13:F24" xr:uid="{00000000-0002-0000-2900-000000000000}">
      <formula1>4</formula1>
    </dataValidation>
    <dataValidation type="list" allowBlank="1" showInputMessage="1" showErrorMessage="1" sqref="D13:D24 D28:D30" xr:uid="{00000000-0002-0000-2900-000001000000}">
      <formula1>List505thru520</formula1>
    </dataValidation>
  </dataValidations>
  <hyperlinks>
    <hyperlink ref="B1:P1" location="Index!A1" display="Index!A1" xr:uid="{00000000-0004-0000-29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O81"/>
  <sheetViews>
    <sheetView showGridLines="0" topLeftCell="B1" zoomScaleNormal="100" workbookViewId="0">
      <selection activeCell="L31" sqref="L31"/>
    </sheetView>
  </sheetViews>
  <sheetFormatPr defaultColWidth="9.42578125" defaultRowHeight="12.75" x14ac:dyDescent="0.2"/>
  <cols>
    <col min="1" max="1" width="9.42578125" style="61" hidden="1" customWidth="1"/>
    <col min="2" max="3" width="3.42578125" style="61" customWidth="1"/>
    <col min="4" max="4" width="14.5703125" style="61" customWidth="1"/>
    <col min="5" max="5" width="9.42578125" style="61"/>
    <col min="6" max="6" width="12.5703125" style="61" customWidth="1"/>
    <col min="7" max="7" width="7.5703125" style="61" customWidth="1"/>
    <col min="8" max="8" width="8.5703125" style="61" customWidth="1"/>
    <col min="9" max="9" width="7.42578125" style="61" customWidth="1"/>
    <col min="10" max="10" width="8.42578125" style="61" customWidth="1"/>
    <col min="11" max="11" width="7" style="61" customWidth="1"/>
    <col min="12" max="12" width="8.42578125" style="61" customWidth="1"/>
    <col min="13" max="13" width="4.5703125" style="61" customWidth="1"/>
    <col min="14" max="14" width="10.42578125" style="61" customWidth="1"/>
    <col min="15" max="15" width="14.42578125" style="61" customWidth="1"/>
    <col min="16" max="16384" width="9.42578125" style="61"/>
  </cols>
  <sheetData>
    <row r="1" spans="1:13" ht="15.75" x14ac:dyDescent="0.25">
      <c r="A1" s="61" t="str">
        <f t="shared" ref="A1:A37" si="0">AgyIdx</f>
        <v>01</v>
      </c>
      <c r="B1" s="2697" t="str">
        <f>+Index!$A$1</f>
        <v xml:space="preserve">                                                               Office of the State Controller                                                                </v>
      </c>
      <c r="C1" s="2697"/>
      <c r="D1" s="2697"/>
      <c r="E1" s="2697"/>
      <c r="F1" s="2697"/>
      <c r="G1" s="2697"/>
      <c r="H1" s="2697"/>
      <c r="I1" s="2697"/>
      <c r="J1" s="2697"/>
      <c r="K1" s="2697"/>
      <c r="L1" s="2697"/>
      <c r="M1" s="2750" t="str">
        <f>IF(Index!$B$17="na","NA","")</f>
        <v/>
      </c>
    </row>
    <row r="2" spans="1:13" ht="15.75" x14ac:dyDescent="0.25">
      <c r="A2" s="61" t="str">
        <f t="shared" si="0"/>
        <v>01</v>
      </c>
      <c r="B2" s="2753" t="str">
        <f>+Index!$A$2</f>
        <v>2022 ACFR Worksheets</v>
      </c>
      <c r="C2" s="2753"/>
      <c r="D2" s="2753"/>
      <c r="E2" s="2753"/>
      <c r="F2" s="2753"/>
      <c r="G2" s="2753"/>
      <c r="H2" s="2753"/>
      <c r="I2" s="2753"/>
      <c r="J2" s="2753"/>
      <c r="K2" s="2753"/>
      <c r="L2" s="2753"/>
      <c r="M2" s="2750"/>
    </row>
    <row r="3" spans="1:13" ht="15.75" x14ac:dyDescent="0.25">
      <c r="A3" s="61" t="str">
        <f t="shared" si="0"/>
        <v>01</v>
      </c>
      <c r="B3" s="2754" t="s">
        <v>3706</v>
      </c>
      <c r="C3" s="2754"/>
      <c r="D3" s="2754"/>
      <c r="E3" s="2754"/>
      <c r="F3" s="2754"/>
      <c r="G3" s="2754"/>
      <c r="H3" s="2754"/>
      <c r="I3" s="2754"/>
      <c r="J3" s="2754"/>
      <c r="K3" s="2754"/>
      <c r="L3" s="2754"/>
      <c r="M3" s="2750"/>
    </row>
    <row r="4" spans="1:13" ht="12.75" customHeight="1" x14ac:dyDescent="0.25">
      <c r="A4" s="61" t="str">
        <f t="shared" si="0"/>
        <v>01</v>
      </c>
      <c r="B4" s="446"/>
      <c r="C4" s="446"/>
      <c r="D4" s="446"/>
      <c r="E4" s="446"/>
      <c r="F4" s="446"/>
      <c r="G4" s="446"/>
      <c r="H4" s="446"/>
      <c r="I4" s="446"/>
      <c r="J4" s="446"/>
      <c r="K4" s="446"/>
      <c r="L4" s="447"/>
      <c r="M4" s="448"/>
    </row>
    <row r="5" spans="1:13" ht="15.75" x14ac:dyDescent="0.25">
      <c r="A5" s="61" t="str">
        <f t="shared" si="0"/>
        <v>01</v>
      </c>
      <c r="B5" s="449" t="s">
        <v>326</v>
      </c>
      <c r="C5" s="449"/>
      <c r="D5" s="450"/>
      <c r="E5" s="451"/>
      <c r="F5" s="445"/>
      <c r="G5" s="445"/>
      <c r="H5" s="452" t="s">
        <v>327</v>
      </c>
      <c r="I5" s="2755" t="str">
        <f>+Index!$E$10</f>
        <v>01</v>
      </c>
      <c r="J5" s="2755"/>
      <c r="K5" s="2755"/>
      <c r="L5" s="2755"/>
    </row>
    <row r="6" spans="1:13" ht="15.75" x14ac:dyDescent="0.25">
      <c r="A6" s="61" t="str">
        <f t="shared" si="0"/>
        <v>01</v>
      </c>
      <c r="F6" s="453"/>
      <c r="G6" s="445"/>
      <c r="H6" s="452" t="s">
        <v>1154</v>
      </c>
      <c r="I6" s="2751" t="str">
        <f>AgyName</f>
        <v>North Carolina General Assembly</v>
      </c>
      <c r="J6" s="2751"/>
      <c r="K6" s="2751"/>
      <c r="L6" s="2751"/>
    </row>
    <row r="7" spans="1:13" ht="15.75" x14ac:dyDescent="0.25">
      <c r="A7" s="61" t="str">
        <f t="shared" si="0"/>
        <v>01</v>
      </c>
      <c r="B7" s="449"/>
      <c r="C7" s="449"/>
      <c r="D7" s="445"/>
      <c r="E7" s="454"/>
      <c r="F7" s="454"/>
      <c r="G7" s="445"/>
      <c r="H7" s="452" t="s">
        <v>972</v>
      </c>
      <c r="I7" s="2752" t="str">
        <f>CONCATENATE(Index!$E$12," ",Index!$E$14)</f>
        <v xml:space="preserve"> </v>
      </c>
      <c r="J7" s="2752"/>
      <c r="K7" s="2752"/>
      <c r="L7" s="2752"/>
    </row>
    <row r="8" spans="1:13" ht="15.75" x14ac:dyDescent="0.25">
      <c r="A8" s="61" t="str">
        <f t="shared" si="0"/>
        <v>01</v>
      </c>
      <c r="B8" s="449"/>
      <c r="C8" s="449"/>
      <c r="D8" s="445"/>
      <c r="E8" s="454"/>
      <c r="F8" s="454"/>
      <c r="G8" s="445"/>
      <c r="H8" s="452" t="s">
        <v>348</v>
      </c>
      <c r="I8" s="2752">
        <f>+Index!$E$13</f>
        <v>0</v>
      </c>
      <c r="J8" s="2752"/>
      <c r="K8" s="2752"/>
      <c r="L8" s="2752"/>
    </row>
    <row r="9" spans="1:13" ht="6" customHeight="1" thickBot="1" x14ac:dyDescent="0.3">
      <c r="A9" s="61" t="str">
        <f t="shared" si="0"/>
        <v>01</v>
      </c>
      <c r="B9" s="455"/>
      <c r="C9" s="455"/>
      <c r="D9" s="455"/>
      <c r="E9" s="455"/>
      <c r="F9" s="455"/>
      <c r="G9" s="455"/>
      <c r="H9" s="455"/>
      <c r="I9" s="455"/>
      <c r="J9" s="455"/>
      <c r="K9" s="455"/>
      <c r="L9" s="455"/>
    </row>
    <row r="10" spans="1:13" ht="9" customHeight="1" x14ac:dyDescent="0.25">
      <c r="A10" s="61" t="str">
        <f t="shared" si="0"/>
        <v>01</v>
      </c>
      <c r="B10" s="445"/>
      <c r="C10" s="445"/>
      <c r="D10" s="445"/>
      <c r="E10" s="445"/>
      <c r="F10" s="445"/>
      <c r="G10" s="445"/>
      <c r="H10" s="445"/>
      <c r="I10" s="445"/>
      <c r="J10" s="445"/>
      <c r="K10" s="445"/>
      <c r="L10" s="445"/>
    </row>
    <row r="11" spans="1:13" ht="12" customHeight="1" x14ac:dyDescent="0.2">
      <c r="A11" s="61" t="str">
        <f t="shared" si="0"/>
        <v>01</v>
      </c>
      <c r="B11" s="456" t="s">
        <v>133</v>
      </c>
      <c r="C11" s="1190" t="s">
        <v>4641</v>
      </c>
      <c r="D11" s="457"/>
      <c r="E11" s="457"/>
      <c r="F11" s="457"/>
      <c r="G11" s="457"/>
      <c r="H11" s="457"/>
      <c r="I11" s="457"/>
      <c r="J11" s="457"/>
      <c r="K11" s="457"/>
      <c r="L11" s="457"/>
    </row>
    <row r="12" spans="1:13" ht="12" customHeight="1" x14ac:dyDescent="0.2">
      <c r="A12" s="61" t="str">
        <f t="shared" si="0"/>
        <v>01</v>
      </c>
      <c r="B12" s="456"/>
      <c r="C12" s="457" t="s">
        <v>824</v>
      </c>
      <c r="D12" s="457"/>
      <c r="E12" s="457"/>
      <c r="F12" s="457"/>
      <c r="G12" s="457"/>
      <c r="H12" s="457"/>
      <c r="I12" s="457"/>
      <c r="J12" s="457"/>
      <c r="K12" s="457"/>
      <c r="L12" s="457"/>
    </row>
    <row r="13" spans="1:13" ht="12" customHeight="1" x14ac:dyDescent="0.2">
      <c r="A13" s="61" t="str">
        <f t="shared" si="0"/>
        <v>01</v>
      </c>
      <c r="B13" s="457"/>
      <c r="C13" s="458" t="s">
        <v>841</v>
      </c>
      <c r="D13" s="457" t="s">
        <v>134</v>
      </c>
      <c r="E13" s="457"/>
      <c r="F13" s="459" t="s">
        <v>841</v>
      </c>
      <c r="G13" s="457" t="s">
        <v>135</v>
      </c>
      <c r="H13" s="457"/>
      <c r="I13" s="460"/>
      <c r="J13" s="461"/>
      <c r="K13" s="460"/>
      <c r="L13" s="461"/>
    </row>
    <row r="14" spans="1:13" ht="12" customHeight="1" x14ac:dyDescent="0.2">
      <c r="A14" s="61" t="str">
        <f t="shared" si="0"/>
        <v>01</v>
      </c>
      <c r="B14" s="457"/>
      <c r="C14" s="458" t="s">
        <v>841</v>
      </c>
      <c r="D14" s="457" t="s">
        <v>381</v>
      </c>
      <c r="E14" s="457"/>
      <c r="F14" s="459" t="s">
        <v>841</v>
      </c>
      <c r="G14" s="457" t="s">
        <v>382</v>
      </c>
      <c r="H14" s="457"/>
      <c r="I14" s="460"/>
      <c r="J14" s="461"/>
      <c r="K14" s="460"/>
      <c r="L14" s="461"/>
    </row>
    <row r="15" spans="1:13" ht="12" customHeight="1" x14ac:dyDescent="0.2">
      <c r="A15" s="61" t="str">
        <f t="shared" si="0"/>
        <v>01</v>
      </c>
      <c r="B15" s="457"/>
      <c r="C15" s="457" t="s">
        <v>383</v>
      </c>
      <c r="E15" s="457"/>
      <c r="F15" s="457"/>
      <c r="G15" s="457"/>
      <c r="H15" s="457"/>
      <c r="I15" s="460"/>
      <c r="J15" s="461"/>
      <c r="K15" s="460"/>
      <c r="L15" s="461"/>
    </row>
    <row r="16" spans="1:13" ht="12" customHeight="1" x14ac:dyDescent="0.2">
      <c r="A16" s="61" t="str">
        <f t="shared" si="0"/>
        <v>01</v>
      </c>
      <c r="B16" s="457"/>
      <c r="C16" s="457"/>
      <c r="D16" s="462" t="s">
        <v>967</v>
      </c>
      <c r="E16" s="457"/>
      <c r="F16" s="2761" t="s">
        <v>968</v>
      </c>
      <c r="G16" s="2761"/>
      <c r="H16" s="2761"/>
      <c r="I16" s="2761"/>
      <c r="J16" s="2761"/>
      <c r="K16" s="2761"/>
      <c r="L16" s="2761"/>
    </row>
    <row r="17" spans="1:15" ht="12" customHeight="1" x14ac:dyDescent="0.2">
      <c r="A17" s="61" t="str">
        <f t="shared" si="0"/>
        <v>01</v>
      </c>
      <c r="B17" s="457"/>
      <c r="C17" s="457"/>
      <c r="D17" s="1559"/>
      <c r="E17" s="457"/>
      <c r="F17" s="2757"/>
      <c r="G17" s="2758"/>
      <c r="H17" s="2758"/>
      <c r="I17" s="2758"/>
      <c r="J17" s="2758"/>
      <c r="K17" s="2758"/>
      <c r="L17" s="2758"/>
      <c r="N17" s="2762" t="str">
        <f>IF(ISBLANK($F$17)=TRUE,"Valuation Missing"," ")</f>
        <v>Valuation Missing</v>
      </c>
      <c r="O17" s="2696"/>
    </row>
    <row r="18" spans="1:15" ht="12" customHeight="1" x14ac:dyDescent="0.2">
      <c r="A18" s="61" t="str">
        <f t="shared" si="0"/>
        <v>01</v>
      </c>
      <c r="B18" s="457"/>
      <c r="C18" s="457"/>
      <c r="D18" s="710"/>
      <c r="E18" s="457"/>
      <c r="F18" s="2759"/>
      <c r="G18" s="2760"/>
      <c r="H18" s="2760"/>
      <c r="I18" s="2760"/>
      <c r="J18" s="2760"/>
      <c r="K18" s="2760"/>
      <c r="L18" s="2760"/>
    </row>
    <row r="19" spans="1:15" ht="5.0999999999999996" customHeight="1" x14ac:dyDescent="0.2">
      <c r="A19" s="61" t="str">
        <f t="shared" si="0"/>
        <v>01</v>
      </c>
      <c r="B19" s="457"/>
      <c r="C19" s="457"/>
      <c r="D19" s="457"/>
      <c r="E19" s="457"/>
      <c r="F19" s="457"/>
      <c r="G19" s="457"/>
      <c r="H19" s="457"/>
      <c r="I19" s="460"/>
      <c r="J19" s="461"/>
      <c r="K19" s="460"/>
      <c r="L19" s="461"/>
    </row>
    <row r="20" spans="1:15" ht="12" customHeight="1" x14ac:dyDescent="0.2">
      <c r="A20" s="2609" t="str">
        <f t="shared" si="0"/>
        <v>01</v>
      </c>
      <c r="B20" s="2610" t="s">
        <v>384</v>
      </c>
      <c r="C20" s="1190" t="s">
        <v>385</v>
      </c>
      <c r="D20" s="949"/>
      <c r="E20" s="949"/>
      <c r="F20" s="949"/>
      <c r="G20" s="949"/>
      <c r="H20" s="949"/>
      <c r="I20" s="949"/>
      <c r="J20" s="949"/>
      <c r="K20" s="949"/>
      <c r="L20" s="949"/>
    </row>
    <row r="21" spans="1:15" ht="12" customHeight="1" x14ac:dyDescent="0.2">
      <c r="A21" s="2609" t="str">
        <f t="shared" si="0"/>
        <v>01</v>
      </c>
      <c r="B21" s="2611"/>
      <c r="C21" s="463" t="s">
        <v>5584</v>
      </c>
      <c r="E21" s="949"/>
      <c r="F21" s="949"/>
      <c r="G21" s="949"/>
      <c r="H21" s="1989"/>
      <c r="I21" s="2606"/>
      <c r="J21" s="1989"/>
      <c r="K21" s="2606"/>
      <c r="L21" s="949"/>
    </row>
    <row r="22" spans="1:15" ht="12" customHeight="1" x14ac:dyDescent="0.2">
      <c r="A22" s="2609" t="str">
        <f t="shared" si="0"/>
        <v>01</v>
      </c>
      <c r="B22" s="2611"/>
      <c r="C22" s="949" t="s">
        <v>1349</v>
      </c>
      <c r="E22" s="949"/>
      <c r="F22" s="949"/>
      <c r="G22" s="949"/>
      <c r="H22" s="1989"/>
      <c r="I22" s="2606"/>
      <c r="J22" s="1989"/>
      <c r="K22" s="2606"/>
      <c r="L22" s="949"/>
    </row>
    <row r="23" spans="1:15" ht="12" customHeight="1" x14ac:dyDescent="0.2">
      <c r="A23" s="2609" t="str">
        <f t="shared" si="0"/>
        <v>01</v>
      </c>
      <c r="B23" s="2611"/>
      <c r="C23" s="949" t="s">
        <v>5585</v>
      </c>
      <c r="E23" s="949"/>
      <c r="F23" s="949"/>
      <c r="G23" s="949"/>
      <c r="H23" s="1989"/>
      <c r="I23" s="2606"/>
      <c r="J23" s="1989"/>
      <c r="K23" s="2606"/>
      <c r="L23" s="949"/>
    </row>
    <row r="24" spans="1:15" ht="12" customHeight="1" x14ac:dyDescent="0.2">
      <c r="A24" s="2609"/>
      <c r="B24" s="2611"/>
      <c r="C24" s="949" t="s">
        <v>5586</v>
      </c>
      <c r="E24" s="949"/>
      <c r="F24" s="949"/>
      <c r="G24" s="949"/>
      <c r="H24" s="1989"/>
      <c r="I24" s="2606"/>
      <c r="J24" s="1989"/>
      <c r="K24" s="2606"/>
      <c r="L24" s="949"/>
    </row>
    <row r="25" spans="1:15" ht="16.350000000000001" customHeight="1" x14ac:dyDescent="0.2">
      <c r="A25" s="2609" t="str">
        <f t="shared" si="0"/>
        <v>01</v>
      </c>
      <c r="B25" s="2611"/>
      <c r="C25" s="61" t="s">
        <v>386</v>
      </c>
      <c r="D25" s="949" t="s">
        <v>1348</v>
      </c>
      <c r="E25" s="949"/>
      <c r="F25" s="949"/>
      <c r="G25" s="949"/>
      <c r="H25" s="1989"/>
      <c r="I25" s="1989" t="s">
        <v>969</v>
      </c>
      <c r="J25" s="947"/>
      <c r="K25" s="1989" t="s">
        <v>970</v>
      </c>
      <c r="L25" s="947"/>
      <c r="N25" s="2762" t="str">
        <f>IF(AND(ISBLANK($J$25),ISBLANK($L$25))=TRUE,"Answer Missing"," ")</f>
        <v>Answer Missing</v>
      </c>
      <c r="O25" s="2696"/>
    </row>
    <row r="26" spans="1:15" ht="16.350000000000001" customHeight="1" x14ac:dyDescent="0.2">
      <c r="A26" s="2609" t="str">
        <f t="shared" si="0"/>
        <v>01</v>
      </c>
      <c r="B26" s="2611"/>
      <c r="D26" s="1190" t="s">
        <v>1350</v>
      </c>
      <c r="E26" s="949"/>
      <c r="F26" s="949"/>
      <c r="G26" s="2756"/>
      <c r="H26" s="2757"/>
      <c r="I26" s="2757"/>
      <c r="J26" s="2757"/>
      <c r="K26" s="2757"/>
      <c r="L26" s="2757"/>
    </row>
    <row r="27" spans="1:15" ht="6.6" customHeight="1" x14ac:dyDescent="0.2">
      <c r="A27" s="2609"/>
      <c r="B27" s="2611"/>
      <c r="D27" s="1190"/>
      <c r="E27" s="949"/>
      <c r="F27" s="949"/>
      <c r="G27" s="2607"/>
      <c r="H27" s="2608"/>
      <c r="I27" s="2608"/>
      <c r="J27" s="2608"/>
      <c r="K27" s="2608"/>
      <c r="L27" s="2608"/>
    </row>
    <row r="28" spans="1:15" ht="16.350000000000001" customHeight="1" x14ac:dyDescent="0.2">
      <c r="A28" s="2609"/>
      <c r="B28" s="2611"/>
      <c r="C28" s="463" t="s">
        <v>5587</v>
      </c>
      <c r="D28" s="1190"/>
      <c r="E28" s="949"/>
      <c r="F28" s="949"/>
      <c r="G28" s="2607"/>
      <c r="H28" s="2608"/>
      <c r="I28" s="2608"/>
      <c r="J28" s="2608"/>
      <c r="K28" s="2608"/>
      <c r="L28" s="2608"/>
    </row>
    <row r="29" spans="1:15" x14ac:dyDescent="0.2">
      <c r="A29" s="2609"/>
      <c r="B29" s="2611"/>
      <c r="C29" s="949" t="s">
        <v>5588</v>
      </c>
      <c r="D29" s="1190"/>
      <c r="E29" s="949"/>
      <c r="F29" s="949"/>
      <c r="G29" s="2607"/>
      <c r="H29" s="2608"/>
      <c r="I29" s="2608"/>
      <c r="J29" s="2608"/>
      <c r="K29" s="2608"/>
      <c r="L29" s="2608"/>
    </row>
    <row r="30" spans="1:15" x14ac:dyDescent="0.2">
      <c r="A30" s="2609"/>
      <c r="B30" s="2611"/>
      <c r="C30" s="949" t="s">
        <v>5589</v>
      </c>
      <c r="D30" s="1190"/>
      <c r="E30" s="949"/>
      <c r="F30" s="949"/>
      <c r="G30" s="2607"/>
      <c r="H30" s="2608"/>
      <c r="I30" s="2608"/>
      <c r="J30" s="2608"/>
      <c r="K30" s="2608"/>
      <c r="L30" s="2608"/>
    </row>
    <row r="31" spans="1:15" x14ac:dyDescent="0.2">
      <c r="A31" s="2609"/>
      <c r="B31" s="2611"/>
      <c r="C31" s="61" t="s">
        <v>819</v>
      </c>
      <c r="D31" s="949" t="s">
        <v>5590</v>
      </c>
      <c r="E31" s="949"/>
      <c r="F31" s="949"/>
      <c r="G31" s="949"/>
      <c r="H31" s="1989"/>
      <c r="I31" s="1989" t="s">
        <v>969</v>
      </c>
      <c r="J31" s="947"/>
      <c r="K31" s="1989" t="s">
        <v>970</v>
      </c>
      <c r="L31" s="947"/>
      <c r="N31" s="2762" t="str">
        <f>IF(AND(ISBLANK($J$31),ISBLANK($L$31))=TRUE,"Answer Missing"," ")</f>
        <v>Answer Missing</v>
      </c>
      <c r="O31" s="2696"/>
    </row>
    <row r="32" spans="1:15" x14ac:dyDescent="0.2">
      <c r="A32" s="2609"/>
      <c r="B32" s="2611"/>
      <c r="D32" s="1190" t="s">
        <v>1350</v>
      </c>
      <c r="E32" s="949"/>
      <c r="F32" s="949"/>
      <c r="G32" s="2756"/>
      <c r="H32" s="2757"/>
      <c r="I32" s="2757"/>
      <c r="J32" s="2757"/>
      <c r="K32" s="2757"/>
      <c r="L32" s="2757"/>
    </row>
    <row r="33" spans="1:12" ht="6" customHeight="1" x14ac:dyDescent="0.2">
      <c r="B33" s="457"/>
      <c r="D33" s="456"/>
      <c r="E33" s="457"/>
      <c r="F33" s="457"/>
      <c r="G33" s="2604"/>
      <c r="H33" s="2605"/>
      <c r="I33" s="2605"/>
      <c r="J33" s="2605"/>
      <c r="K33" s="2605"/>
      <c r="L33" s="2605"/>
    </row>
    <row r="34" spans="1:12" ht="12" customHeight="1" x14ac:dyDescent="0.2">
      <c r="A34" s="61" t="str">
        <f t="shared" si="0"/>
        <v>01</v>
      </c>
      <c r="B34" s="457"/>
      <c r="C34" s="463" t="s">
        <v>1197</v>
      </c>
      <c r="D34" s="457"/>
      <c r="E34" s="457"/>
      <c r="F34" s="457"/>
      <c r="G34" s="457"/>
      <c r="H34" s="460"/>
      <c r="I34" s="460"/>
      <c r="J34" s="461"/>
      <c r="K34" s="460"/>
      <c r="L34" s="461"/>
    </row>
    <row r="35" spans="1:12" ht="12" customHeight="1" x14ac:dyDescent="0.2">
      <c r="A35" s="61" t="str">
        <f t="shared" si="0"/>
        <v>01</v>
      </c>
      <c r="B35" s="457"/>
      <c r="C35" s="949" t="s">
        <v>4642</v>
      </c>
      <c r="E35" s="457"/>
      <c r="F35" s="457"/>
      <c r="G35" s="457"/>
      <c r="H35" s="460"/>
      <c r="I35" s="460"/>
      <c r="J35" s="461"/>
      <c r="K35" s="460"/>
      <c r="L35" s="461"/>
    </row>
    <row r="36" spans="1:12" ht="12" customHeight="1" x14ac:dyDescent="0.2">
      <c r="A36" s="61" t="str">
        <f t="shared" si="0"/>
        <v>01</v>
      </c>
      <c r="B36" s="457"/>
      <c r="C36" s="61" t="s">
        <v>5636</v>
      </c>
      <c r="D36" s="457" t="s">
        <v>732</v>
      </c>
      <c r="E36" s="457"/>
      <c r="F36" s="457"/>
      <c r="G36" s="457"/>
      <c r="H36" s="460"/>
      <c r="I36" s="460"/>
      <c r="J36" s="461"/>
      <c r="K36" s="460"/>
      <c r="L36" s="461"/>
    </row>
    <row r="37" spans="1:12" ht="12" customHeight="1" x14ac:dyDescent="0.2">
      <c r="A37" s="61" t="str">
        <f t="shared" si="0"/>
        <v>01</v>
      </c>
      <c r="B37" s="457"/>
      <c r="C37" s="457"/>
      <c r="D37" s="2757"/>
      <c r="E37" s="2758"/>
      <c r="F37" s="2758"/>
      <c r="G37" s="2758"/>
      <c r="H37" s="2758"/>
      <c r="I37" s="2758"/>
      <c r="J37" s="2758"/>
      <c r="K37" s="2758"/>
      <c r="L37" s="2758"/>
    </row>
    <row r="38" spans="1:12" ht="12" customHeight="1" x14ac:dyDescent="0.2">
      <c r="A38" s="61" t="str">
        <f t="shared" ref="A38:A70" si="1">AgyIdx</f>
        <v>01</v>
      </c>
      <c r="B38" s="457"/>
      <c r="C38" s="457"/>
      <c r="D38" s="2759"/>
      <c r="E38" s="2760"/>
      <c r="F38" s="2760"/>
      <c r="G38" s="2760"/>
      <c r="H38" s="2760"/>
      <c r="I38" s="2760"/>
      <c r="J38" s="2760"/>
      <c r="K38" s="2760"/>
      <c r="L38" s="2760"/>
    </row>
    <row r="39" spans="1:12" ht="5.0999999999999996" customHeight="1" x14ac:dyDescent="0.2">
      <c r="A39" s="61" t="str">
        <f t="shared" si="1"/>
        <v>01</v>
      </c>
      <c r="B39" s="457"/>
      <c r="C39" s="457"/>
      <c r="D39" s="457"/>
      <c r="E39" s="457"/>
      <c r="F39" s="457"/>
      <c r="G39" s="457"/>
      <c r="H39" s="460"/>
      <c r="I39" s="461"/>
      <c r="J39" s="460"/>
      <c r="K39" s="461"/>
      <c r="L39" s="457"/>
    </row>
    <row r="40" spans="1:12" ht="12" customHeight="1" x14ac:dyDescent="0.2">
      <c r="A40" s="61" t="str">
        <f t="shared" si="1"/>
        <v>01</v>
      </c>
      <c r="B40" s="456" t="s">
        <v>733</v>
      </c>
      <c r="C40" s="1190" t="s">
        <v>5591</v>
      </c>
      <c r="D40" s="457"/>
      <c r="E40" s="457"/>
      <c r="F40" s="457"/>
      <c r="G40" s="457"/>
      <c r="H40" s="457"/>
      <c r="I40" s="457"/>
      <c r="J40" s="457"/>
      <c r="K40" s="457"/>
      <c r="L40" s="457"/>
    </row>
    <row r="41" spans="1:12" ht="12" customHeight="1" x14ac:dyDescent="0.2">
      <c r="A41" s="61" t="str">
        <f t="shared" si="1"/>
        <v>01</v>
      </c>
      <c r="B41" s="457"/>
      <c r="C41" s="949" t="s">
        <v>3593</v>
      </c>
      <c r="D41" s="457"/>
      <c r="E41" s="457"/>
      <c r="F41" s="457"/>
      <c r="G41" s="457"/>
      <c r="H41" s="457"/>
      <c r="I41" s="457"/>
      <c r="J41" s="457"/>
      <c r="K41" s="457"/>
      <c r="L41" s="457"/>
    </row>
    <row r="42" spans="1:12" ht="12" customHeight="1" x14ac:dyDescent="0.2">
      <c r="A42" s="61" t="str">
        <f t="shared" si="1"/>
        <v>01</v>
      </c>
      <c r="B42" s="457"/>
      <c r="C42" s="949" t="s">
        <v>3594</v>
      </c>
      <c r="D42" s="457"/>
      <c r="E42" s="457"/>
      <c r="F42" s="457"/>
      <c r="G42" s="457"/>
      <c r="H42" s="457"/>
      <c r="I42" s="457"/>
      <c r="J42" s="457"/>
      <c r="K42" s="457"/>
      <c r="L42" s="457"/>
    </row>
    <row r="43" spans="1:12" ht="12" customHeight="1" x14ac:dyDescent="0.2">
      <c r="A43" s="61" t="str">
        <f t="shared" si="1"/>
        <v>01</v>
      </c>
      <c r="B43" s="457"/>
      <c r="C43" s="949" t="s">
        <v>4643</v>
      </c>
      <c r="D43" s="457"/>
      <c r="E43" s="457"/>
      <c r="F43" s="457"/>
      <c r="G43" s="457"/>
      <c r="H43" s="457"/>
      <c r="I43" s="457"/>
      <c r="J43" s="457"/>
      <c r="K43" s="457"/>
      <c r="L43" s="457"/>
    </row>
    <row r="44" spans="1:12" ht="12" customHeight="1" x14ac:dyDescent="0.2">
      <c r="A44" s="61" t="str">
        <f t="shared" si="1"/>
        <v>01</v>
      </c>
      <c r="B44" s="457"/>
      <c r="C44" s="457" t="s">
        <v>259</v>
      </c>
      <c r="D44" s="457"/>
      <c r="E44" s="457"/>
      <c r="F44" s="457"/>
      <c r="G44" s="457"/>
      <c r="H44" s="457"/>
      <c r="I44" s="457"/>
      <c r="J44" s="457"/>
      <c r="K44" s="457"/>
      <c r="L44" s="457"/>
    </row>
    <row r="45" spans="1:12" ht="12" customHeight="1" x14ac:dyDescent="0.2">
      <c r="A45" s="61" t="str">
        <f t="shared" si="1"/>
        <v>01</v>
      </c>
      <c r="B45" s="457"/>
      <c r="C45" s="457"/>
      <c r="D45" s="457" t="s">
        <v>899</v>
      </c>
      <c r="E45" s="457"/>
      <c r="F45" s="457"/>
      <c r="G45" s="2757"/>
      <c r="H45" s="2758"/>
      <c r="I45" s="2758"/>
      <c r="J45" s="2758"/>
      <c r="K45" s="2758"/>
      <c r="L45" s="2758"/>
    </row>
    <row r="46" spans="1:12" ht="12" customHeight="1" x14ac:dyDescent="0.2">
      <c r="A46" s="61" t="str">
        <f t="shared" si="1"/>
        <v>01</v>
      </c>
      <c r="B46" s="457"/>
      <c r="C46" s="457"/>
      <c r="D46" s="457" t="s">
        <v>900</v>
      </c>
      <c r="E46" s="457"/>
      <c r="F46" s="457"/>
      <c r="G46" s="2757"/>
      <c r="H46" s="2758"/>
      <c r="I46" s="2758"/>
      <c r="J46" s="2758"/>
      <c r="K46" s="2758"/>
      <c r="L46" s="2758"/>
    </row>
    <row r="47" spans="1:12" ht="12" customHeight="1" x14ac:dyDescent="0.2">
      <c r="B47" s="457"/>
      <c r="C47" s="457"/>
      <c r="D47" s="457"/>
      <c r="E47" s="457"/>
      <c r="F47" s="457"/>
      <c r="G47" s="457"/>
      <c r="H47" s="457"/>
      <c r="I47" s="457"/>
      <c r="J47" s="457"/>
      <c r="K47" s="457"/>
      <c r="L47" s="457"/>
    </row>
    <row r="48" spans="1:12" ht="12" customHeight="1" x14ac:dyDescent="0.2">
      <c r="A48" s="61" t="str">
        <f t="shared" si="1"/>
        <v>01</v>
      </c>
      <c r="B48" s="456" t="s">
        <v>553</v>
      </c>
      <c r="C48" s="456" t="s">
        <v>554</v>
      </c>
      <c r="D48" s="457"/>
      <c r="E48" s="457"/>
      <c r="F48" s="457"/>
      <c r="G48" s="457"/>
      <c r="H48" s="457"/>
      <c r="I48" s="457"/>
      <c r="J48" s="457"/>
      <c r="K48" s="457"/>
      <c r="L48" s="457"/>
    </row>
    <row r="49" spans="1:15" ht="12" customHeight="1" x14ac:dyDescent="0.2">
      <c r="A49" s="61" t="str">
        <f t="shared" si="1"/>
        <v>01</v>
      </c>
      <c r="B49" s="457"/>
      <c r="C49" s="457" t="s">
        <v>797</v>
      </c>
      <c r="D49" s="457"/>
      <c r="E49" s="457"/>
      <c r="F49" s="457"/>
      <c r="G49" s="457"/>
      <c r="H49" s="457"/>
      <c r="I49" s="457"/>
      <c r="J49" s="457"/>
      <c r="K49" s="457"/>
      <c r="L49" s="457"/>
    </row>
    <row r="50" spans="1:15" ht="12" customHeight="1" x14ac:dyDescent="0.2">
      <c r="A50" s="61" t="str">
        <f t="shared" si="1"/>
        <v>01</v>
      </c>
      <c r="B50" s="457"/>
      <c r="C50" s="457" t="s">
        <v>357</v>
      </c>
      <c r="D50" s="457"/>
      <c r="E50" s="457"/>
      <c r="F50" s="457"/>
      <c r="G50" s="457"/>
      <c r="H50" s="457"/>
      <c r="I50" s="460" t="s">
        <v>969</v>
      </c>
      <c r="J50" s="947"/>
      <c r="K50" s="460" t="s">
        <v>970</v>
      </c>
      <c r="L50" s="947"/>
      <c r="N50" s="2762" t="str">
        <f>IF(AND(ISBLANK($J$50),ISBLANK($L$50))=TRUE,"Answer Missing"," ")</f>
        <v>Answer Missing</v>
      </c>
      <c r="O50" s="2696"/>
    </row>
    <row r="51" spans="1:15" ht="12" customHeight="1" x14ac:dyDescent="0.2">
      <c r="A51" s="61" t="str">
        <f t="shared" si="1"/>
        <v>01</v>
      </c>
      <c r="B51" s="457"/>
      <c r="C51" s="456" t="s">
        <v>316</v>
      </c>
      <c r="D51" s="457"/>
      <c r="E51" s="457"/>
      <c r="F51" s="457"/>
      <c r="G51" s="457"/>
      <c r="H51" s="457"/>
      <c r="I51" s="457"/>
      <c r="J51" s="457"/>
      <c r="K51" s="457"/>
      <c r="L51" s="457"/>
    </row>
    <row r="52" spans="1:15" ht="12" customHeight="1" x14ac:dyDescent="0.2">
      <c r="A52" s="61" t="str">
        <f t="shared" si="1"/>
        <v>01</v>
      </c>
      <c r="B52" s="457"/>
      <c r="C52" s="2757"/>
      <c r="D52" s="2758"/>
      <c r="E52" s="2758"/>
      <c r="F52" s="2758"/>
      <c r="G52" s="2758"/>
      <c r="H52" s="2758"/>
      <c r="I52" s="2758"/>
      <c r="J52" s="2758"/>
      <c r="K52" s="2758"/>
      <c r="L52" s="2758"/>
      <c r="M52" s="1427"/>
      <c r="N52" s="2766" t="str">
        <f>IF(ISTEXT(J50), "Response for Yes needed", " ")</f>
        <v xml:space="preserve"> </v>
      </c>
      <c r="O52" s="2766"/>
    </row>
    <row r="53" spans="1:15" ht="12" customHeight="1" x14ac:dyDescent="0.2">
      <c r="A53" s="61" t="str">
        <f t="shared" si="1"/>
        <v>01</v>
      </c>
      <c r="B53" s="457"/>
      <c r="C53" s="2757"/>
      <c r="D53" s="2758"/>
      <c r="E53" s="2758"/>
      <c r="F53" s="2758"/>
      <c r="G53" s="2758"/>
      <c r="H53" s="2758"/>
      <c r="I53" s="2758"/>
      <c r="J53" s="2758"/>
      <c r="K53" s="2758"/>
      <c r="L53" s="2758"/>
    </row>
    <row r="54" spans="1:15" ht="5.0999999999999996" customHeight="1" x14ac:dyDescent="0.2">
      <c r="A54" s="61" t="str">
        <f t="shared" si="1"/>
        <v>01</v>
      </c>
      <c r="B54" s="457"/>
      <c r="C54" s="457"/>
      <c r="D54" s="457"/>
      <c r="E54" s="457"/>
      <c r="F54" s="457"/>
      <c r="G54" s="457"/>
      <c r="H54" s="457"/>
      <c r="I54" s="457"/>
      <c r="J54" s="457"/>
      <c r="K54" s="457"/>
      <c r="L54" s="457"/>
    </row>
    <row r="55" spans="1:15" ht="12" customHeight="1" x14ac:dyDescent="0.2">
      <c r="A55" s="61" t="str">
        <f t="shared" si="1"/>
        <v>01</v>
      </c>
      <c r="B55" s="456" t="s">
        <v>317</v>
      </c>
      <c r="C55" s="1190" t="s">
        <v>4644</v>
      </c>
      <c r="D55" s="457"/>
      <c r="E55" s="457"/>
      <c r="F55" s="457"/>
      <c r="G55" s="457"/>
      <c r="H55" s="457"/>
      <c r="I55" s="457"/>
      <c r="J55" s="457"/>
      <c r="K55" s="457"/>
      <c r="L55" s="457"/>
    </row>
    <row r="56" spans="1:15" ht="12" customHeight="1" x14ac:dyDescent="0.2">
      <c r="A56" s="61" t="str">
        <f t="shared" si="1"/>
        <v>01</v>
      </c>
      <c r="B56" s="457"/>
      <c r="C56" s="457" t="s">
        <v>1556</v>
      </c>
      <c r="D56" s="457"/>
      <c r="E56" s="457"/>
      <c r="F56" s="457"/>
      <c r="G56" s="457"/>
      <c r="H56" s="457"/>
      <c r="I56" s="457"/>
      <c r="J56" s="457"/>
      <c r="K56" s="457"/>
      <c r="L56" s="457"/>
    </row>
    <row r="57" spans="1:15" ht="12" customHeight="1" x14ac:dyDescent="0.2">
      <c r="A57" s="61" t="str">
        <f t="shared" si="1"/>
        <v>01</v>
      </c>
      <c r="B57" s="457"/>
      <c r="C57" s="457" t="s">
        <v>1557</v>
      </c>
      <c r="D57" s="457"/>
      <c r="E57" s="457"/>
      <c r="F57" s="457"/>
      <c r="G57" s="457"/>
      <c r="H57" s="457"/>
      <c r="I57" s="457"/>
      <c r="J57" s="457"/>
      <c r="K57" s="457"/>
      <c r="L57" s="457"/>
    </row>
    <row r="58" spans="1:15" ht="14.1" customHeight="1" x14ac:dyDescent="0.2">
      <c r="A58" s="61" t="str">
        <f t="shared" si="1"/>
        <v>01</v>
      </c>
      <c r="B58" s="457"/>
      <c r="C58" s="457"/>
      <c r="D58" s="457"/>
      <c r="E58" s="457"/>
      <c r="F58" s="457"/>
      <c r="G58" s="944" t="s">
        <v>969</v>
      </c>
      <c r="H58" s="1559"/>
      <c r="I58" s="460" t="s">
        <v>970</v>
      </c>
      <c r="J58" s="947"/>
      <c r="K58" s="1989" t="s">
        <v>345</v>
      </c>
      <c r="L58" s="709"/>
      <c r="N58" s="2762" t="str">
        <f>IF(AND(ISBLANK($H$58),ISBLANK($J$58),ISBLANK($L$58))=TRUE,"Answer Missing"," ")</f>
        <v>Answer Missing</v>
      </c>
      <c r="O58" s="2696"/>
    </row>
    <row r="59" spans="1:15" ht="5.0999999999999996" customHeight="1" x14ac:dyDescent="0.2">
      <c r="A59" s="61" t="str">
        <f t="shared" si="1"/>
        <v>01</v>
      </c>
    </row>
    <row r="60" spans="1:15" ht="12" customHeight="1" x14ac:dyDescent="0.2">
      <c r="A60" s="61" t="str">
        <f t="shared" si="1"/>
        <v>01</v>
      </c>
      <c r="B60" s="456" t="s">
        <v>1141</v>
      </c>
      <c r="C60" s="456" t="s">
        <v>248</v>
      </c>
      <c r="D60" s="457"/>
      <c r="E60" s="457"/>
      <c r="F60" s="457"/>
      <c r="G60" s="457"/>
      <c r="H60" s="457"/>
      <c r="I60" s="457"/>
      <c r="J60" s="457"/>
      <c r="K60" s="457"/>
      <c r="L60" s="457"/>
    </row>
    <row r="61" spans="1:15" x14ac:dyDescent="0.2">
      <c r="A61" s="61" t="str">
        <f t="shared" si="1"/>
        <v>01</v>
      </c>
      <c r="C61" s="945" t="s">
        <v>1345</v>
      </c>
      <c r="I61" s="460"/>
      <c r="J61" s="943"/>
      <c r="K61" s="460"/>
      <c r="L61" s="946"/>
    </row>
    <row r="62" spans="1:15" x14ac:dyDescent="0.2">
      <c r="A62" s="61" t="str">
        <f t="shared" si="1"/>
        <v>01</v>
      </c>
      <c r="C62" s="945" t="s">
        <v>1344</v>
      </c>
      <c r="I62" s="460" t="s">
        <v>969</v>
      </c>
      <c r="J62" s="947"/>
      <c r="K62" s="460" t="s">
        <v>970</v>
      </c>
      <c r="L62" s="709"/>
      <c r="N62" s="2762" t="str">
        <f>IF(AND(ISBLANK($J$62),ISBLANK($L$62))=TRUE,"Answer Missing"," ")</f>
        <v>Answer Missing</v>
      </c>
      <c r="O62" s="2696"/>
    </row>
    <row r="63" spans="1:15" ht="16.5" customHeight="1" x14ac:dyDescent="0.2">
      <c r="A63" s="61" t="str">
        <f t="shared" si="1"/>
        <v>01</v>
      </c>
      <c r="D63" s="949" t="s">
        <v>4237</v>
      </c>
      <c r="F63" s="2765"/>
      <c r="G63" s="2765"/>
      <c r="H63" s="2765"/>
      <c r="I63" s="2765"/>
      <c r="J63" s="2765"/>
      <c r="K63" s="2765"/>
      <c r="L63" s="2765"/>
    </row>
    <row r="64" spans="1:15" ht="5.0999999999999996" customHeight="1" x14ac:dyDescent="0.2">
      <c r="A64" s="61" t="str">
        <f t="shared" si="1"/>
        <v>01</v>
      </c>
    </row>
    <row r="65" spans="1:15" x14ac:dyDescent="0.2">
      <c r="A65" s="61" t="str">
        <f t="shared" si="1"/>
        <v>01</v>
      </c>
      <c r="B65" s="456" t="s">
        <v>1552</v>
      </c>
      <c r="C65" s="949" t="s">
        <v>1554</v>
      </c>
    </row>
    <row r="66" spans="1:15" x14ac:dyDescent="0.2">
      <c r="A66" s="61" t="str">
        <f t="shared" si="1"/>
        <v>01</v>
      </c>
      <c r="B66" s="456"/>
      <c r="C66" s="949" t="s">
        <v>4676</v>
      </c>
    </row>
    <row r="67" spans="1:15" x14ac:dyDescent="0.2">
      <c r="A67" s="61" t="str">
        <f t="shared" si="1"/>
        <v>01</v>
      </c>
      <c r="C67" s="949" t="s">
        <v>4330</v>
      </c>
      <c r="G67" s="944" t="s">
        <v>969</v>
      </c>
      <c r="H67" s="1559"/>
      <c r="I67" s="460" t="s">
        <v>970</v>
      </c>
      <c r="J67" s="947"/>
      <c r="K67" s="1989" t="s">
        <v>345</v>
      </c>
      <c r="L67" s="709"/>
      <c r="N67" s="2762" t="str">
        <f>IF(AND(ISBLANK($H$67),ISBLANK($J$67),ISBLANK($L$67))=TRUE,"Answer Missing"," ")</f>
        <v>Answer Missing</v>
      </c>
      <c r="O67" s="2696"/>
    </row>
    <row r="68" spans="1:15" ht="16.5" customHeight="1" x14ac:dyDescent="0.2">
      <c r="A68" s="61" t="str">
        <f t="shared" si="1"/>
        <v>01</v>
      </c>
      <c r="C68" s="457" t="s">
        <v>1555</v>
      </c>
      <c r="E68" s="2763"/>
      <c r="F68" s="2764"/>
      <c r="G68" s="2764"/>
      <c r="H68" s="2764"/>
      <c r="I68" s="2764"/>
      <c r="J68" s="2764"/>
      <c r="K68" s="2764"/>
      <c r="L68" s="2764"/>
    </row>
    <row r="69" spans="1:15" ht="11.1" customHeight="1" x14ac:dyDescent="0.2">
      <c r="C69" s="457"/>
      <c r="E69" s="1189"/>
      <c r="F69" s="675"/>
      <c r="G69" s="675"/>
      <c r="H69" s="675"/>
      <c r="I69" s="675"/>
      <c r="J69" s="675"/>
      <c r="K69" s="675"/>
      <c r="L69" s="675"/>
    </row>
    <row r="70" spans="1:15" x14ac:dyDescent="0.2">
      <c r="A70" s="61" t="str">
        <f t="shared" si="1"/>
        <v>01</v>
      </c>
      <c r="B70" s="1190"/>
    </row>
    <row r="71" spans="1:15" ht="15" x14ac:dyDescent="0.2">
      <c r="A71" s="443" t="str">
        <f ca="1">MID(CELL("filename",A1),FIND("]",CELL("filename",A1))+1,256)</f>
        <v>101</v>
      </c>
      <c r="B71" s="443"/>
      <c r="C71" s="443"/>
    </row>
    <row r="72" spans="1:15" ht="15" x14ac:dyDescent="0.2">
      <c r="A72" s="443" t="s">
        <v>446</v>
      </c>
      <c r="B72" s="443" t="str">
        <f t="shared" ref="B72:B81" ca="1" si="2">IF(ISNA(INDEX(ErrorTable,MATCH($A$71&amp;$A72&amp;FALSE,ErrorKey,0),6)),"",INDEX(ErrorTable,MATCH($A$71&amp;$A72&amp;FALSE,ErrorKey,0),6))</f>
        <v/>
      </c>
      <c r="C72" s="443"/>
    </row>
    <row r="73" spans="1:15" ht="15" x14ac:dyDescent="0.2">
      <c r="A73" s="443" t="s">
        <v>447</v>
      </c>
      <c r="B73" s="443" t="str">
        <f t="shared" ca="1" si="2"/>
        <v/>
      </c>
      <c r="C73" s="443"/>
    </row>
    <row r="74" spans="1:15" ht="15" x14ac:dyDescent="0.2">
      <c r="A74" s="443" t="s">
        <v>448</v>
      </c>
      <c r="B74" s="443" t="str">
        <f t="shared" ca="1" si="2"/>
        <v/>
      </c>
      <c r="C74" s="443"/>
    </row>
    <row r="75" spans="1:15" ht="15" x14ac:dyDescent="0.2">
      <c r="A75" s="443" t="s">
        <v>450</v>
      </c>
      <c r="B75" s="443" t="str">
        <f t="shared" ca="1" si="2"/>
        <v/>
      </c>
      <c r="C75" s="443"/>
    </row>
    <row r="76" spans="1:15" ht="15" x14ac:dyDescent="0.2">
      <c r="A76" s="443" t="s">
        <v>451</v>
      </c>
      <c r="B76" s="443" t="str">
        <f t="shared" ca="1" si="2"/>
        <v/>
      </c>
      <c r="C76" s="443"/>
    </row>
    <row r="77" spans="1:15" ht="15" x14ac:dyDescent="0.2">
      <c r="A77" s="443" t="s">
        <v>452</v>
      </c>
      <c r="B77" s="443" t="str">
        <f t="shared" ca="1" si="2"/>
        <v/>
      </c>
      <c r="C77" s="443"/>
    </row>
    <row r="78" spans="1:15" ht="15" x14ac:dyDescent="0.2">
      <c r="A78" s="443" t="s">
        <v>453</v>
      </c>
      <c r="B78" s="443" t="str">
        <f t="shared" ca="1" si="2"/>
        <v/>
      </c>
      <c r="C78" s="443"/>
    </row>
    <row r="79" spans="1:15" ht="15" x14ac:dyDescent="0.2">
      <c r="A79" s="443" t="s">
        <v>454</v>
      </c>
      <c r="B79" s="443" t="str">
        <f t="shared" ca="1" si="2"/>
        <v/>
      </c>
      <c r="C79" s="443"/>
    </row>
    <row r="80" spans="1:15" ht="15" x14ac:dyDescent="0.2">
      <c r="A80" s="443" t="s">
        <v>455</v>
      </c>
      <c r="B80" s="443" t="str">
        <f t="shared" ca="1" si="2"/>
        <v/>
      </c>
      <c r="C80" s="443"/>
    </row>
    <row r="81" spans="1:3" ht="15" x14ac:dyDescent="0.2">
      <c r="A81" s="443" t="s">
        <v>456</v>
      </c>
      <c r="B81" s="443" t="str">
        <f t="shared" ca="1" si="2"/>
        <v/>
      </c>
      <c r="C81" s="443"/>
    </row>
  </sheetData>
  <sheetProtection algorithmName="SHA-512" hashValue="T4Hp4WXiRhpVapLUM/buFv15TtNqzcqD1oy0I/Rcsc/C7eb8vMT4qBAxtWEUifzN7t5xR7+Mz1MXJpRpDCSppQ==" saltValue="ZJgvekHmovk17hvXH/UTeA==" spinCount="100000" sheet="1" objects="1" scenarios="1" autoFilter="0"/>
  <customSheetViews>
    <customSheetView guid="{B08879A4-635B-4C39-9937-AC7883D562FC}" showGridLines="0" fitToPage="1" hiddenColumns="1" topLeftCell="B1">
      <selection activeCell="I7" sqref="I7:L7"/>
      <pageMargins left="0.75" right="0.5" top="0.5" bottom="0.5" header="0.43" footer="0.25"/>
      <pageSetup scale="93" orientation="portrait" r:id="rId1"/>
      <headerFooter alignWithMargins="0">
        <oddFooter>&amp;R&amp;A</oddFooter>
      </headerFooter>
    </customSheetView>
    <customSheetView guid="{1250FD07-FF56-4A9D-AF9E-C27124A7EBE9}" showGridLines="0" fitToPage="1" showRuler="0">
      <selection sqref="A1:K1"/>
      <pageMargins left="0.75" right="0.75" top="0.64" bottom="0.64" header="0.43" footer="0.4"/>
      <pageSetup orientation="portrait" r:id="rId2"/>
      <headerFooter alignWithMargins="0">
        <oddFooter>&amp;R&amp;A</oddFooter>
      </headerFooter>
    </customSheetView>
    <customSheetView guid="{BEA4BE86-04D1-4C96-9358-7A260B9D2B2D}" showGridLines="0" fitToPage="1" showRuler="0">
      <selection sqref="A1:K1"/>
      <pageMargins left="0.75" right="0.75" top="0.64" bottom="0.64" header="0.43" footer="0.4"/>
      <pageSetup orientation="portrait" r:id="rId3"/>
      <headerFooter alignWithMargins="0">
        <oddFooter>&amp;R&amp;A</oddFooter>
      </headerFooter>
    </customSheetView>
    <customSheetView guid="{9FCFC836-1CA5-48BF-958D-24D2EA94B219}" showGridLines="0" fitToPage="1" hiddenColumns="1" topLeftCell="B1">
      <selection activeCell="I7" sqref="I7:L7"/>
      <pageMargins left="0.75" right="0.5" top="0.5" bottom="0.5" header="0.43" footer="0.25"/>
      <pageSetup scale="93" orientation="portrait" r:id="rId4"/>
      <headerFooter alignWithMargins="0">
        <oddFooter>&amp;R&amp;A</oddFooter>
      </headerFooter>
    </customSheetView>
  </customSheetViews>
  <mergeCells count="29">
    <mergeCell ref="N17:O17"/>
    <mergeCell ref="N25:O25"/>
    <mergeCell ref="N50:O50"/>
    <mergeCell ref="N58:O58"/>
    <mergeCell ref="N62:O62"/>
    <mergeCell ref="N31:O31"/>
    <mergeCell ref="N67:O67"/>
    <mergeCell ref="E68:L68"/>
    <mergeCell ref="G45:L45"/>
    <mergeCell ref="G46:L46"/>
    <mergeCell ref="C52:L52"/>
    <mergeCell ref="C53:L53"/>
    <mergeCell ref="F63:L63"/>
    <mergeCell ref="N52:O52"/>
    <mergeCell ref="G26:L26"/>
    <mergeCell ref="D37:L37"/>
    <mergeCell ref="D38:L38"/>
    <mergeCell ref="I8:L8"/>
    <mergeCell ref="F17:L17"/>
    <mergeCell ref="F18:L18"/>
    <mergeCell ref="F16:L16"/>
    <mergeCell ref="G32:L32"/>
    <mergeCell ref="M1:M3"/>
    <mergeCell ref="B1:L1"/>
    <mergeCell ref="I6:L6"/>
    <mergeCell ref="I7:L7"/>
    <mergeCell ref="B2:L2"/>
    <mergeCell ref="B3:L3"/>
    <mergeCell ref="I5:L5"/>
  </mergeCells>
  <phoneticPr fontId="15" type="noConversion"/>
  <conditionalFormatting sqref="M1:M3">
    <cfRule type="cellIs" dxfId="185" priority="14" stopIfTrue="1" operator="equal">
      <formula>"na"</formula>
    </cfRule>
  </conditionalFormatting>
  <conditionalFormatting sqref="N25">
    <cfRule type="containsText" dxfId="184" priority="12" stopIfTrue="1" operator="containsText" text="Answer Missing">
      <formula>NOT(ISERROR(SEARCH("Answer Missing",N25)))</formula>
    </cfRule>
  </conditionalFormatting>
  <conditionalFormatting sqref="N50">
    <cfRule type="containsText" dxfId="183" priority="10" stopIfTrue="1" operator="containsText" text="Answer Missing">
      <formula>NOT(ISERROR(SEARCH("Answer Missing",N50)))</formula>
    </cfRule>
  </conditionalFormatting>
  <conditionalFormatting sqref="M52">
    <cfRule type="containsText" dxfId="182" priority="9" stopIfTrue="1" operator="containsText" text="Response for Yes needed">
      <formula>NOT(ISERROR(SEARCH("Response for Yes needed",M52)))</formula>
    </cfRule>
  </conditionalFormatting>
  <conditionalFormatting sqref="M52:N52">
    <cfRule type="containsText" dxfId="181" priority="8" stopIfTrue="1" operator="containsText" text="Response for Yes needed">
      <formula>NOT(ISERROR(SEARCH("Response for Yes needed",M52)))</formula>
    </cfRule>
  </conditionalFormatting>
  <conditionalFormatting sqref="N58">
    <cfRule type="containsText" dxfId="180" priority="7" stopIfTrue="1" operator="containsText" text="Answer Missing">
      <formula>NOT(ISERROR(SEARCH("Answer Missing",N58)))</formula>
    </cfRule>
  </conditionalFormatting>
  <conditionalFormatting sqref="N62">
    <cfRule type="containsText" dxfId="179" priority="6" stopIfTrue="1" operator="containsText" text="Answer Missing">
      <formula>NOT(ISERROR(SEARCH("Answer Missing",N62)))</formula>
    </cfRule>
  </conditionalFormatting>
  <conditionalFormatting sqref="N67">
    <cfRule type="containsText" dxfId="178" priority="4" stopIfTrue="1" operator="containsText" text="Answer Missing">
      <formula>NOT(ISERROR(SEARCH("Answer Missing",N67)))</formula>
    </cfRule>
  </conditionalFormatting>
  <conditionalFormatting sqref="N17">
    <cfRule type="containsText" dxfId="177" priority="3" stopIfTrue="1" operator="containsText" text="Answer Missing">
      <formula>NOT(ISERROR(SEARCH("Answer Missing",N17)))</formula>
    </cfRule>
  </conditionalFormatting>
  <conditionalFormatting sqref="N17:O17">
    <cfRule type="containsText" dxfId="176" priority="2" operator="containsText" text="Valuation Missing">
      <formula>NOT(ISERROR(SEARCH("Valuation Missing",N17)))</formula>
    </cfRule>
  </conditionalFormatting>
  <conditionalFormatting sqref="N31">
    <cfRule type="containsText" dxfId="175" priority="1" stopIfTrue="1" operator="containsText" text="Answer Missing">
      <formula>NOT(ISERROR(SEARCH("Answer Missing",N31)))</formula>
    </cfRule>
  </conditionalFormatting>
  <hyperlinks>
    <hyperlink ref="B1:L1" location="Index!A1" display="Index!A1" xr:uid="{00000000-0004-0000-0300-000000000000}"/>
  </hyperlinks>
  <pageMargins left="0.75" right="0.5" top="0.5" bottom="0.5" header="0.43" footer="0.25"/>
  <pageSetup scale="85" orientation="portrait" r:id="rId5"/>
  <headerFooter alignWithMargins="0">
    <oddFooter>&amp;R&amp;A</oddFooter>
  </headerFooter>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4"/>
  <sheetViews>
    <sheetView showGridLines="0" topLeftCell="B1" zoomScaleNormal="100" workbookViewId="0"/>
  </sheetViews>
  <sheetFormatPr defaultColWidth="9.42578125" defaultRowHeight="15.75" x14ac:dyDescent="0.25"/>
  <cols>
    <col min="1" max="1" width="0" style="53" hidden="1" customWidth="1"/>
    <col min="2" max="2" width="13.5703125" style="53" customWidth="1"/>
    <col min="3" max="3" width="1.5703125" style="53" customWidth="1"/>
    <col min="4" max="4" width="7.42578125" style="53" customWidth="1"/>
    <col min="5" max="5" width="1.5703125" style="53" customWidth="1"/>
    <col min="6" max="6" width="8.42578125" style="53" customWidth="1"/>
    <col min="7" max="7" width="1.5703125" style="53" customWidth="1"/>
    <col min="8" max="8" width="16.5703125" style="53" customWidth="1"/>
    <col min="9" max="9" width="1.5703125" style="53" customWidth="1"/>
    <col min="10" max="10" width="15.42578125" style="53" customWidth="1"/>
    <col min="11" max="11" width="1" style="53" customWidth="1"/>
    <col min="12" max="12" width="13.42578125" style="53" customWidth="1"/>
    <col min="13" max="13" width="0.85546875" style="53" customWidth="1"/>
    <col min="14" max="14" width="13.42578125" style="53" customWidth="1"/>
    <col min="15" max="15" width="0.85546875" style="53" customWidth="1"/>
    <col min="16" max="16" width="36.42578125" style="53" customWidth="1"/>
    <col min="17" max="17" width="4.5703125" style="53" bestFit="1" customWidth="1"/>
    <col min="18" max="16384" width="9.42578125" style="53"/>
  </cols>
  <sheetData>
    <row r="1" spans="2:17"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3075" t="str">
        <f>IF(Index!$B$67="na","NA","")</f>
        <v/>
      </c>
    </row>
    <row r="2" spans="2:17"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3075"/>
    </row>
    <row r="3" spans="2:17" s="171" customFormat="1" ht="15" customHeight="1" x14ac:dyDescent="0.25">
      <c r="B3" s="3080" t="s">
        <v>1522</v>
      </c>
      <c r="C3" s="3080"/>
      <c r="D3" s="3080"/>
      <c r="E3" s="3080"/>
      <c r="F3" s="3080"/>
      <c r="G3" s="3080"/>
      <c r="H3" s="3080"/>
      <c r="I3" s="3080"/>
      <c r="J3" s="3080"/>
      <c r="K3" s="3080"/>
      <c r="L3" s="3080"/>
      <c r="M3" s="3080"/>
      <c r="N3" s="3080"/>
      <c r="O3" s="3080"/>
      <c r="P3" s="3080"/>
      <c r="Q3" s="3075"/>
    </row>
    <row r="4" spans="2:17" s="171" customFormat="1" ht="15" customHeight="1" x14ac:dyDescent="0.25">
      <c r="B4" s="3080" t="s">
        <v>4811</v>
      </c>
      <c r="C4" s="3080"/>
      <c r="D4" s="3080"/>
      <c r="E4" s="3080"/>
      <c r="F4" s="3080"/>
      <c r="G4" s="3080"/>
      <c r="H4" s="3080"/>
      <c r="I4" s="3080"/>
      <c r="J4" s="3080"/>
      <c r="K4" s="3080"/>
      <c r="L4" s="3080"/>
      <c r="M4" s="3080"/>
      <c r="N4" s="3080"/>
      <c r="O4" s="3080"/>
      <c r="P4" s="3080"/>
    </row>
    <row r="5" spans="2:17" s="173" customFormat="1" ht="15" customHeight="1" x14ac:dyDescent="0.3">
      <c r="B5" s="179"/>
      <c r="C5" s="180"/>
      <c r="D5" s="180"/>
      <c r="E5" s="180"/>
      <c r="F5" s="180"/>
      <c r="G5" s="180"/>
      <c r="H5" s="180"/>
      <c r="I5" s="180"/>
      <c r="J5" s="180"/>
      <c r="K5" s="179"/>
      <c r="L5" s="1469"/>
      <c r="M5" s="1469"/>
      <c r="N5" s="1469"/>
      <c r="O5" s="180"/>
      <c r="P5" s="1588" t="s">
        <v>3797</v>
      </c>
    </row>
    <row r="6" spans="2:17" s="173" customFormat="1" ht="15" customHeight="1" x14ac:dyDescent="0.2">
      <c r="B6" s="172" t="s">
        <v>327</v>
      </c>
      <c r="D6" s="3076" t="str">
        <f>+Index!$E$10</f>
        <v>01</v>
      </c>
      <c r="E6" s="3076"/>
      <c r="F6" s="3076"/>
      <c r="G6" s="3076"/>
      <c r="H6" s="157"/>
      <c r="O6" s="174" t="s">
        <v>972</v>
      </c>
      <c r="P6" s="773" t="str">
        <f>CONCATENATE(Index!$E$12," ",Index!$E$14)</f>
        <v xml:space="preserve"> </v>
      </c>
    </row>
    <row r="7" spans="2:17" s="173" customFormat="1" ht="15" customHeight="1" x14ac:dyDescent="0.2">
      <c r="B7" s="172" t="s">
        <v>1154</v>
      </c>
      <c r="D7" s="3076" t="str">
        <f>+Index!$E$11</f>
        <v>North Carolina General Assembly</v>
      </c>
      <c r="E7" s="3076"/>
      <c r="F7" s="3076"/>
      <c r="G7" s="3076"/>
      <c r="H7" s="307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2" t="s">
        <v>1523</v>
      </c>
      <c r="D10" s="158" t="s">
        <v>982</v>
      </c>
      <c r="E10" s="156"/>
      <c r="F10" s="158" t="s">
        <v>982</v>
      </c>
      <c r="I10" s="179"/>
      <c r="J10" s="3079" t="s">
        <v>156</v>
      </c>
      <c r="K10" s="3079"/>
      <c r="L10" s="3079"/>
      <c r="M10" s="3079"/>
      <c r="N10" s="3079"/>
      <c r="O10" s="159"/>
    </row>
    <row r="11" spans="2:17" s="173" customFormat="1" ht="15" customHeight="1" x14ac:dyDescent="0.2">
      <c r="B11" s="177" t="s">
        <v>1064</v>
      </c>
      <c r="D11" s="158" t="s">
        <v>722</v>
      </c>
      <c r="E11" s="156"/>
      <c r="F11" s="158" t="s">
        <v>1157</v>
      </c>
      <c r="I11" s="179"/>
      <c r="J11" s="156"/>
      <c r="K11" s="156"/>
      <c r="L11" s="2436" t="s">
        <v>5395</v>
      </c>
      <c r="M11" s="158"/>
      <c r="N11" s="2436" t="s">
        <v>5394</v>
      </c>
      <c r="O11" s="156"/>
    </row>
    <row r="12" spans="2:17" s="173" customFormat="1" ht="15" customHeight="1" thickBot="1" x14ac:dyDescent="0.25">
      <c r="B12" s="181" t="s">
        <v>684</v>
      </c>
      <c r="C12" s="177"/>
      <c r="D12" s="160" t="s">
        <v>808</v>
      </c>
      <c r="E12" s="156"/>
      <c r="F12" s="160" t="s">
        <v>808</v>
      </c>
      <c r="H12" s="181" t="s">
        <v>1156</v>
      </c>
      <c r="J12" s="160" t="s">
        <v>1097</v>
      </c>
      <c r="K12" s="162"/>
      <c r="L12" s="2438" t="s">
        <v>5396</v>
      </c>
      <c r="M12" s="2464"/>
      <c r="N12" s="2438" t="s">
        <v>1307</v>
      </c>
      <c r="O12" s="162"/>
      <c r="P12" s="181" t="s">
        <v>980</v>
      </c>
    </row>
    <row r="13" spans="2:17" s="173" customFormat="1" ht="15" customHeight="1" x14ac:dyDescent="0.2">
      <c r="B13" s="241">
        <v>212500</v>
      </c>
      <c r="C13" s="242"/>
      <c r="D13" s="561"/>
      <c r="E13" s="242"/>
      <c r="F13" s="561"/>
      <c r="G13" s="242"/>
      <c r="H13" s="562"/>
      <c r="J13" s="557"/>
      <c r="K13" s="1850"/>
      <c r="L13" s="558"/>
      <c r="M13" s="2465"/>
      <c r="N13" s="2660"/>
      <c r="O13" s="1849"/>
      <c r="P13" s="557"/>
    </row>
    <row r="14" spans="2:17" s="173" customFormat="1" ht="15" customHeight="1" x14ac:dyDescent="0.2">
      <c r="B14" s="241">
        <v>212500</v>
      </c>
      <c r="C14" s="242"/>
      <c r="D14" s="561"/>
      <c r="E14" s="242"/>
      <c r="F14" s="561"/>
      <c r="G14" s="242"/>
      <c r="H14" s="562"/>
      <c r="J14" s="1851"/>
      <c r="K14" s="1850"/>
      <c r="L14" s="2662"/>
      <c r="M14" s="2465"/>
      <c r="N14" s="2660"/>
      <c r="O14" s="1849"/>
      <c r="P14" s="1851"/>
    </row>
    <row r="15" spans="2:17" s="173" customFormat="1" ht="15" customHeight="1" x14ac:dyDescent="0.2">
      <c r="B15" s="241">
        <v>212500</v>
      </c>
      <c r="C15" s="242"/>
      <c r="D15" s="561"/>
      <c r="E15" s="242"/>
      <c r="F15" s="561"/>
      <c r="G15" s="242"/>
      <c r="H15" s="562"/>
      <c r="J15" s="557"/>
      <c r="K15" s="1850"/>
      <c r="L15" s="558"/>
      <c r="M15" s="2465"/>
      <c r="N15" s="2660"/>
      <c r="O15" s="1849"/>
      <c r="P15" s="1851"/>
    </row>
    <row r="16" spans="2:17" s="173" customFormat="1" ht="15" customHeight="1" x14ac:dyDescent="0.2">
      <c r="B16" s="241">
        <v>212500</v>
      </c>
      <c r="C16" s="242"/>
      <c r="D16" s="561"/>
      <c r="E16" s="242"/>
      <c r="F16" s="561"/>
      <c r="G16" s="242"/>
      <c r="H16" s="562"/>
      <c r="J16" s="557"/>
      <c r="K16" s="156"/>
      <c r="L16" s="558"/>
      <c r="M16" s="2465"/>
      <c r="N16" s="2660"/>
      <c r="P16" s="557"/>
    </row>
    <row r="17" spans="2:16" s="173" customFormat="1" ht="15" customHeight="1" x14ac:dyDescent="0.2">
      <c r="B17" s="241">
        <v>212500</v>
      </c>
      <c r="C17" s="242"/>
      <c r="D17" s="561"/>
      <c r="E17" s="242"/>
      <c r="F17" s="561"/>
      <c r="G17" s="242"/>
      <c r="H17" s="562"/>
      <c r="J17" s="560"/>
      <c r="L17" s="563"/>
      <c r="M17" s="2466"/>
      <c r="N17" s="2660"/>
      <c r="P17" s="560"/>
    </row>
    <row r="18" spans="2:16" s="173" customFormat="1" ht="15" customHeight="1" x14ac:dyDescent="0.2">
      <c r="B18" s="241">
        <v>212500</v>
      </c>
      <c r="C18" s="242"/>
      <c r="D18" s="561"/>
      <c r="E18" s="242"/>
      <c r="F18" s="561"/>
      <c r="G18" s="242"/>
      <c r="H18" s="562"/>
      <c r="J18" s="560"/>
      <c r="L18" s="563"/>
      <c r="M18" s="2466"/>
      <c r="N18" s="2660"/>
      <c r="P18" s="560"/>
    </row>
    <row r="19" spans="2:16" s="173" customFormat="1" ht="15" customHeight="1" x14ac:dyDescent="0.2">
      <c r="B19" s="241">
        <v>212500</v>
      </c>
      <c r="C19" s="242"/>
      <c r="D19" s="561"/>
      <c r="E19" s="242"/>
      <c r="F19" s="561"/>
      <c r="G19" s="242"/>
      <c r="H19" s="562"/>
      <c r="J19" s="560"/>
      <c r="L19" s="563"/>
      <c r="M19" s="2466"/>
      <c r="N19" s="2660"/>
      <c r="P19" s="560"/>
    </row>
    <row r="20" spans="2:16" s="173" customFormat="1" ht="15" customHeight="1" x14ac:dyDescent="0.2">
      <c r="B20" s="241">
        <v>212500</v>
      </c>
      <c r="C20" s="242"/>
      <c r="D20" s="561"/>
      <c r="E20" s="242"/>
      <c r="F20" s="561"/>
      <c r="G20" s="242"/>
      <c r="H20" s="562"/>
      <c r="J20" s="560"/>
      <c r="L20" s="563"/>
      <c r="M20" s="2466"/>
      <c r="N20" s="2660"/>
      <c r="P20" s="560"/>
    </row>
    <row r="21" spans="2:16" s="173" customFormat="1" ht="15" customHeight="1" x14ac:dyDescent="0.2">
      <c r="B21" s="241">
        <v>212500</v>
      </c>
      <c r="C21" s="242"/>
      <c r="D21" s="561"/>
      <c r="E21" s="242"/>
      <c r="F21" s="561"/>
      <c r="G21" s="242"/>
      <c r="H21" s="562"/>
      <c r="J21" s="560"/>
      <c r="L21" s="563"/>
      <c r="M21" s="2466"/>
      <c r="N21" s="2660"/>
      <c r="P21" s="560"/>
    </row>
    <row r="22" spans="2:16" s="173" customFormat="1" ht="15" customHeight="1" x14ac:dyDescent="0.2">
      <c r="B22" s="241">
        <v>212500</v>
      </c>
      <c r="C22" s="242"/>
      <c r="D22" s="561"/>
      <c r="E22" s="242"/>
      <c r="F22" s="561"/>
      <c r="G22" s="242"/>
      <c r="H22" s="562"/>
      <c r="J22" s="560"/>
      <c r="L22" s="563"/>
      <c r="M22" s="2466"/>
      <c r="N22" s="2660"/>
      <c r="P22" s="560"/>
    </row>
    <row r="23" spans="2:16" s="173" customFormat="1" ht="15" customHeight="1" x14ac:dyDescent="0.2">
      <c r="B23" s="241">
        <v>212500</v>
      </c>
      <c r="C23" s="242"/>
      <c r="D23" s="561"/>
      <c r="E23" s="242"/>
      <c r="F23" s="561"/>
      <c r="G23" s="242"/>
      <c r="H23" s="562"/>
      <c r="J23" s="560"/>
      <c r="L23" s="563"/>
      <c r="M23" s="2466"/>
      <c r="N23" s="2660"/>
      <c r="P23" s="560"/>
    </row>
    <row r="24" spans="2:16" s="173" customFormat="1" ht="15" customHeight="1" x14ac:dyDescent="0.2">
      <c r="B24" s="241">
        <v>212500</v>
      </c>
      <c r="C24" s="242"/>
      <c r="D24" s="561"/>
      <c r="E24" s="242"/>
      <c r="F24" s="561"/>
      <c r="G24" s="242"/>
      <c r="H24" s="562"/>
      <c r="J24" s="560"/>
      <c r="L24" s="563"/>
      <c r="M24" s="2466"/>
      <c r="N24" s="2660"/>
      <c r="P24" s="560"/>
    </row>
    <row r="25" spans="2:16" s="173" customFormat="1" ht="15" customHeight="1" x14ac:dyDescent="0.2">
      <c r="B25" s="241">
        <v>212500</v>
      </c>
      <c r="C25" s="242"/>
      <c r="D25" s="561"/>
      <c r="E25" s="242"/>
      <c r="F25" s="561"/>
      <c r="G25" s="242"/>
      <c r="H25" s="562"/>
      <c r="J25" s="560"/>
      <c r="L25" s="563"/>
      <c r="M25" s="2466"/>
      <c r="N25" s="2660"/>
      <c r="P25" s="560"/>
    </row>
    <row r="26" spans="2:16" s="173" customFormat="1" ht="15" customHeight="1" x14ac:dyDescent="0.2">
      <c r="B26" s="241">
        <v>212500</v>
      </c>
      <c r="C26" s="242"/>
      <c r="D26" s="561"/>
      <c r="E26" s="242"/>
      <c r="F26" s="561"/>
      <c r="G26" s="242"/>
      <c r="H26" s="562"/>
      <c r="J26" s="560"/>
      <c r="L26" s="563"/>
      <c r="M26" s="2466"/>
      <c r="N26" s="2660"/>
      <c r="P26" s="560"/>
    </row>
    <row r="27" spans="2:16" s="173" customFormat="1" ht="15" customHeight="1" x14ac:dyDescent="0.2">
      <c r="B27" s="241">
        <v>212500</v>
      </c>
      <c r="C27" s="242"/>
      <c r="D27" s="561"/>
      <c r="E27" s="242"/>
      <c r="F27" s="561"/>
      <c r="G27" s="242"/>
      <c r="H27" s="562"/>
      <c r="J27" s="560"/>
      <c r="L27" s="563"/>
      <c r="M27" s="2466"/>
      <c r="N27" s="2660"/>
      <c r="P27" s="560"/>
    </row>
    <row r="28" spans="2:16" s="173" customFormat="1" ht="15" customHeight="1" x14ac:dyDescent="0.2">
      <c r="B28" s="241">
        <v>212500</v>
      </c>
      <c r="C28" s="242"/>
      <c r="D28" s="561"/>
      <c r="E28" s="242"/>
      <c r="F28" s="561"/>
      <c r="G28" s="242"/>
      <c r="H28" s="562"/>
      <c r="J28" s="560"/>
      <c r="L28" s="563"/>
      <c r="M28" s="2466"/>
      <c r="N28" s="2660"/>
      <c r="P28" s="560"/>
    </row>
    <row r="29" spans="2:16" s="173" customFormat="1" ht="15" customHeight="1" x14ac:dyDescent="0.2">
      <c r="B29" s="241">
        <v>212500</v>
      </c>
      <c r="C29" s="242"/>
      <c r="D29" s="561"/>
      <c r="E29" s="242"/>
      <c r="F29" s="561"/>
      <c r="G29" s="242"/>
      <c r="H29" s="562"/>
      <c r="J29" s="560"/>
      <c r="L29" s="563"/>
      <c r="M29" s="2466"/>
      <c r="N29" s="2660"/>
      <c r="P29" s="560"/>
    </row>
    <row r="30" spans="2:16" s="173" customFormat="1" ht="15" customHeight="1" x14ac:dyDescent="0.2">
      <c r="B30" s="241">
        <v>212500</v>
      </c>
      <c r="C30" s="242"/>
      <c r="D30" s="561"/>
      <c r="E30" s="242"/>
      <c r="F30" s="561"/>
      <c r="G30" s="242"/>
      <c r="H30" s="562"/>
      <c r="J30" s="560"/>
      <c r="L30" s="563"/>
      <c r="M30" s="2466"/>
      <c r="N30" s="2660"/>
      <c r="P30" s="560"/>
    </row>
    <row r="31" spans="2:16" s="173" customFormat="1" ht="15" customHeight="1" thickBot="1" x14ac:dyDescent="0.25">
      <c r="E31" s="177"/>
      <c r="F31" s="177" t="s">
        <v>981</v>
      </c>
      <c r="G31" s="177"/>
      <c r="H31" s="178">
        <f>SUM(H13:H30)</f>
        <v>0</v>
      </c>
      <c r="J31" s="245" t="s">
        <v>5554</v>
      </c>
    </row>
    <row r="32" spans="2:16" s="173" customFormat="1" ht="7.35" customHeight="1" x14ac:dyDescent="0.2">
      <c r="E32" s="177"/>
      <c r="F32" s="177"/>
      <c r="G32" s="177"/>
      <c r="O32" s="177"/>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MID(CELL("filename",A3),FIND("]",CELL("filename",A3))+1,256)</f>
        <v>520</v>
      </c>
      <c r="B37" s="443" t="s">
        <v>449</v>
      </c>
      <c r="E37" s="177"/>
      <c r="F37" s="177"/>
      <c r="G37" s="177"/>
      <c r="O37" s="177"/>
    </row>
    <row r="38" spans="1:15" s="173" customFormat="1" ht="15" customHeight="1"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s="173" customFormat="1" ht="15" customHeight="1" x14ac:dyDescent="0.2">
      <c r="A39" s="443" t="s">
        <v>447</v>
      </c>
      <c r="B39" s="443" t="str">
        <f t="shared" ca="1" si="0"/>
        <v/>
      </c>
      <c r="E39" s="177"/>
      <c r="F39" s="177"/>
      <c r="G39" s="177"/>
      <c r="O39" s="177"/>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R61Qy/qU8ksWvg0ibbU0rCifZ/BfeT723jOoDqE2wI+fIE1DnhgcLK0YzKHcdqnc8+BgMaB/tCFxrQ+vmP4htA==" saltValue="isw8Q3n+8lvgykEU9GL2Jg=="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6"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A00-000000000000}">
      <formula1>4</formula1>
    </dataValidation>
    <dataValidation type="list" allowBlank="1" showInputMessage="1" showErrorMessage="1" sqref="D13:D30" xr:uid="{00000000-0002-0000-2A00-000001000000}">
      <formula1>List505thru520</formula1>
    </dataValidation>
  </dataValidations>
  <hyperlinks>
    <hyperlink ref="B1:P1" location="Index!A1" display="Index!A1" xr:uid="{00000000-0004-0000-2A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5"/>
  <sheetViews>
    <sheetView showGridLines="0" topLeftCell="B1" zoomScaleNormal="100" workbookViewId="0">
      <selection activeCell="W11" sqref="W11"/>
    </sheetView>
  </sheetViews>
  <sheetFormatPr defaultColWidth="9.42578125" defaultRowHeight="15.75" x14ac:dyDescent="0.25"/>
  <cols>
    <col min="1" max="1" width="9.42578125"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7" style="53" customWidth="1"/>
    <col min="9" max="9" width="1.5703125" style="53" customWidth="1"/>
    <col min="10" max="10" width="15.42578125" style="53" customWidth="1"/>
    <col min="11" max="11" width="1.140625" style="53" customWidth="1"/>
    <col min="12" max="12" width="13.42578125" style="53" customWidth="1"/>
    <col min="13" max="13" width="1.28515625" style="53" customWidth="1"/>
    <col min="14" max="14" width="13.42578125" style="53" customWidth="1"/>
    <col min="15" max="15" width="1.5703125" style="53" customWidth="1"/>
    <col min="16" max="16" width="36.42578125" style="53" customWidth="1"/>
    <col min="17" max="17" width="4.5703125" style="53" bestFit="1" customWidth="1"/>
    <col min="18" max="16384" width="9.42578125" style="53"/>
  </cols>
  <sheetData>
    <row r="1" spans="2:17"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3075" t="str">
        <f>IF(Index!$B$68="na","NA","")</f>
        <v/>
      </c>
    </row>
    <row r="2" spans="2:17"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3075"/>
    </row>
    <row r="3" spans="2:17" s="171" customFormat="1" ht="15" customHeight="1" x14ac:dyDescent="0.25">
      <c r="B3" s="3080" t="s">
        <v>1526</v>
      </c>
      <c r="C3" s="3080"/>
      <c r="D3" s="3080"/>
      <c r="E3" s="3080"/>
      <c r="F3" s="3080"/>
      <c r="G3" s="3080"/>
      <c r="H3" s="3080"/>
      <c r="I3" s="3080"/>
      <c r="J3" s="3080"/>
      <c r="K3" s="3080"/>
      <c r="L3" s="3080"/>
      <c r="M3" s="3080"/>
      <c r="N3" s="3080"/>
      <c r="O3" s="3080"/>
      <c r="P3" s="3080"/>
      <c r="Q3" s="3075"/>
    </row>
    <row r="4" spans="2:17" s="171" customFormat="1" ht="15" customHeight="1" x14ac:dyDescent="0.25">
      <c r="B4" s="3080" t="s">
        <v>4811</v>
      </c>
      <c r="C4" s="3080"/>
      <c r="D4" s="3080"/>
      <c r="E4" s="3080"/>
      <c r="F4" s="3080"/>
      <c r="G4" s="3080"/>
      <c r="H4" s="3080"/>
      <c r="I4" s="3080"/>
      <c r="J4" s="3080"/>
      <c r="K4" s="3080"/>
      <c r="L4" s="3080"/>
      <c r="M4" s="3080"/>
      <c r="N4" s="3080"/>
      <c r="O4" s="3080"/>
      <c r="P4" s="3080"/>
    </row>
    <row r="5" spans="2:17" s="173" customFormat="1" ht="15" customHeight="1" x14ac:dyDescent="0.2">
      <c r="B5" s="179"/>
      <c r="C5" s="180"/>
      <c r="D5" s="180"/>
      <c r="E5" s="180"/>
      <c r="F5" s="180"/>
      <c r="G5" s="180"/>
      <c r="H5" s="180"/>
      <c r="I5" s="180"/>
      <c r="J5" s="180"/>
      <c r="K5" s="179"/>
      <c r="L5" s="180"/>
      <c r="M5" s="180"/>
      <c r="N5" s="180"/>
      <c r="O5" s="180"/>
      <c r="P5" s="180"/>
    </row>
    <row r="6" spans="2:17" s="173" customFormat="1" ht="15" customHeight="1" x14ac:dyDescent="0.2">
      <c r="B6" s="172" t="s">
        <v>327</v>
      </c>
      <c r="D6" s="3076" t="str">
        <f>+Index!$E$10</f>
        <v>01</v>
      </c>
      <c r="E6" s="3076"/>
      <c r="F6" s="3076"/>
      <c r="G6" s="3076"/>
      <c r="H6" s="157"/>
      <c r="O6" s="174" t="s">
        <v>972</v>
      </c>
      <c r="P6" s="773" t="str">
        <f>CONCATENATE(Index!$E$12," ",Index!$E$14)</f>
        <v xml:space="preserve"> </v>
      </c>
    </row>
    <row r="7" spans="2:17" s="173" customFormat="1" ht="15" customHeight="1" x14ac:dyDescent="0.2">
      <c r="B7" s="172" t="s">
        <v>1154</v>
      </c>
      <c r="D7" s="3076" t="str">
        <f>+Index!$E$11</f>
        <v>North Carolina General Assembly</v>
      </c>
      <c r="E7" s="3076"/>
      <c r="F7" s="3076"/>
      <c r="G7" s="3076"/>
      <c r="H7" s="307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6" t="s">
        <v>1525</v>
      </c>
      <c r="C10" s="1081"/>
      <c r="D10" s="158" t="s">
        <v>979</v>
      </c>
      <c r="E10" s="156"/>
      <c r="F10" s="158" t="s">
        <v>979</v>
      </c>
      <c r="I10" s="179"/>
      <c r="J10" s="3079" t="s">
        <v>1096</v>
      </c>
      <c r="K10" s="3079"/>
      <c r="L10" s="3079"/>
      <c r="M10" s="3079"/>
      <c r="N10" s="3079"/>
      <c r="O10" s="159"/>
    </row>
    <row r="11" spans="2:17" s="173" customFormat="1" ht="15" customHeight="1" x14ac:dyDescent="0.2">
      <c r="B11" s="177" t="s">
        <v>1064</v>
      </c>
      <c r="D11" s="158" t="s">
        <v>722</v>
      </c>
      <c r="E11" s="156"/>
      <c r="F11" s="158" t="s">
        <v>1157</v>
      </c>
      <c r="I11" s="179"/>
      <c r="J11" s="156"/>
      <c r="K11" s="156"/>
      <c r="L11" s="2436" t="s">
        <v>5395</v>
      </c>
      <c r="M11" s="158"/>
      <c r="N11" s="2436" t="s">
        <v>5394</v>
      </c>
      <c r="O11" s="156"/>
    </row>
    <row r="12" spans="2:17" s="173" customFormat="1" ht="15" customHeight="1" thickBot="1" x14ac:dyDescent="0.25">
      <c r="B12" s="181" t="s">
        <v>684</v>
      </c>
      <c r="C12" s="177"/>
      <c r="D12" s="160" t="s">
        <v>808</v>
      </c>
      <c r="E12" s="156"/>
      <c r="F12" s="160" t="s">
        <v>808</v>
      </c>
      <c r="H12" s="181" t="s">
        <v>1156</v>
      </c>
      <c r="J12" s="160" t="s">
        <v>1097</v>
      </c>
      <c r="K12" s="162"/>
      <c r="L12" s="2438" t="s">
        <v>5396</v>
      </c>
      <c r="M12" s="2464"/>
      <c r="N12" s="2438" t="s">
        <v>1307</v>
      </c>
      <c r="O12" s="162"/>
      <c r="P12" s="181" t="s">
        <v>980</v>
      </c>
    </row>
    <row r="13" spans="2:17" s="173" customFormat="1" ht="15" customHeight="1" x14ac:dyDescent="0.2">
      <c r="B13" s="241">
        <v>114700</v>
      </c>
      <c r="C13" s="242"/>
      <c r="D13" s="561"/>
      <c r="E13" s="242"/>
      <c r="F13" s="561"/>
      <c r="G13" s="242"/>
      <c r="H13" s="562"/>
      <c r="J13" s="557"/>
      <c r="K13" s="156"/>
      <c r="L13" s="558"/>
      <c r="M13" s="2465"/>
      <c r="N13" s="2660"/>
      <c r="P13" s="560"/>
    </row>
    <row r="14" spans="2:17" s="173" customFormat="1" ht="15" customHeight="1" x14ac:dyDescent="0.2">
      <c r="B14" s="241">
        <v>114700</v>
      </c>
      <c r="C14" s="242"/>
      <c r="D14" s="561"/>
      <c r="E14" s="242"/>
      <c r="F14" s="561"/>
      <c r="G14" s="242"/>
      <c r="H14" s="562"/>
      <c r="J14" s="557"/>
      <c r="K14" s="156"/>
      <c r="L14" s="558"/>
      <c r="M14" s="2465"/>
      <c r="N14" s="2660"/>
      <c r="P14" s="560"/>
    </row>
    <row r="15" spans="2:17" s="173" customFormat="1" ht="15" customHeight="1" x14ac:dyDescent="0.2">
      <c r="B15" s="241">
        <v>114700</v>
      </c>
      <c r="C15" s="242"/>
      <c r="D15" s="561"/>
      <c r="E15" s="242"/>
      <c r="F15" s="561"/>
      <c r="G15" s="242"/>
      <c r="H15" s="562"/>
      <c r="J15" s="557"/>
      <c r="K15" s="156"/>
      <c r="L15" s="558"/>
      <c r="M15" s="2465"/>
      <c r="N15" s="2660"/>
      <c r="P15" s="560"/>
    </row>
    <row r="16" spans="2:17" s="173" customFormat="1" ht="15" customHeight="1" x14ac:dyDescent="0.2">
      <c r="B16" s="241">
        <v>114700</v>
      </c>
      <c r="C16" s="242"/>
      <c r="D16" s="561"/>
      <c r="E16" s="242"/>
      <c r="F16" s="561"/>
      <c r="G16" s="242"/>
      <c r="H16" s="562"/>
      <c r="J16" s="557"/>
      <c r="K16" s="156"/>
      <c r="L16" s="558"/>
      <c r="M16" s="2465"/>
      <c r="N16" s="2660"/>
      <c r="P16" s="560"/>
    </row>
    <row r="17" spans="2:16" s="173" customFormat="1" ht="15" customHeight="1" x14ac:dyDescent="0.2">
      <c r="B17" s="241">
        <v>114700</v>
      </c>
      <c r="C17" s="242"/>
      <c r="D17" s="561"/>
      <c r="E17" s="242"/>
      <c r="F17" s="561"/>
      <c r="G17" s="242"/>
      <c r="H17" s="562"/>
      <c r="J17" s="560"/>
      <c r="L17" s="563"/>
      <c r="M17" s="2466"/>
      <c r="N17" s="2660"/>
      <c r="P17" s="560"/>
    </row>
    <row r="18" spans="2:16" s="173" customFormat="1" ht="15" customHeight="1" x14ac:dyDescent="0.2">
      <c r="B18" s="241">
        <v>114700</v>
      </c>
      <c r="C18" s="242"/>
      <c r="D18" s="561"/>
      <c r="E18" s="242"/>
      <c r="F18" s="561"/>
      <c r="G18" s="242"/>
      <c r="H18" s="562"/>
      <c r="J18" s="560"/>
      <c r="L18" s="563"/>
      <c r="M18" s="2466"/>
      <c r="N18" s="2660"/>
      <c r="P18" s="560"/>
    </row>
    <row r="19" spans="2:16" s="173" customFormat="1" ht="15" customHeight="1" x14ac:dyDescent="0.2">
      <c r="B19" s="241">
        <v>114700</v>
      </c>
      <c r="C19" s="242"/>
      <c r="D19" s="561"/>
      <c r="E19" s="242"/>
      <c r="F19" s="561"/>
      <c r="G19" s="242"/>
      <c r="H19" s="562"/>
      <c r="J19" s="560"/>
      <c r="L19" s="563"/>
      <c r="M19" s="2466"/>
      <c r="N19" s="2660"/>
      <c r="P19" s="560"/>
    </row>
    <row r="20" spans="2:16" s="173" customFormat="1" ht="15" customHeight="1" x14ac:dyDescent="0.2">
      <c r="B20" s="241">
        <v>114700</v>
      </c>
      <c r="C20" s="242"/>
      <c r="D20" s="561"/>
      <c r="E20" s="242"/>
      <c r="F20" s="561"/>
      <c r="G20" s="242"/>
      <c r="H20" s="562"/>
      <c r="J20" s="560"/>
      <c r="L20" s="563"/>
      <c r="M20" s="2466"/>
      <c r="N20" s="2660"/>
      <c r="P20" s="560"/>
    </row>
    <row r="21" spans="2:16" s="173" customFormat="1" ht="15" customHeight="1" x14ac:dyDescent="0.2">
      <c r="B21" s="241">
        <v>114700</v>
      </c>
      <c r="C21" s="242"/>
      <c r="D21" s="561"/>
      <c r="E21" s="242"/>
      <c r="F21" s="561"/>
      <c r="G21" s="242"/>
      <c r="H21" s="562"/>
      <c r="J21" s="560"/>
      <c r="L21" s="563"/>
      <c r="M21" s="2466"/>
      <c r="N21" s="2660"/>
      <c r="P21" s="560"/>
    </row>
    <row r="22" spans="2:16" s="173" customFormat="1" ht="15" customHeight="1" x14ac:dyDescent="0.2">
      <c r="B22" s="241">
        <v>114700</v>
      </c>
      <c r="C22" s="242"/>
      <c r="D22" s="561"/>
      <c r="E22" s="242"/>
      <c r="F22" s="561"/>
      <c r="G22" s="242"/>
      <c r="H22" s="562"/>
      <c r="J22" s="560"/>
      <c r="L22" s="563"/>
      <c r="M22" s="2466"/>
      <c r="N22" s="2660"/>
      <c r="P22" s="560"/>
    </row>
    <row r="23" spans="2:16" s="173" customFormat="1" ht="15" customHeight="1" x14ac:dyDescent="0.2">
      <c r="B23" s="241">
        <v>114700</v>
      </c>
      <c r="C23" s="242"/>
      <c r="D23" s="561"/>
      <c r="E23" s="242"/>
      <c r="F23" s="561"/>
      <c r="G23" s="242"/>
      <c r="H23" s="562"/>
      <c r="J23" s="560"/>
      <c r="L23" s="563"/>
      <c r="M23" s="2466"/>
      <c r="N23" s="2660"/>
      <c r="P23" s="560"/>
    </row>
    <row r="24" spans="2:16" s="173" customFormat="1" ht="15" customHeight="1" thickBot="1" x14ac:dyDescent="0.25">
      <c r="E24" s="177"/>
      <c r="F24" s="177" t="s">
        <v>981</v>
      </c>
      <c r="G24" s="177"/>
      <c r="H24" s="178">
        <f>SUM(H13:H23)</f>
        <v>0</v>
      </c>
      <c r="J24" s="245" t="s">
        <v>5555</v>
      </c>
    </row>
    <row r="25" spans="2:16" s="173" customFormat="1" ht="15" customHeight="1" x14ac:dyDescent="0.2">
      <c r="E25" s="177"/>
      <c r="F25" s="177"/>
      <c r="G25" s="177"/>
      <c r="H25" s="243"/>
      <c r="J25" s="245"/>
    </row>
    <row r="26" spans="2:16" s="173" customFormat="1" ht="15" customHeight="1" x14ac:dyDescent="0.2">
      <c r="E26" s="177"/>
      <c r="F26" s="177"/>
      <c r="G26" s="177"/>
      <c r="H26" s="243"/>
      <c r="J26" s="245"/>
    </row>
    <row r="27" spans="2:16" s="173" customFormat="1" ht="7.35" customHeight="1" x14ac:dyDescent="0.2">
      <c r="E27" s="177"/>
      <c r="F27" s="177"/>
      <c r="G27" s="177"/>
      <c r="O27" s="177"/>
    </row>
    <row r="28" spans="2:16" s="173" customFormat="1" ht="15" customHeight="1" x14ac:dyDescent="0.2">
      <c r="B28" s="1083" t="s">
        <v>1524</v>
      </c>
      <c r="C28" s="1084"/>
      <c r="D28" s="1084"/>
      <c r="E28" s="1085"/>
      <c r="F28" s="1085"/>
      <c r="G28" s="177"/>
      <c r="O28" s="177"/>
    </row>
    <row r="29" spans="2:16" s="173" customFormat="1" ht="15" customHeight="1" x14ac:dyDescent="0.2">
      <c r="B29" s="241">
        <v>124200</v>
      </c>
      <c r="C29" s="242"/>
      <c r="D29" s="561"/>
      <c r="E29" s="242"/>
      <c r="F29" s="561"/>
      <c r="G29" s="242"/>
      <c r="H29" s="562"/>
      <c r="J29" s="557"/>
      <c r="K29" s="156"/>
      <c r="L29" s="558"/>
      <c r="M29" s="2465"/>
      <c r="N29" s="2660"/>
      <c r="P29" s="560"/>
    </row>
    <row r="30" spans="2:16" s="173" customFormat="1" ht="15" customHeight="1" x14ac:dyDescent="0.2">
      <c r="B30" s="241">
        <v>124200</v>
      </c>
      <c r="C30" s="242"/>
      <c r="D30" s="561"/>
      <c r="E30" s="242"/>
      <c r="F30" s="561"/>
      <c r="G30" s="242"/>
      <c r="H30" s="562"/>
      <c r="J30" s="560"/>
      <c r="L30" s="563"/>
      <c r="M30" s="2466"/>
      <c r="N30" s="2660"/>
      <c r="P30" s="560"/>
    </row>
    <row r="31" spans="2:16" s="173" customFormat="1" ht="15" customHeight="1" x14ac:dyDescent="0.2">
      <c r="B31" s="241">
        <v>124200</v>
      </c>
      <c r="C31" s="242"/>
      <c r="D31" s="561"/>
      <c r="E31" s="242"/>
      <c r="F31" s="561"/>
      <c r="G31" s="242"/>
      <c r="H31" s="562"/>
      <c r="J31" s="560"/>
      <c r="L31" s="563"/>
      <c r="M31" s="2466"/>
      <c r="N31" s="2660"/>
      <c r="P31" s="560"/>
    </row>
    <row r="32" spans="2:16" s="173" customFormat="1" ht="15" customHeight="1" x14ac:dyDescent="0.2">
      <c r="B32" s="241">
        <v>124200</v>
      </c>
      <c r="C32" s="242"/>
      <c r="D32" s="561"/>
      <c r="E32" s="242"/>
      <c r="F32" s="561"/>
      <c r="G32" s="242"/>
      <c r="H32" s="562"/>
      <c r="J32" s="560"/>
      <c r="L32" s="563"/>
      <c r="M32" s="2466"/>
      <c r="N32" s="2660"/>
      <c r="P32" s="560"/>
    </row>
    <row r="33" spans="1:15" s="173" customFormat="1" ht="15" customHeight="1" thickBot="1" x14ac:dyDescent="0.25">
      <c r="E33" s="177"/>
      <c r="F33" s="177" t="s">
        <v>981</v>
      </c>
      <c r="G33" s="177"/>
      <c r="H33" s="178">
        <f>SUM(H29:H32)</f>
        <v>0</v>
      </c>
      <c r="J33" s="245" t="s">
        <v>5555</v>
      </c>
    </row>
    <row r="34" spans="1:15" s="173" customFormat="1" ht="15" customHeight="1" x14ac:dyDescent="0.2">
      <c r="E34" s="177"/>
      <c r="F34" s="177"/>
      <c r="G34" s="177"/>
      <c r="H34" s="243"/>
      <c r="J34" s="245"/>
    </row>
    <row r="35" spans="1:15" s="173" customFormat="1" ht="15" customHeight="1" x14ac:dyDescent="0.2">
      <c r="B35" s="245" t="s">
        <v>771</v>
      </c>
      <c r="E35" s="177"/>
      <c r="F35" s="177"/>
      <c r="G35" s="177"/>
      <c r="O35" s="177"/>
    </row>
    <row r="36" spans="1:15" s="173" customFormat="1" ht="15" customHeight="1" x14ac:dyDescent="0.2">
      <c r="B36" s="245"/>
      <c r="E36" s="177"/>
      <c r="F36" s="177"/>
      <c r="G36" s="177"/>
      <c r="O36" s="177"/>
    </row>
    <row r="37" spans="1:15" s="173" customFormat="1" ht="15" customHeight="1" x14ac:dyDescent="0.2">
      <c r="B37" s="245"/>
      <c r="E37" s="177"/>
      <c r="F37" s="177"/>
      <c r="G37" s="177"/>
      <c r="O37" s="177"/>
    </row>
    <row r="38" spans="1:15" s="173" customFormat="1" ht="15" customHeight="1" x14ac:dyDescent="0.2">
      <c r="A38" s="443" t="str">
        <f ca="1">MID(CELL("filename",A3),FIND("]",CELL("filename",A3))+1,256)</f>
        <v>525</v>
      </c>
      <c r="B38" s="443" t="s">
        <v>449</v>
      </c>
      <c r="E38" s="177"/>
      <c r="F38" s="177"/>
      <c r="G38" s="177"/>
      <c r="O38" s="177"/>
    </row>
    <row r="39" spans="1:15" s="173" customFormat="1" ht="15" customHeight="1" x14ac:dyDescent="0.2">
      <c r="A39" s="443" t="s">
        <v>446</v>
      </c>
      <c r="B39" s="443" t="str">
        <f t="shared" ref="B39:B48" ca="1" si="0">IF(ISNA(INDEX(ErrorTable,MATCH($A$38&amp;$A39&amp;FALSE,ErrorKey,0),6)),"",INDEX(ErrorTable,MATCH($A$38&amp;$A39&amp;FALSE,ErrorKey,0),6))</f>
        <v>GASB number is blank.</v>
      </c>
      <c r="E39" s="177"/>
      <c r="F39" s="177"/>
      <c r="G39" s="177"/>
      <c r="O39" s="177"/>
    </row>
    <row r="40" spans="1:15" s="173" customFormat="1" ht="15" customHeight="1" x14ac:dyDescent="0.2">
      <c r="A40" s="443" t="s">
        <v>447</v>
      </c>
      <c r="B40" s="443" t="str">
        <f t="shared" ca="1" si="0"/>
        <v/>
      </c>
      <c r="E40" s="177"/>
      <c r="F40" s="177"/>
      <c r="G40" s="177"/>
      <c r="O40" s="177"/>
    </row>
    <row r="41" spans="1:15" s="173" customFormat="1" ht="15" customHeight="1" x14ac:dyDescent="0.2">
      <c r="A41" s="443" t="s">
        <v>448</v>
      </c>
      <c r="B41" s="443" t="str">
        <f t="shared" ca="1" si="0"/>
        <v/>
      </c>
      <c r="E41" s="177"/>
      <c r="F41" s="177"/>
      <c r="G41" s="177"/>
      <c r="O41" s="177"/>
    </row>
    <row r="42" spans="1:15" s="173" customFormat="1" ht="15" customHeight="1" x14ac:dyDescent="0.2">
      <c r="A42" s="443" t="s">
        <v>450</v>
      </c>
      <c r="B42" s="443" t="str">
        <f t="shared" ca="1" si="0"/>
        <v/>
      </c>
      <c r="E42" s="177"/>
      <c r="F42" s="177"/>
      <c r="G42" s="177"/>
      <c r="O42" s="177"/>
    </row>
    <row r="43" spans="1:15" ht="20.85" customHeight="1" x14ac:dyDescent="0.25">
      <c r="A43" s="443" t="s">
        <v>451</v>
      </c>
      <c r="B43" s="443" t="str">
        <f t="shared" ca="1" si="0"/>
        <v/>
      </c>
    </row>
    <row r="44" spans="1:15" ht="20.85" customHeight="1" x14ac:dyDescent="0.25">
      <c r="A44" s="443" t="s">
        <v>452</v>
      </c>
      <c r="B44" s="443" t="str">
        <f t="shared" ca="1" si="0"/>
        <v/>
      </c>
      <c r="D44" s="55" t="s">
        <v>973</v>
      </c>
      <c r="E44" s="55"/>
      <c r="F44" s="55"/>
      <c r="G44" s="55"/>
      <c r="H44" s="55"/>
      <c r="I44" s="55"/>
      <c r="J44" s="55"/>
      <c r="K44" s="55"/>
    </row>
    <row r="45" spans="1:15" ht="20.85" customHeight="1" x14ac:dyDescent="0.25">
      <c r="A45" s="443" t="s">
        <v>453</v>
      </c>
      <c r="B45" s="443" t="str">
        <f t="shared" ca="1" si="0"/>
        <v/>
      </c>
      <c r="D45" s="55" t="s">
        <v>973</v>
      </c>
      <c r="E45" s="55"/>
      <c r="F45" s="55"/>
      <c r="G45" s="55"/>
      <c r="L45" s="54" t="s">
        <v>973</v>
      </c>
      <c r="M45" s="54"/>
      <c r="N45" s="54"/>
      <c r="O45" s="54"/>
    </row>
    <row r="46" spans="1:15" ht="20.85" customHeight="1" x14ac:dyDescent="0.25">
      <c r="A46" s="443" t="s">
        <v>454</v>
      </c>
      <c r="B46" s="443" t="str">
        <f t="shared" ca="1" si="0"/>
        <v/>
      </c>
    </row>
    <row r="47" spans="1:15" ht="20.85" customHeight="1" x14ac:dyDescent="0.25">
      <c r="A47" s="443" t="s">
        <v>455</v>
      </c>
      <c r="B47" s="443" t="str">
        <f t="shared" ca="1" si="0"/>
        <v/>
      </c>
    </row>
    <row r="48" spans="1:15" ht="20.85" customHeight="1" x14ac:dyDescent="0.25">
      <c r="A48" s="443" t="s">
        <v>456</v>
      </c>
      <c r="B48" s="443" t="str">
        <f t="shared" ca="1" si="0"/>
        <v/>
      </c>
    </row>
    <row r="49" spans="4:15" ht="20.85" customHeight="1" x14ac:dyDescent="0.25"/>
    <row r="50" spans="4:15" ht="20.85" customHeight="1" x14ac:dyDescent="0.25"/>
    <row r="51" spans="4:15" ht="20.85" customHeight="1" x14ac:dyDescent="0.25"/>
    <row r="52" spans="4:15" ht="20.85" customHeight="1" x14ac:dyDescent="0.25">
      <c r="D52" s="53" t="s">
        <v>973</v>
      </c>
    </row>
    <row r="53" spans="4:15" ht="20.85" customHeight="1" x14ac:dyDescent="0.25"/>
    <row r="54" spans="4:15" ht="20.85" customHeight="1" x14ac:dyDescent="0.25"/>
    <row r="55" spans="4:15" ht="20.85" customHeight="1" x14ac:dyDescent="0.25">
      <c r="D55" s="55" t="s">
        <v>973</v>
      </c>
      <c r="E55" s="55"/>
      <c r="F55" s="55"/>
      <c r="G55" s="55"/>
      <c r="L55" s="54" t="s">
        <v>973</v>
      </c>
      <c r="M55" s="54"/>
      <c r="N55" s="54"/>
      <c r="O55" s="54"/>
    </row>
  </sheetData>
  <sheetProtection algorithmName="SHA-512" hashValue="e7hAjgMFEfIDp/DSp3eW4XMH3ea6dk1JvnxsIOhhXcEfeNFJxTq0UWYOhVqWeOYorrT2yZnTbHv5rO0XTNxjhw==" saltValue="8lFN5gJ27CI2tIgDufOevQ=="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scale="96"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scale="96"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5" priority="1" stopIfTrue="1" operator="equal">
      <formula>"na"</formula>
    </cfRule>
  </conditionalFormatting>
  <dataValidations count="2">
    <dataValidation type="textLength" operator="equal" allowBlank="1" showInputMessage="1" showErrorMessage="1" errorTitle="Invalid data!" error="GASB number must be 4 digits." sqref="F32 F30 D8 F23 F20:F21 F17:F18 F14:F15" xr:uid="{00000000-0002-0000-2B00-000000000000}">
      <formula1>4</formula1>
    </dataValidation>
    <dataValidation type="list" allowBlank="1" showInputMessage="1" showErrorMessage="1" sqref="D13:D23 D29:D32" xr:uid="{00000000-0002-0000-2B00-000001000000}">
      <formula1>Listfor525and530</formula1>
    </dataValidation>
  </dataValidations>
  <hyperlinks>
    <hyperlink ref="B1:P1" location="Index!A1" display="Index!A1" xr:uid="{00000000-0004-0000-2B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4"/>
  <sheetViews>
    <sheetView showGridLines="0" topLeftCell="B1" zoomScaleNormal="100" workbookViewId="0">
      <selection activeCell="U17" sqref="U17"/>
    </sheetView>
  </sheetViews>
  <sheetFormatPr defaultColWidth="9.42578125" defaultRowHeight="15.75" x14ac:dyDescent="0.25"/>
  <cols>
    <col min="1" max="1" width="0"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6.5703125" style="53" customWidth="1"/>
    <col min="9" max="9" width="1.28515625" style="53" customWidth="1"/>
    <col min="10" max="10" width="15.42578125" style="53" customWidth="1"/>
    <col min="11" max="11" width="1" style="53" customWidth="1"/>
    <col min="12" max="12" width="13.42578125" style="53" customWidth="1"/>
    <col min="13" max="13" width="1.28515625" style="53" customWidth="1"/>
    <col min="14" max="14" width="13.42578125" style="53" customWidth="1"/>
    <col min="15" max="15" width="1.140625" style="53" customWidth="1"/>
    <col min="16" max="16" width="36.42578125" style="53" customWidth="1"/>
    <col min="17" max="17" width="4.5703125" style="53" bestFit="1" customWidth="1"/>
    <col min="18" max="16384" width="9.42578125" style="53"/>
  </cols>
  <sheetData>
    <row r="1" spans="2:17"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3075" t="str">
        <f>IF(Index!$B$69="na","NA","")</f>
        <v/>
      </c>
    </row>
    <row r="2" spans="2:17"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3075"/>
    </row>
    <row r="3" spans="2:17" s="171" customFormat="1" ht="15" customHeight="1" x14ac:dyDescent="0.25">
      <c r="B3" s="3080" t="s">
        <v>1527</v>
      </c>
      <c r="C3" s="3080"/>
      <c r="D3" s="3080"/>
      <c r="E3" s="3080"/>
      <c r="F3" s="3080"/>
      <c r="G3" s="3080"/>
      <c r="H3" s="3080"/>
      <c r="I3" s="3080"/>
      <c r="J3" s="3080"/>
      <c r="K3" s="3080"/>
      <c r="L3" s="3080"/>
      <c r="M3" s="3080"/>
      <c r="N3" s="3080"/>
      <c r="O3" s="3080"/>
      <c r="P3" s="3080"/>
      <c r="Q3" s="3075"/>
    </row>
    <row r="4" spans="2:17" s="171" customFormat="1" ht="15" customHeight="1" x14ac:dyDescent="0.25">
      <c r="B4" s="3072" t="s">
        <v>4810</v>
      </c>
      <c r="C4" s="3072"/>
      <c r="D4" s="3072"/>
      <c r="E4" s="3072"/>
      <c r="F4" s="3072"/>
      <c r="G4" s="3072"/>
      <c r="H4" s="3072"/>
      <c r="I4" s="3072"/>
      <c r="J4" s="3072"/>
      <c r="K4" s="3072"/>
      <c r="L4" s="3072"/>
      <c r="M4" s="3072"/>
      <c r="N4" s="3072"/>
      <c r="O4" s="3072"/>
      <c r="P4" s="3072"/>
      <c r="Q4" s="3072"/>
    </row>
    <row r="5" spans="2:17" s="173" customFormat="1" ht="15" customHeight="1" x14ac:dyDescent="0.2">
      <c r="B5" s="179"/>
      <c r="C5" s="180"/>
      <c r="D5" s="180"/>
      <c r="E5" s="180"/>
      <c r="F5" s="180"/>
      <c r="G5" s="180"/>
      <c r="H5" s="180"/>
      <c r="I5" s="180"/>
      <c r="J5" s="180"/>
      <c r="K5" s="179"/>
      <c r="L5" s="180"/>
      <c r="M5" s="180"/>
      <c r="N5" s="180"/>
      <c r="O5" s="180"/>
      <c r="P5" s="180"/>
    </row>
    <row r="6" spans="2:17" s="173" customFormat="1" ht="15" customHeight="1" x14ac:dyDescent="0.2">
      <c r="B6" s="172" t="s">
        <v>327</v>
      </c>
      <c r="D6" s="3076" t="str">
        <f>+Index!$E$10</f>
        <v>01</v>
      </c>
      <c r="E6" s="3076"/>
      <c r="F6" s="3076"/>
      <c r="G6" s="3076"/>
      <c r="H6" s="157"/>
      <c r="O6" s="174" t="s">
        <v>972</v>
      </c>
      <c r="P6" s="773" t="str">
        <f>CONCATENATE(Index!$E$12," ",Index!$E$14)</f>
        <v xml:space="preserve"> </v>
      </c>
    </row>
    <row r="7" spans="2:17" s="173" customFormat="1" ht="15" customHeight="1" x14ac:dyDescent="0.2">
      <c r="B7" s="172" t="s">
        <v>1154</v>
      </c>
      <c r="D7" s="3076" t="str">
        <f>+Index!$E$11</f>
        <v>North Carolina General Assembly</v>
      </c>
      <c r="E7" s="3076"/>
      <c r="F7" s="3076"/>
      <c r="G7" s="3076"/>
      <c r="H7" s="307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6" t="s">
        <v>1528</v>
      </c>
      <c r="C10" s="1081"/>
      <c r="D10" s="158" t="s">
        <v>982</v>
      </c>
      <c r="E10" s="156"/>
      <c r="F10" s="158" t="s">
        <v>982</v>
      </c>
      <c r="I10" s="179"/>
      <c r="J10" s="3079" t="s">
        <v>156</v>
      </c>
      <c r="K10" s="3079"/>
      <c r="L10" s="3079"/>
      <c r="M10" s="3079"/>
      <c r="N10" s="3079"/>
      <c r="O10" s="159"/>
    </row>
    <row r="11" spans="2:17" s="173" customFormat="1" ht="15" customHeight="1" x14ac:dyDescent="0.2">
      <c r="B11" s="177" t="s">
        <v>1064</v>
      </c>
      <c r="D11" s="158" t="s">
        <v>722</v>
      </c>
      <c r="E11" s="156"/>
      <c r="F11" s="158" t="s">
        <v>1157</v>
      </c>
      <c r="I11" s="179"/>
      <c r="J11" s="156"/>
      <c r="K11" s="156"/>
      <c r="L11" s="2436" t="s">
        <v>5395</v>
      </c>
      <c r="M11" s="158"/>
      <c r="N11" s="2436" t="s">
        <v>5394</v>
      </c>
      <c r="O11" s="156"/>
    </row>
    <row r="12" spans="2:17" s="173" customFormat="1" ht="15" customHeight="1" thickBot="1" x14ac:dyDescent="0.25">
      <c r="B12" s="181" t="s">
        <v>684</v>
      </c>
      <c r="C12" s="177"/>
      <c r="D12" s="160" t="s">
        <v>808</v>
      </c>
      <c r="E12" s="156"/>
      <c r="F12" s="160" t="s">
        <v>808</v>
      </c>
      <c r="H12" s="181" t="s">
        <v>1156</v>
      </c>
      <c r="J12" s="160" t="s">
        <v>1097</v>
      </c>
      <c r="K12" s="162"/>
      <c r="L12" s="2438" t="s">
        <v>5396</v>
      </c>
      <c r="M12" s="2464"/>
      <c r="N12" s="2438" t="s">
        <v>1307</v>
      </c>
      <c r="O12" s="162"/>
      <c r="P12" s="181" t="s">
        <v>980</v>
      </c>
    </row>
    <row r="13" spans="2:17" s="173" customFormat="1" ht="15" customHeight="1" x14ac:dyDescent="0.2">
      <c r="B13" s="241">
        <v>212600</v>
      </c>
      <c r="C13" s="242"/>
      <c r="D13" s="561"/>
      <c r="E13" s="242"/>
      <c r="F13" s="561"/>
      <c r="G13" s="242"/>
      <c r="H13" s="562"/>
      <c r="J13" s="1851"/>
      <c r="K13" s="156"/>
      <c r="L13" s="558"/>
      <c r="M13" s="2465"/>
      <c r="N13" s="2660"/>
      <c r="P13" s="560"/>
    </row>
    <row r="14" spans="2:17" s="173" customFormat="1" ht="15" customHeight="1" x14ac:dyDescent="0.2">
      <c r="B14" s="241">
        <v>212600</v>
      </c>
      <c r="C14" s="242"/>
      <c r="D14" s="561"/>
      <c r="E14" s="242"/>
      <c r="F14" s="561"/>
      <c r="G14" s="242"/>
      <c r="H14" s="562"/>
      <c r="J14" s="557"/>
      <c r="K14" s="156"/>
      <c r="L14" s="558"/>
      <c r="M14" s="2465"/>
      <c r="N14" s="2660"/>
      <c r="P14" s="560"/>
    </row>
    <row r="15" spans="2:17" s="173" customFormat="1" ht="15" customHeight="1" x14ac:dyDescent="0.2">
      <c r="B15" s="241">
        <v>212600</v>
      </c>
      <c r="C15" s="242"/>
      <c r="D15" s="561"/>
      <c r="E15" s="242"/>
      <c r="F15" s="561"/>
      <c r="G15" s="242"/>
      <c r="H15" s="562"/>
      <c r="J15" s="557"/>
      <c r="K15" s="156"/>
      <c r="L15" s="558"/>
      <c r="M15" s="2465"/>
      <c r="N15" s="2660"/>
      <c r="P15" s="560"/>
    </row>
    <row r="16" spans="2:17" s="173" customFormat="1" ht="15" customHeight="1" x14ac:dyDescent="0.2">
      <c r="B16" s="241">
        <v>212600</v>
      </c>
      <c r="C16" s="242"/>
      <c r="D16" s="561"/>
      <c r="E16" s="242"/>
      <c r="F16" s="561"/>
      <c r="G16" s="242"/>
      <c r="H16" s="562"/>
      <c r="J16" s="557"/>
      <c r="K16" s="156"/>
      <c r="L16" s="558"/>
      <c r="M16" s="2465"/>
      <c r="N16" s="2660"/>
      <c r="P16" s="560"/>
    </row>
    <row r="17" spans="2:16" s="173" customFormat="1" ht="15" customHeight="1" x14ac:dyDescent="0.2">
      <c r="B17" s="241">
        <v>212600</v>
      </c>
      <c r="C17" s="242"/>
      <c r="D17" s="561"/>
      <c r="E17" s="242"/>
      <c r="F17" s="561"/>
      <c r="G17" s="242"/>
      <c r="H17" s="562"/>
      <c r="J17" s="560"/>
      <c r="L17" s="563"/>
      <c r="M17" s="2466"/>
      <c r="N17" s="2660"/>
      <c r="P17" s="560"/>
    </row>
    <row r="18" spans="2:16" s="173" customFormat="1" ht="15" customHeight="1" x14ac:dyDescent="0.2">
      <c r="B18" s="241">
        <v>212600</v>
      </c>
      <c r="C18" s="242"/>
      <c r="D18" s="561"/>
      <c r="E18" s="242"/>
      <c r="F18" s="561"/>
      <c r="G18" s="242"/>
      <c r="H18" s="562"/>
      <c r="J18" s="560"/>
      <c r="L18" s="563"/>
      <c r="M18" s="2466"/>
      <c r="N18" s="2660"/>
      <c r="P18" s="560"/>
    </row>
    <row r="19" spans="2:16" s="173" customFormat="1" ht="15" customHeight="1" x14ac:dyDescent="0.2">
      <c r="B19" s="241">
        <v>212600</v>
      </c>
      <c r="C19" s="242"/>
      <c r="D19" s="561"/>
      <c r="E19" s="242"/>
      <c r="F19" s="561"/>
      <c r="G19" s="242"/>
      <c r="H19" s="562"/>
      <c r="J19" s="560"/>
      <c r="L19" s="563"/>
      <c r="M19" s="2466"/>
      <c r="N19" s="2660"/>
      <c r="P19" s="560"/>
    </row>
    <row r="20" spans="2:16" s="173" customFormat="1" ht="15" customHeight="1" x14ac:dyDescent="0.2">
      <c r="B20" s="241">
        <v>212600</v>
      </c>
      <c r="C20" s="242"/>
      <c r="D20" s="561"/>
      <c r="E20" s="242"/>
      <c r="F20" s="561"/>
      <c r="G20" s="242"/>
      <c r="H20" s="562"/>
      <c r="J20" s="560"/>
      <c r="L20" s="563"/>
      <c r="M20" s="2466"/>
      <c r="N20" s="2660"/>
      <c r="P20" s="560"/>
    </row>
    <row r="21" spans="2:16" s="173" customFormat="1" ht="15" customHeight="1" x14ac:dyDescent="0.2">
      <c r="B21" s="241">
        <v>212600</v>
      </c>
      <c r="C21" s="242"/>
      <c r="D21" s="561"/>
      <c r="E21" s="242"/>
      <c r="F21" s="561"/>
      <c r="G21" s="242"/>
      <c r="H21" s="562"/>
      <c r="J21" s="560"/>
      <c r="L21" s="563"/>
      <c r="M21" s="2466"/>
      <c r="N21" s="2660"/>
      <c r="P21" s="560"/>
    </row>
    <row r="22" spans="2:16" s="173" customFormat="1" ht="15" customHeight="1" x14ac:dyDescent="0.2">
      <c r="B22" s="241">
        <v>212600</v>
      </c>
      <c r="C22" s="242"/>
      <c r="D22" s="561"/>
      <c r="E22" s="242"/>
      <c r="F22" s="561"/>
      <c r="G22" s="242"/>
      <c r="H22" s="562"/>
      <c r="J22" s="560"/>
      <c r="L22" s="563"/>
      <c r="M22" s="2466"/>
      <c r="N22" s="2660"/>
      <c r="P22" s="560"/>
    </row>
    <row r="23" spans="2:16" s="173" customFormat="1" ht="15" customHeight="1" x14ac:dyDescent="0.2">
      <c r="B23" s="241">
        <v>212600</v>
      </c>
      <c r="C23" s="242"/>
      <c r="D23" s="561"/>
      <c r="E23" s="242"/>
      <c r="F23" s="561"/>
      <c r="G23" s="242"/>
      <c r="H23" s="562"/>
      <c r="J23" s="560"/>
      <c r="L23" s="563"/>
      <c r="M23" s="2466"/>
      <c r="N23" s="2660"/>
      <c r="P23" s="560"/>
    </row>
    <row r="24" spans="2:16" s="173" customFormat="1" ht="15" customHeight="1" x14ac:dyDescent="0.2">
      <c r="B24" s="241">
        <v>212600</v>
      </c>
      <c r="C24" s="242"/>
      <c r="D24" s="561"/>
      <c r="E24" s="242"/>
      <c r="F24" s="561"/>
      <c r="G24" s="242"/>
      <c r="H24" s="562"/>
      <c r="J24" s="560"/>
      <c r="L24" s="563"/>
      <c r="M24" s="2466"/>
      <c r="N24" s="2660"/>
      <c r="P24" s="560"/>
    </row>
    <row r="25" spans="2:16" s="173" customFormat="1" ht="15" customHeight="1" x14ac:dyDescent="0.2">
      <c r="B25" s="241">
        <v>212600</v>
      </c>
      <c r="C25" s="242"/>
      <c r="D25" s="561"/>
      <c r="E25" s="242"/>
      <c r="F25" s="561"/>
      <c r="G25" s="242"/>
      <c r="H25" s="562"/>
      <c r="J25" s="560"/>
      <c r="L25" s="563"/>
      <c r="M25" s="2466"/>
      <c r="N25" s="2660"/>
      <c r="P25" s="560"/>
    </row>
    <row r="26" spans="2:16" s="173" customFormat="1" ht="15" customHeight="1" x14ac:dyDescent="0.2">
      <c r="B26" s="241">
        <v>212600</v>
      </c>
      <c r="C26" s="242"/>
      <c r="D26" s="561"/>
      <c r="E26" s="242"/>
      <c r="F26" s="561"/>
      <c r="G26" s="242"/>
      <c r="H26" s="562"/>
      <c r="J26" s="560"/>
      <c r="L26" s="563"/>
      <c r="M26" s="2466"/>
      <c r="N26" s="2660"/>
      <c r="P26" s="560"/>
    </row>
    <row r="27" spans="2:16" s="173" customFormat="1" ht="15" customHeight="1" x14ac:dyDescent="0.2">
      <c r="B27" s="241">
        <v>212600</v>
      </c>
      <c r="C27" s="242"/>
      <c r="D27" s="561"/>
      <c r="E27" s="242"/>
      <c r="F27" s="561"/>
      <c r="G27" s="242"/>
      <c r="H27" s="562"/>
      <c r="J27" s="560"/>
      <c r="L27" s="563"/>
      <c r="M27" s="2466"/>
      <c r="N27" s="2660"/>
      <c r="P27" s="560"/>
    </row>
    <row r="28" spans="2:16" s="173" customFormat="1" ht="15" customHeight="1" x14ac:dyDescent="0.2">
      <c r="B28" s="241">
        <v>212600</v>
      </c>
      <c r="C28" s="242"/>
      <c r="D28" s="561"/>
      <c r="E28" s="242"/>
      <c r="F28" s="561"/>
      <c r="G28" s="242"/>
      <c r="H28" s="562"/>
      <c r="J28" s="560"/>
      <c r="L28" s="563"/>
      <c r="M28" s="2466"/>
      <c r="N28" s="2660"/>
      <c r="P28" s="560"/>
    </row>
    <row r="29" spans="2:16" s="173" customFormat="1" ht="15" customHeight="1" x14ac:dyDescent="0.2">
      <c r="B29" s="241">
        <v>212600</v>
      </c>
      <c r="C29" s="242"/>
      <c r="D29" s="561"/>
      <c r="E29" s="242"/>
      <c r="F29" s="561"/>
      <c r="G29" s="242"/>
      <c r="H29" s="562"/>
      <c r="J29" s="560"/>
      <c r="L29" s="563"/>
      <c r="M29" s="2466"/>
      <c r="N29" s="2660"/>
      <c r="P29" s="560"/>
    </row>
    <row r="30" spans="2:16" s="173" customFormat="1" ht="15" customHeight="1" x14ac:dyDescent="0.2">
      <c r="B30" s="241">
        <v>212600</v>
      </c>
      <c r="C30" s="242"/>
      <c r="D30" s="561"/>
      <c r="E30" s="242"/>
      <c r="F30" s="561"/>
      <c r="G30" s="242"/>
      <c r="H30" s="562"/>
      <c r="J30" s="560"/>
      <c r="L30" s="563"/>
      <c r="M30" s="2466"/>
      <c r="N30" s="2660"/>
      <c r="P30" s="560"/>
    </row>
    <row r="31" spans="2:16" s="173" customFormat="1" ht="15" customHeight="1" thickBot="1" x14ac:dyDescent="0.25">
      <c r="E31" s="177"/>
      <c r="F31" s="177" t="s">
        <v>981</v>
      </c>
      <c r="G31" s="177"/>
      <c r="H31" s="178">
        <f>SUM(H13:H30)</f>
        <v>0</v>
      </c>
      <c r="J31" s="245" t="s">
        <v>5555</v>
      </c>
    </row>
    <row r="32" spans="2:16" s="173" customFormat="1" ht="7.35" customHeight="1" x14ac:dyDescent="0.2">
      <c r="E32" s="177"/>
      <c r="F32" s="177"/>
      <c r="G32" s="177"/>
      <c r="O32" s="177"/>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MID(CELL("filename",A3),FIND("]",CELL("filename",A3))+1,256)</f>
        <v>530</v>
      </c>
      <c r="B37" s="443" t="s">
        <v>449</v>
      </c>
      <c r="E37" s="177"/>
      <c r="F37" s="177"/>
      <c r="G37" s="177"/>
      <c r="O37" s="177"/>
    </row>
    <row r="38" spans="1:15" s="173" customFormat="1" ht="15" customHeight="1"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s="173" customFormat="1" ht="15" customHeight="1" x14ac:dyDescent="0.2">
      <c r="A39" s="443" t="s">
        <v>447</v>
      </c>
      <c r="B39" s="443" t="str">
        <f t="shared" ca="1" si="0"/>
        <v/>
      </c>
      <c r="E39" s="177"/>
      <c r="F39" s="177"/>
      <c r="G39" s="177"/>
      <c r="O39" s="177"/>
    </row>
    <row r="40" spans="1:15" s="173" customFormat="1" ht="15" customHeight="1" x14ac:dyDescent="0.2">
      <c r="A40" s="443" t="s">
        <v>448</v>
      </c>
      <c r="B40" s="443" t="str">
        <f t="shared" ca="1" si="0"/>
        <v/>
      </c>
      <c r="E40" s="177"/>
      <c r="F40" s="177"/>
      <c r="G40" s="177"/>
      <c r="O40" s="177"/>
    </row>
    <row r="41" spans="1:15" s="173" customFormat="1" ht="15" customHeight="1" x14ac:dyDescent="0.2">
      <c r="A41" s="443" t="s">
        <v>450</v>
      </c>
      <c r="B41" s="443" t="str">
        <f t="shared" ca="1" si="0"/>
        <v/>
      </c>
      <c r="E41" s="177"/>
      <c r="F41" s="177"/>
      <c r="G41" s="177"/>
      <c r="O41" s="177"/>
    </row>
    <row r="42" spans="1:15" s="173" customFormat="1" ht="15" customHeight="1" x14ac:dyDescent="0.2">
      <c r="A42" s="443" t="s">
        <v>451</v>
      </c>
      <c r="B42" s="443" t="str">
        <f t="shared" ca="1" si="0"/>
        <v/>
      </c>
      <c r="E42" s="177"/>
      <c r="F42" s="177"/>
      <c r="G42" s="177"/>
      <c r="O42" s="177"/>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Ui45K86IrNBg3G70SxV4irtATrnyf7AQ3DGsKbGnYZMPTEMUwNwHFzrODxZpE8r/jdFqvyWOU39x34U+AMlDEw==" saltValue="wNBPiwwjPRlFoOTwUHA6O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7:H7"/>
    <mergeCell ref="B4:Q4"/>
    <mergeCell ref="J10:N10"/>
    <mergeCell ref="Q1:Q3"/>
    <mergeCell ref="B1:P1"/>
    <mergeCell ref="B2:P2"/>
    <mergeCell ref="B3:P3"/>
    <mergeCell ref="D6:G6"/>
  </mergeCells>
  <phoneticPr fontId="15" type="noConversion"/>
  <conditionalFormatting sqref="Q1:Q3">
    <cfRule type="cellIs" dxfId="64"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C00-000000000000}">
      <formula1>4</formula1>
    </dataValidation>
    <dataValidation type="list" allowBlank="1" showInputMessage="1" showErrorMessage="1" sqref="D13:D30" xr:uid="{00000000-0002-0000-2C00-000001000000}">
      <formula1>Listfor525and530</formula1>
    </dataValidation>
  </dataValidations>
  <hyperlinks>
    <hyperlink ref="B1:P1" location="Index!A1" display="Index!A1" xr:uid="{00000000-0004-0000-2C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W57"/>
  <sheetViews>
    <sheetView showGridLines="0" topLeftCell="B1" zoomScaleNormal="100" workbookViewId="0">
      <selection activeCell="AE19" sqref="AE19"/>
    </sheetView>
  </sheetViews>
  <sheetFormatPr defaultColWidth="9.42578125" defaultRowHeight="15.75" x14ac:dyDescent="0.25"/>
  <cols>
    <col min="1" max="1" width="0"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6.85546875" style="53" customWidth="1"/>
    <col min="9" max="9" width="1.5703125" style="53" customWidth="1"/>
    <col min="10" max="10" width="15.42578125" style="53" customWidth="1"/>
    <col min="11" max="11" width="0.5703125" style="53" customWidth="1"/>
    <col min="12" max="12" width="13.42578125" style="53" customWidth="1"/>
    <col min="13" max="13" width="1.28515625" style="53" customWidth="1"/>
    <col min="14" max="14" width="13.42578125" style="53" customWidth="1"/>
    <col min="15" max="15" width="1.42578125" style="53" customWidth="1"/>
    <col min="16" max="16" width="36.42578125" style="53" customWidth="1"/>
    <col min="17" max="17" width="4.5703125" style="53" customWidth="1"/>
    <col min="18" max="18" width="5.5703125" style="53" hidden="1" customWidth="1"/>
    <col min="19" max="19" width="2" style="53" hidden="1" customWidth="1"/>
    <col min="20" max="23" width="5.5703125" style="53" hidden="1" customWidth="1"/>
    <col min="24" max="16384" width="9.42578125" style="53"/>
  </cols>
  <sheetData>
    <row r="1" spans="2:23" s="171"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829" t="str">
        <f>IF(Index!$B$70="na","NA","")</f>
        <v/>
      </c>
    </row>
    <row r="2" spans="2:23" s="171" customFormat="1" ht="15" customHeight="1" x14ac:dyDescent="0.25">
      <c r="B2" s="3080" t="str">
        <f>+Index!$A$2</f>
        <v>2022 ACFR Worksheets</v>
      </c>
      <c r="C2" s="3080"/>
      <c r="D2" s="3080"/>
      <c r="E2" s="3080"/>
      <c r="F2" s="3080"/>
      <c r="G2" s="3080"/>
      <c r="H2" s="3080"/>
      <c r="I2" s="3080"/>
      <c r="J2" s="3080"/>
      <c r="K2" s="3080"/>
      <c r="L2" s="3080"/>
      <c r="M2" s="3080"/>
      <c r="N2" s="3080"/>
      <c r="O2" s="3080"/>
      <c r="P2" s="3080"/>
      <c r="Q2" s="2829"/>
    </row>
    <row r="3" spans="2:23" s="171" customFormat="1" ht="15" customHeight="1" x14ac:dyDescent="0.25">
      <c r="B3" s="3080" t="s">
        <v>1529</v>
      </c>
      <c r="C3" s="3080"/>
      <c r="D3" s="3080"/>
      <c r="E3" s="3080"/>
      <c r="F3" s="3080"/>
      <c r="G3" s="3080"/>
      <c r="H3" s="3080"/>
      <c r="I3" s="3080"/>
      <c r="J3" s="3080"/>
      <c r="K3" s="3080"/>
      <c r="L3" s="3080"/>
      <c r="M3" s="3080"/>
      <c r="N3" s="3080"/>
      <c r="O3" s="3080"/>
      <c r="P3" s="3080"/>
      <c r="Q3" s="2829"/>
    </row>
    <row r="4" spans="2:23" s="173" customFormat="1" ht="15" customHeight="1" x14ac:dyDescent="0.2">
      <c r="B4" s="179"/>
      <c r="C4" s="180"/>
      <c r="D4" s="180"/>
      <c r="E4" s="180"/>
      <c r="F4" s="180"/>
      <c r="G4" s="180"/>
      <c r="H4" s="180"/>
      <c r="I4" s="180"/>
      <c r="J4" s="180"/>
      <c r="K4" s="179"/>
      <c r="L4" s="3081" t="s">
        <v>4809</v>
      </c>
      <c r="M4" s="3081"/>
      <c r="N4" s="3081"/>
      <c r="O4" s="3082"/>
      <c r="P4" s="3082"/>
    </row>
    <row r="5" spans="2:23" s="173" customFormat="1" ht="15" customHeight="1" x14ac:dyDescent="0.2">
      <c r="B5" s="172" t="s">
        <v>327</v>
      </c>
      <c r="D5" s="3076" t="str">
        <f>+Index!$E$10</f>
        <v>01</v>
      </c>
      <c r="E5" s="3076"/>
      <c r="F5" s="3076"/>
      <c r="G5" s="3076"/>
      <c r="H5" s="157"/>
      <c r="O5" s="174" t="s">
        <v>972</v>
      </c>
      <c r="P5" s="773" t="str">
        <f>CONCATENATE(Index!$E$12," ",Index!$E$14)</f>
        <v xml:space="preserve"> </v>
      </c>
    </row>
    <row r="6" spans="2:23" s="173" customFormat="1" ht="15" customHeight="1" x14ac:dyDescent="0.2">
      <c r="B6" s="172" t="s">
        <v>1154</v>
      </c>
      <c r="D6" s="3076" t="str">
        <f>+Index!$E$11</f>
        <v>North Carolina General Assembly</v>
      </c>
      <c r="E6" s="3076"/>
      <c r="F6" s="3076"/>
      <c r="G6" s="3076"/>
      <c r="H6" s="3076"/>
      <c r="O6" s="174" t="s">
        <v>348</v>
      </c>
      <c r="P6" s="775">
        <f>+Index!$E$13</f>
        <v>0</v>
      </c>
      <c r="Q6" s="157"/>
      <c r="R6" s="774"/>
      <c r="S6" s="774"/>
      <c r="T6" s="774"/>
    </row>
    <row r="7" spans="2:23" s="173" customFormat="1" ht="15" customHeight="1" x14ac:dyDescent="0.2">
      <c r="B7" s="172" t="s">
        <v>723</v>
      </c>
      <c r="D7" s="560"/>
    </row>
    <row r="8" spans="2:23" s="173" customFormat="1" ht="15" customHeight="1" thickBot="1" x14ac:dyDescent="0.25">
      <c r="B8" s="175"/>
      <c r="C8" s="175"/>
      <c r="D8" s="175"/>
      <c r="E8" s="175"/>
      <c r="F8" s="175"/>
      <c r="G8" s="175"/>
      <c r="H8" s="175"/>
      <c r="I8" s="175"/>
      <c r="J8" s="175"/>
      <c r="K8" s="176"/>
      <c r="L8" s="175"/>
      <c r="M8" s="175"/>
      <c r="N8" s="175"/>
      <c r="O8" s="175"/>
      <c r="P8" s="175"/>
    </row>
    <row r="9" spans="2:23" s="173" customFormat="1" ht="7.35" customHeight="1" x14ac:dyDescent="0.2">
      <c r="K9" s="174"/>
    </row>
    <row r="10" spans="2:23" s="173" customFormat="1" ht="15" customHeight="1" x14ac:dyDescent="0.2">
      <c r="B10" s="3084" t="s">
        <v>152</v>
      </c>
      <c r="C10" s="3084"/>
      <c r="D10" s="3084"/>
      <c r="E10" s="3084"/>
      <c r="F10" s="3084"/>
      <c r="G10" s="3084"/>
      <c r="H10" s="3084"/>
      <c r="K10" s="174"/>
    </row>
    <row r="11" spans="2:23" s="173" customFormat="1" ht="15" customHeight="1" thickBot="1" x14ac:dyDescent="0.25">
      <c r="B11" s="177"/>
      <c r="D11" s="158" t="s">
        <v>979</v>
      </c>
      <c r="E11" s="156"/>
      <c r="F11" s="158" t="s">
        <v>979</v>
      </c>
      <c r="I11" s="179"/>
      <c r="J11" s="3083" t="s">
        <v>1096</v>
      </c>
      <c r="K11" s="3083"/>
      <c r="L11" s="3083"/>
      <c r="M11" s="3083"/>
      <c r="N11" s="3083"/>
      <c r="O11" s="159"/>
    </row>
    <row r="12" spans="2:23" s="173" customFormat="1" ht="15" customHeight="1" x14ac:dyDescent="0.2">
      <c r="B12" s="177" t="s">
        <v>1064</v>
      </c>
      <c r="D12" s="158" t="s">
        <v>722</v>
      </c>
      <c r="E12" s="156"/>
      <c r="F12" s="158" t="s">
        <v>1157</v>
      </c>
      <c r="I12" s="179"/>
      <c r="J12" s="156"/>
      <c r="K12" s="156"/>
      <c r="L12" s="2436" t="s">
        <v>5395</v>
      </c>
      <c r="M12" s="158"/>
      <c r="N12" s="2436" t="s">
        <v>5394</v>
      </c>
      <c r="O12" s="156"/>
    </row>
    <row r="13" spans="2:23" s="173" customFormat="1" ht="15" customHeight="1" thickBot="1" x14ac:dyDescent="0.25">
      <c r="B13" s="181" t="s">
        <v>684</v>
      </c>
      <c r="C13" s="177"/>
      <c r="D13" s="160" t="s">
        <v>808</v>
      </c>
      <c r="E13" s="156"/>
      <c r="F13" s="160" t="s">
        <v>808</v>
      </c>
      <c r="H13" s="181" t="s">
        <v>1156</v>
      </c>
      <c r="J13" s="160" t="s">
        <v>1097</v>
      </c>
      <c r="K13" s="162"/>
      <c r="L13" s="2438" t="s">
        <v>5396</v>
      </c>
      <c r="M13" s="2464"/>
      <c r="N13" s="2438" t="s">
        <v>1307</v>
      </c>
      <c r="O13" s="162"/>
      <c r="P13" s="181" t="s">
        <v>772</v>
      </c>
      <c r="Q13" s="177" t="s">
        <v>973</v>
      </c>
    </row>
    <row r="14" spans="2:23" s="173" customFormat="1" ht="15" customHeight="1" x14ac:dyDescent="0.2">
      <c r="B14" s="561"/>
      <c r="D14" s="561"/>
      <c r="E14" s="242"/>
      <c r="F14" s="561"/>
      <c r="G14" s="177"/>
      <c r="H14" s="562"/>
      <c r="J14" s="557"/>
      <c r="K14" s="156"/>
      <c r="L14" s="558"/>
      <c r="M14" s="2465"/>
      <c r="N14" s="2660"/>
      <c r="P14" s="560"/>
      <c r="Q14" s="552" t="str">
        <f t="shared" ref="Q14:Q20" si="0">IF(R14=FALSE,"*","")</f>
        <v/>
      </c>
      <c r="R14" s="553" t="b">
        <f>IF(OR(S14=0,S14=4),TRUE, FALSE)</f>
        <v>1</v>
      </c>
      <c r="S14" s="553">
        <f>COUNTIF(T14:W14,FALSE)</f>
        <v>0</v>
      </c>
      <c r="T14" s="559" t="b">
        <f>ISBLANK(B14)</f>
        <v>1</v>
      </c>
      <c r="U14" s="559" t="b">
        <f>ISBLANK(D14)</f>
        <v>1</v>
      </c>
      <c r="V14" s="559" t="b">
        <f>ISBLANK(F14)</f>
        <v>1</v>
      </c>
      <c r="W14" s="559" t="b">
        <f>ISBLANK(H14)</f>
        <v>1</v>
      </c>
    </row>
    <row r="15" spans="2:23" s="173" customFormat="1" ht="15" customHeight="1" x14ac:dyDescent="0.2">
      <c r="B15" s="561"/>
      <c r="D15" s="561"/>
      <c r="E15" s="242"/>
      <c r="F15" s="561"/>
      <c r="G15" s="177"/>
      <c r="H15" s="562"/>
      <c r="J15" s="557"/>
      <c r="K15" s="156"/>
      <c r="L15" s="558"/>
      <c r="M15" s="2465"/>
      <c r="N15" s="2660"/>
      <c r="P15" s="560"/>
      <c r="Q15" s="552" t="str">
        <f t="shared" si="0"/>
        <v/>
      </c>
      <c r="R15" s="553" t="b">
        <f t="shared" ref="R15:R20" si="1">IF(OR(S15=0,S15=4),TRUE, FALSE)</f>
        <v>1</v>
      </c>
      <c r="S15" s="553">
        <f t="shared" ref="S15:S20" si="2">COUNTIF(T15:W15,FALSE)</f>
        <v>0</v>
      </c>
      <c r="T15" s="559" t="b">
        <f t="shared" ref="T15:T20" si="3">ISBLANK(B15)</f>
        <v>1</v>
      </c>
      <c r="U15" s="559" t="b">
        <f t="shared" ref="U15:U20" si="4">ISBLANK(D15)</f>
        <v>1</v>
      </c>
      <c r="V15" s="559" t="b">
        <f t="shared" ref="V15:V20" si="5">ISBLANK(F15)</f>
        <v>1</v>
      </c>
      <c r="W15" s="559" t="b">
        <f t="shared" ref="W15:W20" si="6">ISBLANK(H15)</f>
        <v>1</v>
      </c>
    </row>
    <row r="16" spans="2:23" s="173" customFormat="1" ht="15" customHeight="1" x14ac:dyDescent="0.2">
      <c r="B16" s="561"/>
      <c r="D16" s="561"/>
      <c r="E16" s="242"/>
      <c r="F16" s="561"/>
      <c r="G16" s="177"/>
      <c r="H16" s="562"/>
      <c r="J16" s="557"/>
      <c r="K16" s="156"/>
      <c r="L16" s="558"/>
      <c r="M16" s="2465"/>
      <c r="N16" s="2660"/>
      <c r="P16" s="560"/>
      <c r="Q16" s="552" t="str">
        <f t="shared" si="0"/>
        <v/>
      </c>
      <c r="R16" s="553" t="b">
        <f t="shared" si="1"/>
        <v>1</v>
      </c>
      <c r="S16" s="553">
        <f t="shared" si="2"/>
        <v>0</v>
      </c>
      <c r="T16" s="559" t="b">
        <f t="shared" si="3"/>
        <v>1</v>
      </c>
      <c r="U16" s="559" t="b">
        <f t="shared" si="4"/>
        <v>1</v>
      </c>
      <c r="V16" s="559" t="b">
        <f t="shared" si="5"/>
        <v>1</v>
      </c>
      <c r="W16" s="559" t="b">
        <f t="shared" si="6"/>
        <v>1</v>
      </c>
    </row>
    <row r="17" spans="2:23" s="173" customFormat="1" ht="15" customHeight="1" x14ac:dyDescent="0.2">
      <c r="B17" s="561"/>
      <c r="D17" s="561"/>
      <c r="E17" s="242"/>
      <c r="F17" s="561"/>
      <c r="G17" s="177"/>
      <c r="H17" s="562"/>
      <c r="J17" s="557"/>
      <c r="K17" s="156"/>
      <c r="L17" s="558"/>
      <c r="M17" s="2465"/>
      <c r="N17" s="2660"/>
      <c r="P17" s="560"/>
      <c r="Q17" s="552" t="str">
        <f t="shared" si="0"/>
        <v/>
      </c>
      <c r="R17" s="553" t="b">
        <f t="shared" si="1"/>
        <v>1</v>
      </c>
      <c r="S17" s="553">
        <f t="shared" si="2"/>
        <v>0</v>
      </c>
      <c r="T17" s="559" t="b">
        <f t="shared" si="3"/>
        <v>1</v>
      </c>
      <c r="U17" s="559" t="b">
        <f t="shared" si="4"/>
        <v>1</v>
      </c>
      <c r="V17" s="559" t="b">
        <f t="shared" si="5"/>
        <v>1</v>
      </c>
      <c r="W17" s="559" t="b">
        <f t="shared" si="6"/>
        <v>1</v>
      </c>
    </row>
    <row r="18" spans="2:23" s="173" customFormat="1" ht="15" customHeight="1" x14ac:dyDescent="0.2">
      <c r="B18" s="561"/>
      <c r="D18" s="561"/>
      <c r="E18" s="242"/>
      <c r="F18" s="561"/>
      <c r="G18" s="177"/>
      <c r="H18" s="562"/>
      <c r="J18" s="557"/>
      <c r="K18" s="156"/>
      <c r="L18" s="558"/>
      <c r="M18" s="2465"/>
      <c r="N18" s="2660"/>
      <c r="P18" s="560"/>
      <c r="Q18" s="552" t="str">
        <f t="shared" si="0"/>
        <v/>
      </c>
      <c r="R18" s="553" t="b">
        <f t="shared" si="1"/>
        <v>1</v>
      </c>
      <c r="S18" s="553">
        <f t="shared" si="2"/>
        <v>0</v>
      </c>
      <c r="T18" s="559" t="b">
        <f t="shared" si="3"/>
        <v>1</v>
      </c>
      <c r="U18" s="559" t="b">
        <f t="shared" si="4"/>
        <v>1</v>
      </c>
      <c r="V18" s="559" t="b">
        <f t="shared" si="5"/>
        <v>1</v>
      </c>
      <c r="W18" s="559" t="b">
        <f t="shared" si="6"/>
        <v>1</v>
      </c>
    </row>
    <row r="19" spans="2:23" s="173" customFormat="1" ht="15" customHeight="1" x14ac:dyDescent="0.2">
      <c r="B19" s="561"/>
      <c r="D19" s="561"/>
      <c r="E19" s="242"/>
      <c r="F19" s="561"/>
      <c r="G19" s="177"/>
      <c r="H19" s="562"/>
      <c r="J19" s="557"/>
      <c r="K19" s="156"/>
      <c r="L19" s="558"/>
      <c r="M19" s="2465"/>
      <c r="N19" s="2660"/>
      <c r="P19" s="560"/>
      <c r="Q19" s="552" t="str">
        <f t="shared" si="0"/>
        <v/>
      </c>
      <c r="R19" s="553" t="b">
        <f t="shared" si="1"/>
        <v>1</v>
      </c>
      <c r="S19" s="553">
        <f t="shared" si="2"/>
        <v>0</v>
      </c>
      <c r="T19" s="559" t="b">
        <f t="shared" si="3"/>
        <v>1</v>
      </c>
      <c r="U19" s="559" t="b">
        <f t="shared" si="4"/>
        <v>1</v>
      </c>
      <c r="V19" s="559" t="b">
        <f t="shared" si="5"/>
        <v>1</v>
      </c>
      <c r="W19" s="559" t="b">
        <f t="shared" si="6"/>
        <v>1</v>
      </c>
    </row>
    <row r="20" spans="2:23" s="173" customFormat="1" ht="15" customHeight="1" x14ac:dyDescent="0.2">
      <c r="B20" s="561"/>
      <c r="D20" s="561"/>
      <c r="E20" s="242"/>
      <c r="F20" s="561"/>
      <c r="G20" s="177"/>
      <c r="H20" s="562"/>
      <c r="J20" s="557"/>
      <c r="K20" s="156"/>
      <c r="L20" s="558"/>
      <c r="M20" s="2465"/>
      <c r="N20" s="2660"/>
      <c r="P20" s="560"/>
      <c r="Q20" s="552" t="str">
        <f t="shared" si="0"/>
        <v/>
      </c>
      <c r="R20" s="553" t="b">
        <f t="shared" si="1"/>
        <v>1</v>
      </c>
      <c r="S20" s="553">
        <f t="shared" si="2"/>
        <v>0</v>
      </c>
      <c r="T20" s="559" t="b">
        <f t="shared" si="3"/>
        <v>1</v>
      </c>
      <c r="U20" s="559" t="b">
        <f t="shared" si="4"/>
        <v>1</v>
      </c>
      <c r="V20" s="559" t="b">
        <f t="shared" si="5"/>
        <v>1</v>
      </c>
      <c r="W20" s="559" t="b">
        <f t="shared" si="6"/>
        <v>1</v>
      </c>
    </row>
    <row r="21" spans="2:23" s="173" customFormat="1" ht="15" customHeight="1" thickBot="1" x14ac:dyDescent="0.25">
      <c r="E21" s="177"/>
      <c r="F21" s="177" t="s">
        <v>981</v>
      </c>
      <c r="G21" s="177"/>
      <c r="H21" s="178">
        <f>SUM(H14:H20)</f>
        <v>0</v>
      </c>
      <c r="J21" s="245" t="s">
        <v>5556</v>
      </c>
      <c r="Q21" s="564"/>
      <c r="R21" s="553">
        <f>COUNTIF(R14:R20,FALSE)</f>
        <v>0</v>
      </c>
      <c r="S21" s="564"/>
      <c r="T21" s="564"/>
      <c r="U21" s="564"/>
      <c r="V21" s="564"/>
      <c r="W21" s="564"/>
    </row>
    <row r="22" spans="2:23" s="173" customFormat="1" ht="15" customHeight="1" x14ac:dyDescent="0.2">
      <c r="E22" s="177"/>
      <c r="F22" s="177"/>
      <c r="G22" s="177"/>
      <c r="H22" s="243"/>
      <c r="J22" s="245"/>
      <c r="Q22" s="564"/>
      <c r="R22" s="564"/>
      <c r="S22" s="564"/>
      <c r="T22" s="564"/>
      <c r="U22" s="564"/>
      <c r="V22" s="564"/>
      <c r="W22" s="564"/>
    </row>
    <row r="23" spans="2:23" s="173" customFormat="1" ht="15" customHeight="1" x14ac:dyDescent="0.2">
      <c r="B23" s="3085" t="s">
        <v>4808</v>
      </c>
      <c r="C23" s="3085"/>
      <c r="D23" s="3085"/>
      <c r="E23" s="3085"/>
      <c r="F23" s="3085"/>
      <c r="G23" s="3085"/>
      <c r="H23" s="3085"/>
      <c r="I23" s="3085"/>
      <c r="J23" s="3085"/>
      <c r="K23" s="3085"/>
      <c r="L23" s="3085"/>
      <c r="M23" s="2461"/>
      <c r="N23" s="2461"/>
      <c r="Q23" s="564"/>
      <c r="R23" s="564"/>
      <c r="S23" s="564"/>
      <c r="T23" s="564"/>
      <c r="U23" s="564"/>
      <c r="V23" s="564"/>
      <c r="W23" s="564"/>
    </row>
    <row r="24" spans="2:23" s="173" customFormat="1" ht="15" customHeight="1" thickBot="1" x14ac:dyDescent="0.25">
      <c r="B24" s="177"/>
      <c r="D24" s="158" t="s">
        <v>982</v>
      </c>
      <c r="E24" s="156"/>
      <c r="F24" s="158" t="s">
        <v>982</v>
      </c>
      <c r="I24" s="179"/>
      <c r="J24" s="3083" t="s">
        <v>156</v>
      </c>
      <c r="K24" s="3083"/>
      <c r="L24" s="3083"/>
      <c r="M24" s="3083"/>
      <c r="N24" s="3083"/>
      <c r="O24" s="159"/>
      <c r="Q24" s="564"/>
      <c r="R24" s="564"/>
      <c r="S24" s="564"/>
      <c r="T24" s="564"/>
      <c r="U24" s="564"/>
      <c r="V24" s="564"/>
      <c r="W24" s="564"/>
    </row>
    <row r="25" spans="2:23" s="173" customFormat="1" ht="15" customHeight="1" x14ac:dyDescent="0.2">
      <c r="B25" s="177" t="s">
        <v>1064</v>
      </c>
      <c r="D25" s="158" t="s">
        <v>722</v>
      </c>
      <c r="E25" s="156"/>
      <c r="F25" s="158" t="s">
        <v>1157</v>
      </c>
      <c r="I25" s="179"/>
      <c r="J25" s="156"/>
      <c r="K25" s="156"/>
      <c r="L25" s="2436" t="s">
        <v>5395</v>
      </c>
      <c r="M25" s="158"/>
      <c r="N25" s="2436" t="s">
        <v>5394</v>
      </c>
      <c r="O25" s="156"/>
      <c r="Q25" s="564"/>
      <c r="R25" s="564"/>
      <c r="S25" s="564"/>
      <c r="T25" s="564"/>
      <c r="U25" s="564"/>
      <c r="V25" s="564"/>
      <c r="W25" s="564"/>
    </row>
    <row r="26" spans="2:23" s="173" customFormat="1" ht="15" customHeight="1" thickBot="1" x14ac:dyDescent="0.25">
      <c r="B26" s="181" t="s">
        <v>684</v>
      </c>
      <c r="C26" s="177"/>
      <c r="D26" s="160" t="s">
        <v>808</v>
      </c>
      <c r="E26" s="156"/>
      <c r="F26" s="160" t="s">
        <v>808</v>
      </c>
      <c r="H26" s="181" t="s">
        <v>1156</v>
      </c>
      <c r="J26" s="160" t="s">
        <v>1097</v>
      </c>
      <c r="K26" s="162"/>
      <c r="L26" s="2438" t="s">
        <v>5396</v>
      </c>
      <c r="M26" s="2464"/>
      <c r="N26" s="2438" t="s">
        <v>1307</v>
      </c>
      <c r="O26" s="162"/>
      <c r="P26" s="181" t="s">
        <v>772</v>
      </c>
      <c r="Q26" s="569" t="s">
        <v>973</v>
      </c>
      <c r="R26" s="564"/>
      <c r="S26" s="564"/>
      <c r="T26" s="564"/>
      <c r="U26" s="564"/>
      <c r="V26" s="564"/>
      <c r="W26" s="564"/>
    </row>
    <row r="27" spans="2:23" s="173" customFormat="1" ht="15" customHeight="1" x14ac:dyDescent="0.2">
      <c r="B27" s="561"/>
      <c r="D27" s="561"/>
      <c r="E27" s="242"/>
      <c r="F27" s="561"/>
      <c r="G27" s="177"/>
      <c r="H27" s="562"/>
      <c r="J27" s="560"/>
      <c r="L27" s="563"/>
      <c r="M27" s="2466"/>
      <c r="N27" s="2660"/>
      <c r="P27" s="560"/>
      <c r="Q27" s="552" t="str">
        <f t="shared" ref="Q27:Q33" si="7">IF(R27=FALSE,"*","")</f>
        <v/>
      </c>
      <c r="R27" s="553" t="b">
        <f t="shared" ref="R27:R33" si="8">IF(OR(S27=0,S27=4),TRUE, FALSE)</f>
        <v>1</v>
      </c>
      <c r="S27" s="553">
        <f t="shared" ref="S27:S33" si="9">COUNTIF(T27:W27,FALSE)</f>
        <v>0</v>
      </c>
      <c r="T27" s="559" t="b">
        <f t="shared" ref="T27:T33" si="10">ISBLANK(B27)</f>
        <v>1</v>
      </c>
      <c r="U27" s="559" t="b">
        <f t="shared" ref="U27:U33" si="11">ISBLANK(D27)</f>
        <v>1</v>
      </c>
      <c r="V27" s="559" t="b">
        <f t="shared" ref="V27:V33" si="12">ISBLANK(F27)</f>
        <v>1</v>
      </c>
      <c r="W27" s="559" t="b">
        <f t="shared" ref="W27:W33" si="13">ISBLANK(H27)</f>
        <v>1</v>
      </c>
    </row>
    <row r="28" spans="2:23" s="173" customFormat="1" ht="15" customHeight="1" x14ac:dyDescent="0.2">
      <c r="B28" s="561"/>
      <c r="D28" s="561"/>
      <c r="E28" s="242"/>
      <c r="F28" s="561"/>
      <c r="G28" s="177"/>
      <c r="H28" s="562"/>
      <c r="J28" s="560"/>
      <c r="L28" s="563"/>
      <c r="M28" s="2466"/>
      <c r="N28" s="2660"/>
      <c r="P28" s="560"/>
      <c r="Q28" s="552" t="str">
        <f t="shared" si="7"/>
        <v/>
      </c>
      <c r="R28" s="553" t="b">
        <f t="shared" si="8"/>
        <v>1</v>
      </c>
      <c r="S28" s="553">
        <f t="shared" si="9"/>
        <v>0</v>
      </c>
      <c r="T28" s="559" t="b">
        <f t="shared" si="10"/>
        <v>1</v>
      </c>
      <c r="U28" s="559" t="b">
        <f t="shared" si="11"/>
        <v>1</v>
      </c>
      <c r="V28" s="559" t="b">
        <f t="shared" si="12"/>
        <v>1</v>
      </c>
      <c r="W28" s="559" t="b">
        <f t="shared" si="13"/>
        <v>1</v>
      </c>
    </row>
    <row r="29" spans="2:23" s="173" customFormat="1" ht="15" customHeight="1" x14ac:dyDescent="0.2">
      <c r="B29" s="561"/>
      <c r="D29" s="561"/>
      <c r="E29" s="242"/>
      <c r="F29" s="561"/>
      <c r="G29" s="177"/>
      <c r="H29" s="562"/>
      <c r="J29" s="560"/>
      <c r="L29" s="563"/>
      <c r="M29" s="2466"/>
      <c r="N29" s="2660"/>
      <c r="P29" s="560"/>
      <c r="Q29" s="552" t="str">
        <f t="shared" si="7"/>
        <v/>
      </c>
      <c r="R29" s="553" t="b">
        <f t="shared" si="8"/>
        <v>1</v>
      </c>
      <c r="S29" s="553">
        <f t="shared" si="9"/>
        <v>0</v>
      </c>
      <c r="T29" s="559" t="b">
        <f t="shared" si="10"/>
        <v>1</v>
      </c>
      <c r="U29" s="559" t="b">
        <f t="shared" si="11"/>
        <v>1</v>
      </c>
      <c r="V29" s="559" t="b">
        <f t="shared" si="12"/>
        <v>1</v>
      </c>
      <c r="W29" s="559" t="b">
        <f t="shared" si="13"/>
        <v>1</v>
      </c>
    </row>
    <row r="30" spans="2:23" s="173" customFormat="1" ht="15" customHeight="1" x14ac:dyDescent="0.2">
      <c r="B30" s="561"/>
      <c r="D30" s="561"/>
      <c r="E30" s="242"/>
      <c r="F30" s="561"/>
      <c r="G30" s="177"/>
      <c r="H30" s="562"/>
      <c r="J30" s="560"/>
      <c r="L30" s="563"/>
      <c r="M30" s="2466"/>
      <c r="N30" s="2660"/>
      <c r="P30" s="560"/>
      <c r="Q30" s="552" t="str">
        <f t="shared" si="7"/>
        <v/>
      </c>
      <c r="R30" s="553" t="b">
        <f t="shared" si="8"/>
        <v>1</v>
      </c>
      <c r="S30" s="553">
        <f t="shared" si="9"/>
        <v>0</v>
      </c>
      <c r="T30" s="559" t="b">
        <f t="shared" si="10"/>
        <v>1</v>
      </c>
      <c r="U30" s="559" t="b">
        <f t="shared" si="11"/>
        <v>1</v>
      </c>
      <c r="V30" s="559" t="b">
        <f t="shared" si="12"/>
        <v>1</v>
      </c>
      <c r="W30" s="559" t="b">
        <f t="shared" si="13"/>
        <v>1</v>
      </c>
    </row>
    <row r="31" spans="2:23" s="173" customFormat="1" ht="15" customHeight="1" x14ac:dyDescent="0.2">
      <c r="B31" s="561"/>
      <c r="D31" s="561"/>
      <c r="E31" s="242"/>
      <c r="F31" s="561"/>
      <c r="G31" s="177"/>
      <c r="H31" s="562"/>
      <c r="J31" s="560"/>
      <c r="L31" s="563"/>
      <c r="M31" s="2466"/>
      <c r="N31" s="2660"/>
      <c r="P31" s="560"/>
      <c r="Q31" s="552" t="str">
        <f t="shared" si="7"/>
        <v/>
      </c>
      <c r="R31" s="553" t="b">
        <f t="shared" si="8"/>
        <v>1</v>
      </c>
      <c r="S31" s="553">
        <f t="shared" si="9"/>
        <v>0</v>
      </c>
      <c r="T31" s="559" t="b">
        <f t="shared" si="10"/>
        <v>1</v>
      </c>
      <c r="U31" s="559" t="b">
        <f t="shared" si="11"/>
        <v>1</v>
      </c>
      <c r="V31" s="559" t="b">
        <f t="shared" si="12"/>
        <v>1</v>
      </c>
      <c r="W31" s="559" t="b">
        <f t="shared" si="13"/>
        <v>1</v>
      </c>
    </row>
    <row r="32" spans="2:23" s="173" customFormat="1" ht="15" customHeight="1" x14ac:dyDescent="0.2">
      <c r="B32" s="561"/>
      <c r="D32" s="561"/>
      <c r="E32" s="242"/>
      <c r="F32" s="561"/>
      <c r="G32" s="177"/>
      <c r="H32" s="562"/>
      <c r="J32" s="560"/>
      <c r="L32" s="563"/>
      <c r="M32" s="2466"/>
      <c r="N32" s="2660"/>
      <c r="P32" s="560"/>
      <c r="Q32" s="552" t="str">
        <f t="shared" si="7"/>
        <v/>
      </c>
      <c r="R32" s="553" t="b">
        <f t="shared" si="8"/>
        <v>1</v>
      </c>
      <c r="S32" s="553">
        <f t="shared" si="9"/>
        <v>0</v>
      </c>
      <c r="T32" s="559" t="b">
        <f t="shared" si="10"/>
        <v>1</v>
      </c>
      <c r="U32" s="559" t="b">
        <f t="shared" si="11"/>
        <v>1</v>
      </c>
      <c r="V32" s="559" t="b">
        <f t="shared" si="12"/>
        <v>1</v>
      </c>
      <c r="W32" s="559" t="b">
        <f t="shared" si="13"/>
        <v>1</v>
      </c>
    </row>
    <row r="33" spans="1:23" s="173" customFormat="1" ht="15" customHeight="1" x14ac:dyDescent="0.2">
      <c r="B33" s="561"/>
      <c r="D33" s="561"/>
      <c r="E33" s="242"/>
      <c r="F33" s="561"/>
      <c r="G33" s="177"/>
      <c r="H33" s="562"/>
      <c r="J33" s="560"/>
      <c r="L33" s="563"/>
      <c r="M33" s="2466"/>
      <c r="N33" s="2660"/>
      <c r="P33" s="560"/>
      <c r="Q33" s="552" t="str">
        <f t="shared" si="7"/>
        <v/>
      </c>
      <c r="R33" s="553" t="b">
        <f t="shared" si="8"/>
        <v>1</v>
      </c>
      <c r="S33" s="553">
        <f t="shared" si="9"/>
        <v>0</v>
      </c>
      <c r="T33" s="559" t="b">
        <f t="shared" si="10"/>
        <v>1</v>
      </c>
      <c r="U33" s="559" t="b">
        <f t="shared" si="11"/>
        <v>1</v>
      </c>
      <c r="V33" s="559" t="b">
        <f t="shared" si="12"/>
        <v>1</v>
      </c>
      <c r="W33" s="559" t="b">
        <f t="shared" si="13"/>
        <v>1</v>
      </c>
    </row>
    <row r="34" spans="1:23" s="173" customFormat="1" ht="15" customHeight="1" thickBot="1" x14ac:dyDescent="0.25">
      <c r="E34" s="177"/>
      <c r="F34" s="177" t="s">
        <v>981</v>
      </c>
      <c r="G34" s="177"/>
      <c r="H34" s="178">
        <f>SUM(H27:H33)</f>
        <v>0</v>
      </c>
      <c r="J34" s="245" t="s">
        <v>5557</v>
      </c>
      <c r="Q34" s="564"/>
      <c r="R34" s="553">
        <f>COUNTIF(R27:R33,FALSE)</f>
        <v>0</v>
      </c>
      <c r="S34" s="564"/>
      <c r="T34" s="564"/>
      <c r="U34" s="564"/>
      <c r="V34" s="564"/>
      <c r="W34" s="564"/>
    </row>
    <row r="35" spans="1:23" s="173" customFormat="1" ht="7.35" customHeight="1" x14ac:dyDescent="0.2">
      <c r="E35" s="177"/>
      <c r="F35" s="177"/>
      <c r="G35" s="177"/>
      <c r="O35" s="177"/>
    </row>
    <row r="36" spans="1:23" s="173" customFormat="1" ht="15" customHeight="1" x14ac:dyDescent="0.2">
      <c r="B36" s="245"/>
      <c r="E36" s="177"/>
      <c r="F36" s="177"/>
      <c r="G36" s="177"/>
      <c r="O36" s="177"/>
    </row>
    <row r="37" spans="1:23" s="173" customFormat="1" ht="15" customHeight="1" x14ac:dyDescent="0.2">
      <c r="E37" s="177"/>
      <c r="F37" s="177"/>
      <c r="G37" s="177"/>
      <c r="O37" s="177"/>
    </row>
    <row r="38" spans="1:23" s="173" customFormat="1" ht="15" customHeight="1" x14ac:dyDescent="0.2">
      <c r="E38" s="177"/>
      <c r="F38" s="177"/>
      <c r="G38" s="177"/>
      <c r="O38" s="177"/>
    </row>
    <row r="39" spans="1:23" s="173" customFormat="1" ht="15" customHeight="1" x14ac:dyDescent="0.2">
      <c r="A39" s="443" t="str">
        <f ca="1">MID(CELL("filename",A5),FIND("]",CELL("filename",A5))+1,256)</f>
        <v>535</v>
      </c>
      <c r="B39" s="443" t="s">
        <v>449</v>
      </c>
      <c r="E39" s="177"/>
      <c r="F39" s="177"/>
      <c r="G39" s="177"/>
      <c r="O39" s="177"/>
    </row>
    <row r="40" spans="1:23" s="173" customFormat="1" ht="15" customHeight="1" x14ac:dyDescent="0.2">
      <c r="A40" s="443" t="s">
        <v>446</v>
      </c>
      <c r="B40" s="443" t="str">
        <f t="shared" ref="B40:B49" ca="1" si="14">IF(ISNA(INDEX(ErrorTable,MATCH($A$39&amp;$A40&amp;FALSE,ErrorKey,0),6)),"",INDEX(ErrorTable,MATCH($A$39&amp;$A40&amp;FALSE,ErrorKey,0),6))</f>
        <v>GASB number is blank.</v>
      </c>
      <c r="E40" s="177"/>
      <c r="F40" s="177"/>
      <c r="G40" s="177"/>
      <c r="O40" s="177"/>
    </row>
    <row r="41" spans="1:23" s="173" customFormat="1" ht="15" customHeight="1" x14ac:dyDescent="0.2">
      <c r="A41" s="443" t="s">
        <v>447</v>
      </c>
      <c r="B41" s="443" t="str">
        <f t="shared" ca="1" si="14"/>
        <v/>
      </c>
      <c r="E41" s="177"/>
      <c r="F41" s="177"/>
      <c r="G41" s="177"/>
      <c r="O41" s="177"/>
    </row>
    <row r="42" spans="1:23" s="173" customFormat="1" ht="15" customHeight="1" x14ac:dyDescent="0.2">
      <c r="A42" s="443" t="s">
        <v>448</v>
      </c>
      <c r="B42" s="443" t="str">
        <f t="shared" ca="1" si="14"/>
        <v/>
      </c>
      <c r="E42" s="177"/>
      <c r="F42" s="177"/>
      <c r="G42" s="177"/>
      <c r="O42" s="177"/>
    </row>
    <row r="43" spans="1:23" ht="20.85" customHeight="1" x14ac:dyDescent="0.25">
      <c r="A43" s="443" t="s">
        <v>450</v>
      </c>
      <c r="B43" s="443" t="str">
        <f t="shared" ca="1" si="14"/>
        <v/>
      </c>
    </row>
    <row r="44" spans="1:23" ht="20.85" customHeight="1" x14ac:dyDescent="0.25">
      <c r="A44" s="443" t="s">
        <v>451</v>
      </c>
      <c r="B44" s="443" t="str">
        <f t="shared" ca="1" si="14"/>
        <v/>
      </c>
    </row>
    <row r="45" spans="1:23" ht="20.85" customHeight="1" x14ac:dyDescent="0.25">
      <c r="A45" s="443" t="s">
        <v>452</v>
      </c>
      <c r="B45" s="443" t="str">
        <f t="shared" ca="1" si="14"/>
        <v/>
      </c>
    </row>
    <row r="46" spans="1:23" ht="20.85" customHeight="1" x14ac:dyDescent="0.25">
      <c r="A46" s="443" t="s">
        <v>453</v>
      </c>
      <c r="B46" s="443" t="str">
        <f t="shared" ca="1" si="14"/>
        <v/>
      </c>
      <c r="D46" s="55" t="s">
        <v>973</v>
      </c>
      <c r="E46" s="55"/>
      <c r="F46" s="55"/>
      <c r="G46" s="55"/>
      <c r="H46" s="55"/>
      <c r="I46" s="55"/>
      <c r="J46" s="55"/>
      <c r="K46" s="55"/>
    </row>
    <row r="47" spans="1:23" ht="20.85" customHeight="1" x14ac:dyDescent="0.25">
      <c r="A47" s="443" t="s">
        <v>454</v>
      </c>
      <c r="B47" s="443" t="str">
        <f t="shared" ca="1" si="14"/>
        <v/>
      </c>
      <c r="D47" s="55" t="s">
        <v>973</v>
      </c>
      <c r="E47" s="55"/>
      <c r="F47" s="55"/>
      <c r="G47" s="55"/>
      <c r="L47" s="54" t="s">
        <v>973</v>
      </c>
      <c r="M47" s="54"/>
      <c r="N47" s="54"/>
      <c r="O47" s="54"/>
      <c r="Q47" s="55" t="s">
        <v>973</v>
      </c>
    </row>
    <row r="48" spans="1:23" ht="20.85" customHeight="1" x14ac:dyDescent="0.25">
      <c r="A48" s="443" t="s">
        <v>455</v>
      </c>
      <c r="B48" s="443" t="str">
        <f t="shared" ca="1" si="14"/>
        <v/>
      </c>
    </row>
    <row r="49" spans="1:17" ht="20.85" customHeight="1" x14ac:dyDescent="0.25">
      <c r="A49" s="443" t="s">
        <v>456</v>
      </c>
      <c r="B49" s="443" t="str">
        <f t="shared" ca="1" si="14"/>
        <v/>
      </c>
    </row>
    <row r="50" spans="1:17" ht="20.85" customHeight="1" x14ac:dyDescent="0.25"/>
    <row r="51" spans="1:17" ht="20.85" customHeight="1" x14ac:dyDescent="0.25"/>
    <row r="52" spans="1:17" ht="20.85" customHeight="1" x14ac:dyDescent="0.25"/>
    <row r="53" spans="1:17" ht="20.85" customHeight="1" x14ac:dyDescent="0.25"/>
    <row r="54" spans="1:17" ht="20.85" customHeight="1" x14ac:dyDescent="0.25">
      <c r="D54" s="53" t="s">
        <v>973</v>
      </c>
    </row>
    <row r="55" spans="1:17" ht="20.85" customHeight="1" x14ac:dyDescent="0.25"/>
    <row r="56" spans="1:17" ht="20.85" customHeight="1" x14ac:dyDescent="0.25"/>
    <row r="57" spans="1:17" ht="20.85" customHeight="1" x14ac:dyDescent="0.25">
      <c r="D57" s="55" t="s">
        <v>973</v>
      </c>
      <c r="E57" s="55"/>
      <c r="F57" s="55"/>
      <c r="G57" s="55"/>
      <c r="L57" s="54" t="s">
        <v>973</v>
      </c>
      <c r="M57" s="54"/>
      <c r="N57" s="54"/>
      <c r="O57" s="54"/>
      <c r="Q57" s="55" t="s">
        <v>973</v>
      </c>
    </row>
  </sheetData>
  <sheetProtection algorithmName="SHA-512" hashValue="sxa30FI9zIB24ItfIkcwE2KEOAHCe+NmEqE+HTVpYoDEOFuIb7SO6sykZnN8tyFVQqIAL3NC0DI2+CQY/dX+xQ==" saltValue="6vQBL2KJ5lZjlS+DPOW9A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11">
    <mergeCell ref="J24:N24"/>
    <mergeCell ref="B10:H10"/>
    <mergeCell ref="D5:G5"/>
    <mergeCell ref="D6:H6"/>
    <mergeCell ref="B23:L23"/>
    <mergeCell ref="J11:N11"/>
    <mergeCell ref="B1:P1"/>
    <mergeCell ref="Q1:Q3"/>
    <mergeCell ref="B2:P2"/>
    <mergeCell ref="B3:P3"/>
    <mergeCell ref="L4:P4"/>
  </mergeCells>
  <phoneticPr fontId="15" type="noConversion"/>
  <conditionalFormatting sqref="Q1:Q3">
    <cfRule type="cellIs" dxfId="63" priority="1" stopIfTrue="1" operator="equal">
      <formula>"na"</formula>
    </cfRule>
  </conditionalFormatting>
  <dataValidations count="3">
    <dataValidation type="textLength" operator="equal" allowBlank="1" showInputMessage="1" showErrorMessage="1" errorTitle="Invalid data!" error="GASB number must be 4 digits." sqref="D7 F27:F33 F14:F20" xr:uid="{00000000-0002-0000-2D00-000000000000}">
      <formula1>4</formula1>
    </dataValidation>
    <dataValidation type="list" allowBlank="1" showInputMessage="1" showErrorMessage="1" sqref="D27:D33" xr:uid="{00000000-0002-0000-2D00-000001000000}">
      <formula1>Listfor535</formula1>
    </dataValidation>
    <dataValidation type="list" allowBlank="1" showInputMessage="1" showErrorMessage="1" sqref="D14:D20" xr:uid="{00000000-0002-0000-2D00-000002000000}">
      <formula1>List505thru520</formula1>
    </dataValidation>
  </dataValidations>
  <hyperlinks>
    <hyperlink ref="B1:P1" location="Index!A1" display="Index!A1" xr:uid="{00000000-0004-0000-2D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I51"/>
  <sheetViews>
    <sheetView showGridLines="0" topLeftCell="B1" zoomScaleNormal="100" workbookViewId="0">
      <selection activeCell="AK5" sqref="AK5"/>
    </sheetView>
  </sheetViews>
  <sheetFormatPr defaultRowHeight="15.75" x14ac:dyDescent="0.25"/>
  <cols>
    <col min="1" max="1" width="0" style="1768" hidden="1" customWidth="1"/>
    <col min="2" max="2" width="11.42578125" style="1768" customWidth="1"/>
    <col min="3" max="3" width="1.5703125" style="1768" customWidth="1"/>
    <col min="4" max="4" width="7.42578125" style="1768" bestFit="1" customWidth="1"/>
    <col min="5" max="5" width="1.5703125" style="1768" customWidth="1"/>
    <col min="6" max="6" width="12.5703125" style="1768" customWidth="1"/>
    <col min="7" max="7" width="1.5703125" style="1768" customWidth="1"/>
    <col min="8" max="8" width="20.5703125" style="1768" customWidth="1"/>
    <col min="9" max="9" width="2.5703125" style="1768" customWidth="1"/>
    <col min="10" max="10" width="12.42578125" style="1768" customWidth="1"/>
    <col min="11" max="11" width="1.5703125" style="1768" customWidth="1"/>
    <col min="12" max="12" width="10.5703125" style="1768" customWidth="1"/>
    <col min="13" max="13" width="1.5703125" style="1768" customWidth="1"/>
    <col min="14" max="14" width="12.5703125" style="1768" customWidth="1"/>
    <col min="15" max="15" width="1.5703125" style="1768" customWidth="1"/>
    <col min="16" max="16" width="22.5703125" style="1768" customWidth="1"/>
    <col min="17" max="17" width="2.42578125" style="1768" customWidth="1"/>
    <col min="18" max="18" width="5.5703125" style="1768" hidden="1" customWidth="1"/>
    <col min="19" max="19" width="2" style="1768" hidden="1" customWidth="1"/>
    <col min="20" max="23" width="5.5703125" style="1768" hidden="1" customWidth="1"/>
    <col min="24" max="24" width="7" style="1768" hidden="1" customWidth="1"/>
    <col min="25" max="25" width="2" style="1768" hidden="1" customWidth="1"/>
    <col min="26" max="26" width="7" style="1768" hidden="1" customWidth="1"/>
    <col min="27" max="29" width="5.5703125" style="1768" hidden="1" customWidth="1"/>
    <col min="30" max="31" width="6.42578125" style="1768" hidden="1" customWidth="1"/>
    <col min="32" max="34" width="0" style="1768" hidden="1" customWidth="1"/>
    <col min="35" max="35" width="9.42578125" style="1768" customWidth="1"/>
    <col min="36" max="256" width="9.42578125" style="1768"/>
    <col min="257" max="257" width="0" style="1768" hidden="1" customWidth="1"/>
    <col min="258" max="258" width="11.42578125" style="1768" customWidth="1"/>
    <col min="259" max="259" width="1.5703125" style="1768" customWidth="1"/>
    <col min="260" max="260" width="7.42578125" style="1768" bestFit="1" customWidth="1"/>
    <col min="261" max="261" width="1.5703125" style="1768" customWidth="1"/>
    <col min="262" max="262" width="12.5703125" style="1768" customWidth="1"/>
    <col min="263" max="263" width="1.5703125" style="1768" customWidth="1"/>
    <col min="264" max="264" width="20.5703125" style="1768" customWidth="1"/>
    <col min="265" max="265" width="2.5703125" style="1768" customWidth="1"/>
    <col min="266" max="266" width="10.5703125" style="1768" customWidth="1"/>
    <col min="267" max="267" width="1.5703125" style="1768" customWidth="1"/>
    <col min="268" max="268" width="10.5703125" style="1768" customWidth="1"/>
    <col min="269" max="269" width="1.5703125" style="1768" customWidth="1"/>
    <col min="270" max="270" width="12.5703125" style="1768" customWidth="1"/>
    <col min="271" max="271" width="1.5703125" style="1768" customWidth="1"/>
    <col min="272" max="272" width="22.5703125" style="1768" customWidth="1"/>
    <col min="273" max="273" width="4.5703125" style="1768" customWidth="1"/>
    <col min="274" max="287" width="0" style="1768" hidden="1" customWidth="1"/>
    <col min="288" max="512" width="9.42578125" style="1768"/>
    <col min="513" max="513" width="0" style="1768" hidden="1" customWidth="1"/>
    <col min="514" max="514" width="11.42578125" style="1768" customWidth="1"/>
    <col min="515" max="515" width="1.5703125" style="1768" customWidth="1"/>
    <col min="516" max="516" width="7.42578125" style="1768" bestFit="1" customWidth="1"/>
    <col min="517" max="517" width="1.5703125" style="1768" customWidth="1"/>
    <col min="518" max="518" width="12.5703125" style="1768" customWidth="1"/>
    <col min="519" max="519" width="1.5703125" style="1768" customWidth="1"/>
    <col min="520" max="520" width="20.5703125" style="1768" customWidth="1"/>
    <col min="521" max="521" width="2.5703125" style="1768" customWidth="1"/>
    <col min="522" max="522" width="10.5703125" style="1768" customWidth="1"/>
    <col min="523" max="523" width="1.5703125" style="1768" customWidth="1"/>
    <col min="524" max="524" width="10.5703125" style="1768" customWidth="1"/>
    <col min="525" max="525" width="1.5703125" style="1768" customWidth="1"/>
    <col min="526" max="526" width="12.5703125" style="1768" customWidth="1"/>
    <col min="527" max="527" width="1.5703125" style="1768" customWidth="1"/>
    <col min="528" max="528" width="22.5703125" style="1768" customWidth="1"/>
    <col min="529" max="529" width="4.5703125" style="1768" customWidth="1"/>
    <col min="530" max="543" width="0" style="1768" hidden="1" customWidth="1"/>
    <col min="544" max="768" width="9.42578125" style="1768"/>
    <col min="769" max="769" width="0" style="1768" hidden="1" customWidth="1"/>
    <col min="770" max="770" width="11.42578125" style="1768" customWidth="1"/>
    <col min="771" max="771" width="1.5703125" style="1768" customWidth="1"/>
    <col min="772" max="772" width="7.42578125" style="1768" bestFit="1" customWidth="1"/>
    <col min="773" max="773" width="1.5703125" style="1768" customWidth="1"/>
    <col min="774" max="774" width="12.5703125" style="1768" customWidth="1"/>
    <col min="775" max="775" width="1.5703125" style="1768" customWidth="1"/>
    <col min="776" max="776" width="20.5703125" style="1768" customWidth="1"/>
    <col min="777" max="777" width="2.5703125" style="1768" customWidth="1"/>
    <col min="778" max="778" width="10.5703125" style="1768" customWidth="1"/>
    <col min="779" max="779" width="1.5703125" style="1768" customWidth="1"/>
    <col min="780" max="780" width="10.5703125" style="1768" customWidth="1"/>
    <col min="781" max="781" width="1.5703125" style="1768" customWidth="1"/>
    <col min="782" max="782" width="12.5703125" style="1768" customWidth="1"/>
    <col min="783" max="783" width="1.5703125" style="1768" customWidth="1"/>
    <col min="784" max="784" width="22.5703125" style="1768" customWidth="1"/>
    <col min="785" max="785" width="4.5703125" style="1768" customWidth="1"/>
    <col min="786" max="799" width="0" style="1768" hidden="1" customWidth="1"/>
    <col min="800" max="1024" width="9.42578125" style="1768"/>
    <col min="1025" max="1025" width="0" style="1768" hidden="1" customWidth="1"/>
    <col min="1026" max="1026" width="11.42578125" style="1768" customWidth="1"/>
    <col min="1027" max="1027" width="1.5703125" style="1768" customWidth="1"/>
    <col min="1028" max="1028" width="7.42578125" style="1768" bestFit="1" customWidth="1"/>
    <col min="1029" max="1029" width="1.5703125" style="1768" customWidth="1"/>
    <col min="1030" max="1030" width="12.5703125" style="1768" customWidth="1"/>
    <col min="1031" max="1031" width="1.5703125" style="1768" customWidth="1"/>
    <col min="1032" max="1032" width="20.5703125" style="1768" customWidth="1"/>
    <col min="1033" max="1033" width="2.5703125" style="1768" customWidth="1"/>
    <col min="1034" max="1034" width="10.5703125" style="1768" customWidth="1"/>
    <col min="1035" max="1035" width="1.5703125" style="1768" customWidth="1"/>
    <col min="1036" max="1036" width="10.5703125" style="1768" customWidth="1"/>
    <col min="1037" max="1037" width="1.5703125" style="1768" customWidth="1"/>
    <col min="1038" max="1038" width="12.5703125" style="1768" customWidth="1"/>
    <col min="1039" max="1039" width="1.5703125" style="1768" customWidth="1"/>
    <col min="1040" max="1040" width="22.5703125" style="1768" customWidth="1"/>
    <col min="1041" max="1041" width="4.5703125" style="1768" customWidth="1"/>
    <col min="1042" max="1055" width="0" style="1768" hidden="1" customWidth="1"/>
    <col min="1056" max="1280" width="9.42578125" style="1768"/>
    <col min="1281" max="1281" width="0" style="1768" hidden="1" customWidth="1"/>
    <col min="1282" max="1282" width="11.42578125" style="1768" customWidth="1"/>
    <col min="1283" max="1283" width="1.5703125" style="1768" customWidth="1"/>
    <col min="1284" max="1284" width="7.42578125" style="1768" bestFit="1" customWidth="1"/>
    <col min="1285" max="1285" width="1.5703125" style="1768" customWidth="1"/>
    <col min="1286" max="1286" width="12.5703125" style="1768" customWidth="1"/>
    <col min="1287" max="1287" width="1.5703125" style="1768" customWidth="1"/>
    <col min="1288" max="1288" width="20.5703125" style="1768" customWidth="1"/>
    <col min="1289" max="1289" width="2.5703125" style="1768" customWidth="1"/>
    <col min="1290" max="1290" width="10.5703125" style="1768" customWidth="1"/>
    <col min="1291" max="1291" width="1.5703125" style="1768" customWidth="1"/>
    <col min="1292" max="1292" width="10.5703125" style="1768" customWidth="1"/>
    <col min="1293" max="1293" width="1.5703125" style="1768" customWidth="1"/>
    <col min="1294" max="1294" width="12.5703125" style="1768" customWidth="1"/>
    <col min="1295" max="1295" width="1.5703125" style="1768" customWidth="1"/>
    <col min="1296" max="1296" width="22.5703125" style="1768" customWidth="1"/>
    <col min="1297" max="1297" width="4.5703125" style="1768" customWidth="1"/>
    <col min="1298" max="1311" width="0" style="1768" hidden="1" customWidth="1"/>
    <col min="1312" max="1536" width="9.42578125" style="1768"/>
    <col min="1537" max="1537" width="0" style="1768" hidden="1" customWidth="1"/>
    <col min="1538" max="1538" width="11.42578125" style="1768" customWidth="1"/>
    <col min="1539" max="1539" width="1.5703125" style="1768" customWidth="1"/>
    <col min="1540" max="1540" width="7.42578125" style="1768" bestFit="1" customWidth="1"/>
    <col min="1541" max="1541" width="1.5703125" style="1768" customWidth="1"/>
    <col min="1542" max="1542" width="12.5703125" style="1768" customWidth="1"/>
    <col min="1543" max="1543" width="1.5703125" style="1768" customWidth="1"/>
    <col min="1544" max="1544" width="20.5703125" style="1768" customWidth="1"/>
    <col min="1545" max="1545" width="2.5703125" style="1768" customWidth="1"/>
    <col min="1546" max="1546" width="10.5703125" style="1768" customWidth="1"/>
    <col min="1547" max="1547" width="1.5703125" style="1768" customWidth="1"/>
    <col min="1548" max="1548" width="10.5703125" style="1768" customWidth="1"/>
    <col min="1549" max="1549" width="1.5703125" style="1768" customWidth="1"/>
    <col min="1550" max="1550" width="12.5703125" style="1768" customWidth="1"/>
    <col min="1551" max="1551" width="1.5703125" style="1768" customWidth="1"/>
    <col min="1552" max="1552" width="22.5703125" style="1768" customWidth="1"/>
    <col min="1553" max="1553" width="4.5703125" style="1768" customWidth="1"/>
    <col min="1554" max="1567" width="0" style="1768" hidden="1" customWidth="1"/>
    <col min="1568" max="1792" width="9.42578125" style="1768"/>
    <col min="1793" max="1793" width="0" style="1768" hidden="1" customWidth="1"/>
    <col min="1794" max="1794" width="11.42578125" style="1768" customWidth="1"/>
    <col min="1795" max="1795" width="1.5703125" style="1768" customWidth="1"/>
    <col min="1796" max="1796" width="7.42578125" style="1768" bestFit="1" customWidth="1"/>
    <col min="1797" max="1797" width="1.5703125" style="1768" customWidth="1"/>
    <col min="1798" max="1798" width="12.5703125" style="1768" customWidth="1"/>
    <col min="1799" max="1799" width="1.5703125" style="1768" customWidth="1"/>
    <col min="1800" max="1800" width="20.5703125" style="1768" customWidth="1"/>
    <col min="1801" max="1801" width="2.5703125" style="1768" customWidth="1"/>
    <col min="1802" max="1802" width="10.5703125" style="1768" customWidth="1"/>
    <col min="1803" max="1803" width="1.5703125" style="1768" customWidth="1"/>
    <col min="1804" max="1804" width="10.5703125" style="1768" customWidth="1"/>
    <col min="1805" max="1805" width="1.5703125" style="1768" customWidth="1"/>
    <col min="1806" max="1806" width="12.5703125" style="1768" customWidth="1"/>
    <col min="1807" max="1807" width="1.5703125" style="1768" customWidth="1"/>
    <col min="1808" max="1808" width="22.5703125" style="1768" customWidth="1"/>
    <col min="1809" max="1809" width="4.5703125" style="1768" customWidth="1"/>
    <col min="1810" max="1823" width="0" style="1768" hidden="1" customWidth="1"/>
    <col min="1824" max="2048" width="9.42578125" style="1768"/>
    <col min="2049" max="2049" width="0" style="1768" hidden="1" customWidth="1"/>
    <col min="2050" max="2050" width="11.42578125" style="1768" customWidth="1"/>
    <col min="2051" max="2051" width="1.5703125" style="1768" customWidth="1"/>
    <col min="2052" max="2052" width="7.42578125" style="1768" bestFit="1" customWidth="1"/>
    <col min="2053" max="2053" width="1.5703125" style="1768" customWidth="1"/>
    <col min="2054" max="2054" width="12.5703125" style="1768" customWidth="1"/>
    <col min="2055" max="2055" width="1.5703125" style="1768" customWidth="1"/>
    <col min="2056" max="2056" width="20.5703125" style="1768" customWidth="1"/>
    <col min="2057" max="2057" width="2.5703125" style="1768" customWidth="1"/>
    <col min="2058" max="2058" width="10.5703125" style="1768" customWidth="1"/>
    <col min="2059" max="2059" width="1.5703125" style="1768" customWidth="1"/>
    <col min="2060" max="2060" width="10.5703125" style="1768" customWidth="1"/>
    <col min="2061" max="2061" width="1.5703125" style="1768" customWidth="1"/>
    <col min="2062" max="2062" width="12.5703125" style="1768" customWidth="1"/>
    <col min="2063" max="2063" width="1.5703125" style="1768" customWidth="1"/>
    <col min="2064" max="2064" width="22.5703125" style="1768" customWidth="1"/>
    <col min="2065" max="2065" width="4.5703125" style="1768" customWidth="1"/>
    <col min="2066" max="2079" width="0" style="1768" hidden="1" customWidth="1"/>
    <col min="2080" max="2304" width="9.42578125" style="1768"/>
    <col min="2305" max="2305" width="0" style="1768" hidden="1" customWidth="1"/>
    <col min="2306" max="2306" width="11.42578125" style="1768" customWidth="1"/>
    <col min="2307" max="2307" width="1.5703125" style="1768" customWidth="1"/>
    <col min="2308" max="2308" width="7.42578125" style="1768" bestFit="1" customWidth="1"/>
    <col min="2309" max="2309" width="1.5703125" style="1768" customWidth="1"/>
    <col min="2310" max="2310" width="12.5703125" style="1768" customWidth="1"/>
    <col min="2311" max="2311" width="1.5703125" style="1768" customWidth="1"/>
    <col min="2312" max="2312" width="20.5703125" style="1768" customWidth="1"/>
    <col min="2313" max="2313" width="2.5703125" style="1768" customWidth="1"/>
    <col min="2314" max="2314" width="10.5703125" style="1768" customWidth="1"/>
    <col min="2315" max="2315" width="1.5703125" style="1768" customWidth="1"/>
    <col min="2316" max="2316" width="10.5703125" style="1768" customWidth="1"/>
    <col min="2317" max="2317" width="1.5703125" style="1768" customWidth="1"/>
    <col min="2318" max="2318" width="12.5703125" style="1768" customWidth="1"/>
    <col min="2319" max="2319" width="1.5703125" style="1768" customWidth="1"/>
    <col min="2320" max="2320" width="22.5703125" style="1768" customWidth="1"/>
    <col min="2321" max="2321" width="4.5703125" style="1768" customWidth="1"/>
    <col min="2322" max="2335" width="0" style="1768" hidden="1" customWidth="1"/>
    <col min="2336" max="2560" width="9.42578125" style="1768"/>
    <col min="2561" max="2561" width="0" style="1768" hidden="1" customWidth="1"/>
    <col min="2562" max="2562" width="11.42578125" style="1768" customWidth="1"/>
    <col min="2563" max="2563" width="1.5703125" style="1768" customWidth="1"/>
    <col min="2564" max="2564" width="7.42578125" style="1768" bestFit="1" customWidth="1"/>
    <col min="2565" max="2565" width="1.5703125" style="1768" customWidth="1"/>
    <col min="2566" max="2566" width="12.5703125" style="1768" customWidth="1"/>
    <col min="2567" max="2567" width="1.5703125" style="1768" customWidth="1"/>
    <col min="2568" max="2568" width="20.5703125" style="1768" customWidth="1"/>
    <col min="2569" max="2569" width="2.5703125" style="1768" customWidth="1"/>
    <col min="2570" max="2570" width="10.5703125" style="1768" customWidth="1"/>
    <col min="2571" max="2571" width="1.5703125" style="1768" customWidth="1"/>
    <col min="2572" max="2572" width="10.5703125" style="1768" customWidth="1"/>
    <col min="2573" max="2573" width="1.5703125" style="1768" customWidth="1"/>
    <col min="2574" max="2574" width="12.5703125" style="1768" customWidth="1"/>
    <col min="2575" max="2575" width="1.5703125" style="1768" customWidth="1"/>
    <col min="2576" max="2576" width="22.5703125" style="1768" customWidth="1"/>
    <col min="2577" max="2577" width="4.5703125" style="1768" customWidth="1"/>
    <col min="2578" max="2591" width="0" style="1768" hidden="1" customWidth="1"/>
    <col min="2592" max="2816" width="9.42578125" style="1768"/>
    <col min="2817" max="2817" width="0" style="1768" hidden="1" customWidth="1"/>
    <col min="2818" max="2818" width="11.42578125" style="1768" customWidth="1"/>
    <col min="2819" max="2819" width="1.5703125" style="1768" customWidth="1"/>
    <col min="2820" max="2820" width="7.42578125" style="1768" bestFit="1" customWidth="1"/>
    <col min="2821" max="2821" width="1.5703125" style="1768" customWidth="1"/>
    <col min="2822" max="2822" width="12.5703125" style="1768" customWidth="1"/>
    <col min="2823" max="2823" width="1.5703125" style="1768" customWidth="1"/>
    <col min="2824" max="2824" width="20.5703125" style="1768" customWidth="1"/>
    <col min="2825" max="2825" width="2.5703125" style="1768" customWidth="1"/>
    <col min="2826" max="2826" width="10.5703125" style="1768" customWidth="1"/>
    <col min="2827" max="2827" width="1.5703125" style="1768" customWidth="1"/>
    <col min="2828" max="2828" width="10.5703125" style="1768" customWidth="1"/>
    <col min="2829" max="2829" width="1.5703125" style="1768" customWidth="1"/>
    <col min="2830" max="2830" width="12.5703125" style="1768" customWidth="1"/>
    <col min="2831" max="2831" width="1.5703125" style="1768" customWidth="1"/>
    <col min="2832" max="2832" width="22.5703125" style="1768" customWidth="1"/>
    <col min="2833" max="2833" width="4.5703125" style="1768" customWidth="1"/>
    <col min="2834" max="2847" width="0" style="1768" hidden="1" customWidth="1"/>
    <col min="2848" max="3072" width="9.42578125" style="1768"/>
    <col min="3073" max="3073" width="0" style="1768" hidden="1" customWidth="1"/>
    <col min="3074" max="3074" width="11.42578125" style="1768" customWidth="1"/>
    <col min="3075" max="3075" width="1.5703125" style="1768" customWidth="1"/>
    <col min="3076" max="3076" width="7.42578125" style="1768" bestFit="1" customWidth="1"/>
    <col min="3077" max="3077" width="1.5703125" style="1768" customWidth="1"/>
    <col min="3078" max="3078" width="12.5703125" style="1768" customWidth="1"/>
    <col min="3079" max="3079" width="1.5703125" style="1768" customWidth="1"/>
    <col min="3080" max="3080" width="20.5703125" style="1768" customWidth="1"/>
    <col min="3081" max="3081" width="2.5703125" style="1768" customWidth="1"/>
    <col min="3082" max="3082" width="10.5703125" style="1768" customWidth="1"/>
    <col min="3083" max="3083" width="1.5703125" style="1768" customWidth="1"/>
    <col min="3084" max="3084" width="10.5703125" style="1768" customWidth="1"/>
    <col min="3085" max="3085" width="1.5703125" style="1768" customWidth="1"/>
    <col min="3086" max="3086" width="12.5703125" style="1768" customWidth="1"/>
    <col min="3087" max="3087" width="1.5703125" style="1768" customWidth="1"/>
    <col min="3088" max="3088" width="22.5703125" style="1768" customWidth="1"/>
    <col min="3089" max="3089" width="4.5703125" style="1768" customWidth="1"/>
    <col min="3090" max="3103" width="0" style="1768" hidden="1" customWidth="1"/>
    <col min="3104" max="3328" width="9.42578125" style="1768"/>
    <col min="3329" max="3329" width="0" style="1768" hidden="1" customWidth="1"/>
    <col min="3330" max="3330" width="11.42578125" style="1768" customWidth="1"/>
    <col min="3331" max="3331" width="1.5703125" style="1768" customWidth="1"/>
    <col min="3332" max="3332" width="7.42578125" style="1768" bestFit="1" customWidth="1"/>
    <col min="3333" max="3333" width="1.5703125" style="1768" customWidth="1"/>
    <col min="3334" max="3334" width="12.5703125" style="1768" customWidth="1"/>
    <col min="3335" max="3335" width="1.5703125" style="1768" customWidth="1"/>
    <col min="3336" max="3336" width="20.5703125" style="1768" customWidth="1"/>
    <col min="3337" max="3337" width="2.5703125" style="1768" customWidth="1"/>
    <col min="3338" max="3338" width="10.5703125" style="1768" customWidth="1"/>
    <col min="3339" max="3339" width="1.5703125" style="1768" customWidth="1"/>
    <col min="3340" max="3340" width="10.5703125" style="1768" customWidth="1"/>
    <col min="3341" max="3341" width="1.5703125" style="1768" customWidth="1"/>
    <col min="3342" max="3342" width="12.5703125" style="1768" customWidth="1"/>
    <col min="3343" max="3343" width="1.5703125" style="1768" customWidth="1"/>
    <col min="3344" max="3344" width="22.5703125" style="1768" customWidth="1"/>
    <col min="3345" max="3345" width="4.5703125" style="1768" customWidth="1"/>
    <col min="3346" max="3359" width="0" style="1768" hidden="1" customWidth="1"/>
    <col min="3360" max="3584" width="9.42578125" style="1768"/>
    <col min="3585" max="3585" width="0" style="1768" hidden="1" customWidth="1"/>
    <col min="3586" max="3586" width="11.42578125" style="1768" customWidth="1"/>
    <col min="3587" max="3587" width="1.5703125" style="1768" customWidth="1"/>
    <col min="3588" max="3588" width="7.42578125" style="1768" bestFit="1" customWidth="1"/>
    <col min="3589" max="3589" width="1.5703125" style="1768" customWidth="1"/>
    <col min="3590" max="3590" width="12.5703125" style="1768" customWidth="1"/>
    <col min="3591" max="3591" width="1.5703125" style="1768" customWidth="1"/>
    <col min="3592" max="3592" width="20.5703125" style="1768" customWidth="1"/>
    <col min="3593" max="3593" width="2.5703125" style="1768" customWidth="1"/>
    <col min="3594" max="3594" width="10.5703125" style="1768" customWidth="1"/>
    <col min="3595" max="3595" width="1.5703125" style="1768" customWidth="1"/>
    <col min="3596" max="3596" width="10.5703125" style="1768" customWidth="1"/>
    <col min="3597" max="3597" width="1.5703125" style="1768" customWidth="1"/>
    <col min="3598" max="3598" width="12.5703125" style="1768" customWidth="1"/>
    <col min="3599" max="3599" width="1.5703125" style="1768" customWidth="1"/>
    <col min="3600" max="3600" width="22.5703125" style="1768" customWidth="1"/>
    <col min="3601" max="3601" width="4.5703125" style="1768" customWidth="1"/>
    <col min="3602" max="3615" width="0" style="1768" hidden="1" customWidth="1"/>
    <col min="3616" max="3840" width="9.42578125" style="1768"/>
    <col min="3841" max="3841" width="0" style="1768" hidden="1" customWidth="1"/>
    <col min="3842" max="3842" width="11.42578125" style="1768" customWidth="1"/>
    <col min="3843" max="3843" width="1.5703125" style="1768" customWidth="1"/>
    <col min="3844" max="3844" width="7.42578125" style="1768" bestFit="1" customWidth="1"/>
    <col min="3845" max="3845" width="1.5703125" style="1768" customWidth="1"/>
    <col min="3846" max="3846" width="12.5703125" style="1768" customWidth="1"/>
    <col min="3847" max="3847" width="1.5703125" style="1768" customWidth="1"/>
    <col min="3848" max="3848" width="20.5703125" style="1768" customWidth="1"/>
    <col min="3849" max="3849" width="2.5703125" style="1768" customWidth="1"/>
    <col min="3850" max="3850" width="10.5703125" style="1768" customWidth="1"/>
    <col min="3851" max="3851" width="1.5703125" style="1768" customWidth="1"/>
    <col min="3852" max="3852" width="10.5703125" style="1768" customWidth="1"/>
    <col min="3853" max="3853" width="1.5703125" style="1768" customWidth="1"/>
    <col min="3854" max="3854" width="12.5703125" style="1768" customWidth="1"/>
    <col min="3855" max="3855" width="1.5703125" style="1768" customWidth="1"/>
    <col min="3856" max="3856" width="22.5703125" style="1768" customWidth="1"/>
    <col min="3857" max="3857" width="4.5703125" style="1768" customWidth="1"/>
    <col min="3858" max="3871" width="0" style="1768" hidden="1" customWidth="1"/>
    <col min="3872" max="4096" width="9.42578125" style="1768"/>
    <col min="4097" max="4097" width="0" style="1768" hidden="1" customWidth="1"/>
    <col min="4098" max="4098" width="11.42578125" style="1768" customWidth="1"/>
    <col min="4099" max="4099" width="1.5703125" style="1768" customWidth="1"/>
    <col min="4100" max="4100" width="7.42578125" style="1768" bestFit="1" customWidth="1"/>
    <col min="4101" max="4101" width="1.5703125" style="1768" customWidth="1"/>
    <col min="4102" max="4102" width="12.5703125" style="1768" customWidth="1"/>
    <col min="4103" max="4103" width="1.5703125" style="1768" customWidth="1"/>
    <col min="4104" max="4104" width="20.5703125" style="1768" customWidth="1"/>
    <col min="4105" max="4105" width="2.5703125" style="1768" customWidth="1"/>
    <col min="4106" max="4106" width="10.5703125" style="1768" customWidth="1"/>
    <col min="4107" max="4107" width="1.5703125" style="1768" customWidth="1"/>
    <col min="4108" max="4108" width="10.5703125" style="1768" customWidth="1"/>
    <col min="4109" max="4109" width="1.5703125" style="1768" customWidth="1"/>
    <col min="4110" max="4110" width="12.5703125" style="1768" customWidth="1"/>
    <col min="4111" max="4111" width="1.5703125" style="1768" customWidth="1"/>
    <col min="4112" max="4112" width="22.5703125" style="1768" customWidth="1"/>
    <col min="4113" max="4113" width="4.5703125" style="1768" customWidth="1"/>
    <col min="4114" max="4127" width="0" style="1768" hidden="1" customWidth="1"/>
    <col min="4128" max="4352" width="9.42578125" style="1768"/>
    <col min="4353" max="4353" width="0" style="1768" hidden="1" customWidth="1"/>
    <col min="4354" max="4354" width="11.42578125" style="1768" customWidth="1"/>
    <col min="4355" max="4355" width="1.5703125" style="1768" customWidth="1"/>
    <col min="4356" max="4356" width="7.42578125" style="1768" bestFit="1" customWidth="1"/>
    <col min="4357" max="4357" width="1.5703125" style="1768" customWidth="1"/>
    <col min="4358" max="4358" width="12.5703125" style="1768" customWidth="1"/>
    <col min="4359" max="4359" width="1.5703125" style="1768" customWidth="1"/>
    <col min="4360" max="4360" width="20.5703125" style="1768" customWidth="1"/>
    <col min="4361" max="4361" width="2.5703125" style="1768" customWidth="1"/>
    <col min="4362" max="4362" width="10.5703125" style="1768" customWidth="1"/>
    <col min="4363" max="4363" width="1.5703125" style="1768" customWidth="1"/>
    <col min="4364" max="4364" width="10.5703125" style="1768" customWidth="1"/>
    <col min="4365" max="4365" width="1.5703125" style="1768" customWidth="1"/>
    <col min="4366" max="4366" width="12.5703125" style="1768" customWidth="1"/>
    <col min="4367" max="4367" width="1.5703125" style="1768" customWidth="1"/>
    <col min="4368" max="4368" width="22.5703125" style="1768" customWidth="1"/>
    <col min="4369" max="4369" width="4.5703125" style="1768" customWidth="1"/>
    <col min="4370" max="4383" width="0" style="1768" hidden="1" customWidth="1"/>
    <col min="4384" max="4608" width="9.42578125" style="1768"/>
    <col min="4609" max="4609" width="0" style="1768" hidden="1" customWidth="1"/>
    <col min="4610" max="4610" width="11.42578125" style="1768" customWidth="1"/>
    <col min="4611" max="4611" width="1.5703125" style="1768" customWidth="1"/>
    <col min="4612" max="4612" width="7.42578125" style="1768" bestFit="1" customWidth="1"/>
    <col min="4613" max="4613" width="1.5703125" style="1768" customWidth="1"/>
    <col min="4614" max="4614" width="12.5703125" style="1768" customWidth="1"/>
    <col min="4615" max="4615" width="1.5703125" style="1768" customWidth="1"/>
    <col min="4616" max="4616" width="20.5703125" style="1768" customWidth="1"/>
    <col min="4617" max="4617" width="2.5703125" style="1768" customWidth="1"/>
    <col min="4618" max="4618" width="10.5703125" style="1768" customWidth="1"/>
    <col min="4619" max="4619" width="1.5703125" style="1768" customWidth="1"/>
    <col min="4620" max="4620" width="10.5703125" style="1768" customWidth="1"/>
    <col min="4621" max="4621" width="1.5703125" style="1768" customWidth="1"/>
    <col min="4622" max="4622" width="12.5703125" style="1768" customWidth="1"/>
    <col min="4623" max="4623" width="1.5703125" style="1768" customWidth="1"/>
    <col min="4624" max="4624" width="22.5703125" style="1768" customWidth="1"/>
    <col min="4625" max="4625" width="4.5703125" style="1768" customWidth="1"/>
    <col min="4626" max="4639" width="0" style="1768" hidden="1" customWidth="1"/>
    <col min="4640" max="4864" width="9.42578125" style="1768"/>
    <col min="4865" max="4865" width="0" style="1768" hidden="1" customWidth="1"/>
    <col min="4866" max="4866" width="11.42578125" style="1768" customWidth="1"/>
    <col min="4867" max="4867" width="1.5703125" style="1768" customWidth="1"/>
    <col min="4868" max="4868" width="7.42578125" style="1768" bestFit="1" customWidth="1"/>
    <col min="4869" max="4869" width="1.5703125" style="1768" customWidth="1"/>
    <col min="4870" max="4870" width="12.5703125" style="1768" customWidth="1"/>
    <col min="4871" max="4871" width="1.5703125" style="1768" customWidth="1"/>
    <col min="4872" max="4872" width="20.5703125" style="1768" customWidth="1"/>
    <col min="4873" max="4873" width="2.5703125" style="1768" customWidth="1"/>
    <col min="4874" max="4874" width="10.5703125" style="1768" customWidth="1"/>
    <col min="4875" max="4875" width="1.5703125" style="1768" customWidth="1"/>
    <col min="4876" max="4876" width="10.5703125" style="1768" customWidth="1"/>
    <col min="4877" max="4877" width="1.5703125" style="1768" customWidth="1"/>
    <col min="4878" max="4878" width="12.5703125" style="1768" customWidth="1"/>
    <col min="4879" max="4879" width="1.5703125" style="1768" customWidth="1"/>
    <col min="4880" max="4880" width="22.5703125" style="1768" customWidth="1"/>
    <col min="4881" max="4881" width="4.5703125" style="1768" customWidth="1"/>
    <col min="4882" max="4895" width="0" style="1768" hidden="1" customWidth="1"/>
    <col min="4896" max="5120" width="9.42578125" style="1768"/>
    <col min="5121" max="5121" width="0" style="1768" hidden="1" customWidth="1"/>
    <col min="5122" max="5122" width="11.42578125" style="1768" customWidth="1"/>
    <col min="5123" max="5123" width="1.5703125" style="1768" customWidth="1"/>
    <col min="5124" max="5124" width="7.42578125" style="1768" bestFit="1" customWidth="1"/>
    <col min="5125" max="5125" width="1.5703125" style="1768" customWidth="1"/>
    <col min="5126" max="5126" width="12.5703125" style="1768" customWidth="1"/>
    <col min="5127" max="5127" width="1.5703125" style="1768" customWidth="1"/>
    <col min="5128" max="5128" width="20.5703125" style="1768" customWidth="1"/>
    <col min="5129" max="5129" width="2.5703125" style="1768" customWidth="1"/>
    <col min="5130" max="5130" width="10.5703125" style="1768" customWidth="1"/>
    <col min="5131" max="5131" width="1.5703125" style="1768" customWidth="1"/>
    <col min="5132" max="5132" width="10.5703125" style="1768" customWidth="1"/>
    <col min="5133" max="5133" width="1.5703125" style="1768" customWidth="1"/>
    <col min="5134" max="5134" width="12.5703125" style="1768" customWidth="1"/>
    <col min="5135" max="5135" width="1.5703125" style="1768" customWidth="1"/>
    <col min="5136" max="5136" width="22.5703125" style="1768" customWidth="1"/>
    <col min="5137" max="5137" width="4.5703125" style="1768" customWidth="1"/>
    <col min="5138" max="5151" width="0" style="1768" hidden="1" customWidth="1"/>
    <col min="5152" max="5376" width="9.42578125" style="1768"/>
    <col min="5377" max="5377" width="0" style="1768" hidden="1" customWidth="1"/>
    <col min="5378" max="5378" width="11.42578125" style="1768" customWidth="1"/>
    <col min="5379" max="5379" width="1.5703125" style="1768" customWidth="1"/>
    <col min="5380" max="5380" width="7.42578125" style="1768" bestFit="1" customWidth="1"/>
    <col min="5381" max="5381" width="1.5703125" style="1768" customWidth="1"/>
    <col min="5382" max="5382" width="12.5703125" style="1768" customWidth="1"/>
    <col min="5383" max="5383" width="1.5703125" style="1768" customWidth="1"/>
    <col min="5384" max="5384" width="20.5703125" style="1768" customWidth="1"/>
    <col min="5385" max="5385" width="2.5703125" style="1768" customWidth="1"/>
    <col min="5386" max="5386" width="10.5703125" style="1768" customWidth="1"/>
    <col min="5387" max="5387" width="1.5703125" style="1768" customWidth="1"/>
    <col min="5388" max="5388" width="10.5703125" style="1768" customWidth="1"/>
    <col min="5389" max="5389" width="1.5703125" style="1768" customWidth="1"/>
    <col min="5390" max="5390" width="12.5703125" style="1768" customWidth="1"/>
    <col min="5391" max="5391" width="1.5703125" style="1768" customWidth="1"/>
    <col min="5392" max="5392" width="22.5703125" style="1768" customWidth="1"/>
    <col min="5393" max="5393" width="4.5703125" style="1768" customWidth="1"/>
    <col min="5394" max="5407" width="0" style="1768" hidden="1" customWidth="1"/>
    <col min="5408" max="5632" width="9.42578125" style="1768"/>
    <col min="5633" max="5633" width="0" style="1768" hidden="1" customWidth="1"/>
    <col min="5634" max="5634" width="11.42578125" style="1768" customWidth="1"/>
    <col min="5635" max="5635" width="1.5703125" style="1768" customWidth="1"/>
    <col min="5636" max="5636" width="7.42578125" style="1768" bestFit="1" customWidth="1"/>
    <col min="5637" max="5637" width="1.5703125" style="1768" customWidth="1"/>
    <col min="5638" max="5638" width="12.5703125" style="1768" customWidth="1"/>
    <col min="5639" max="5639" width="1.5703125" style="1768" customWidth="1"/>
    <col min="5640" max="5640" width="20.5703125" style="1768" customWidth="1"/>
    <col min="5641" max="5641" width="2.5703125" style="1768" customWidth="1"/>
    <col min="5642" max="5642" width="10.5703125" style="1768" customWidth="1"/>
    <col min="5643" max="5643" width="1.5703125" style="1768" customWidth="1"/>
    <col min="5644" max="5644" width="10.5703125" style="1768" customWidth="1"/>
    <col min="5645" max="5645" width="1.5703125" style="1768" customWidth="1"/>
    <col min="5646" max="5646" width="12.5703125" style="1768" customWidth="1"/>
    <col min="5647" max="5647" width="1.5703125" style="1768" customWidth="1"/>
    <col min="5648" max="5648" width="22.5703125" style="1768" customWidth="1"/>
    <col min="5649" max="5649" width="4.5703125" style="1768" customWidth="1"/>
    <col min="5650" max="5663" width="0" style="1768" hidden="1" customWidth="1"/>
    <col min="5664" max="5888" width="9.42578125" style="1768"/>
    <col min="5889" max="5889" width="0" style="1768" hidden="1" customWidth="1"/>
    <col min="5890" max="5890" width="11.42578125" style="1768" customWidth="1"/>
    <col min="5891" max="5891" width="1.5703125" style="1768" customWidth="1"/>
    <col min="5892" max="5892" width="7.42578125" style="1768" bestFit="1" customWidth="1"/>
    <col min="5893" max="5893" width="1.5703125" style="1768" customWidth="1"/>
    <col min="5894" max="5894" width="12.5703125" style="1768" customWidth="1"/>
    <col min="5895" max="5895" width="1.5703125" style="1768" customWidth="1"/>
    <col min="5896" max="5896" width="20.5703125" style="1768" customWidth="1"/>
    <col min="5897" max="5897" width="2.5703125" style="1768" customWidth="1"/>
    <col min="5898" max="5898" width="10.5703125" style="1768" customWidth="1"/>
    <col min="5899" max="5899" width="1.5703125" style="1768" customWidth="1"/>
    <col min="5900" max="5900" width="10.5703125" style="1768" customWidth="1"/>
    <col min="5901" max="5901" width="1.5703125" style="1768" customWidth="1"/>
    <col min="5902" max="5902" width="12.5703125" style="1768" customWidth="1"/>
    <col min="5903" max="5903" width="1.5703125" style="1768" customWidth="1"/>
    <col min="5904" max="5904" width="22.5703125" style="1768" customWidth="1"/>
    <col min="5905" max="5905" width="4.5703125" style="1768" customWidth="1"/>
    <col min="5906" max="5919" width="0" style="1768" hidden="1" customWidth="1"/>
    <col min="5920" max="6144" width="9.42578125" style="1768"/>
    <col min="6145" max="6145" width="0" style="1768" hidden="1" customWidth="1"/>
    <col min="6146" max="6146" width="11.42578125" style="1768" customWidth="1"/>
    <col min="6147" max="6147" width="1.5703125" style="1768" customWidth="1"/>
    <col min="6148" max="6148" width="7.42578125" style="1768" bestFit="1" customWidth="1"/>
    <col min="6149" max="6149" width="1.5703125" style="1768" customWidth="1"/>
    <col min="6150" max="6150" width="12.5703125" style="1768" customWidth="1"/>
    <col min="6151" max="6151" width="1.5703125" style="1768" customWidth="1"/>
    <col min="6152" max="6152" width="20.5703125" style="1768" customWidth="1"/>
    <col min="6153" max="6153" width="2.5703125" style="1768" customWidth="1"/>
    <col min="6154" max="6154" width="10.5703125" style="1768" customWidth="1"/>
    <col min="6155" max="6155" width="1.5703125" style="1768" customWidth="1"/>
    <col min="6156" max="6156" width="10.5703125" style="1768" customWidth="1"/>
    <col min="6157" max="6157" width="1.5703125" style="1768" customWidth="1"/>
    <col min="6158" max="6158" width="12.5703125" style="1768" customWidth="1"/>
    <col min="6159" max="6159" width="1.5703125" style="1768" customWidth="1"/>
    <col min="6160" max="6160" width="22.5703125" style="1768" customWidth="1"/>
    <col min="6161" max="6161" width="4.5703125" style="1768" customWidth="1"/>
    <col min="6162" max="6175" width="0" style="1768" hidden="1" customWidth="1"/>
    <col min="6176" max="6400" width="9.42578125" style="1768"/>
    <col min="6401" max="6401" width="0" style="1768" hidden="1" customWidth="1"/>
    <col min="6402" max="6402" width="11.42578125" style="1768" customWidth="1"/>
    <col min="6403" max="6403" width="1.5703125" style="1768" customWidth="1"/>
    <col min="6404" max="6404" width="7.42578125" style="1768" bestFit="1" customWidth="1"/>
    <col min="6405" max="6405" width="1.5703125" style="1768" customWidth="1"/>
    <col min="6406" max="6406" width="12.5703125" style="1768" customWidth="1"/>
    <col min="6407" max="6407" width="1.5703125" style="1768" customWidth="1"/>
    <col min="6408" max="6408" width="20.5703125" style="1768" customWidth="1"/>
    <col min="6409" max="6409" width="2.5703125" style="1768" customWidth="1"/>
    <col min="6410" max="6410" width="10.5703125" style="1768" customWidth="1"/>
    <col min="6411" max="6411" width="1.5703125" style="1768" customWidth="1"/>
    <col min="6412" max="6412" width="10.5703125" style="1768" customWidth="1"/>
    <col min="6413" max="6413" width="1.5703125" style="1768" customWidth="1"/>
    <col min="6414" max="6414" width="12.5703125" style="1768" customWidth="1"/>
    <col min="6415" max="6415" width="1.5703125" style="1768" customWidth="1"/>
    <col min="6416" max="6416" width="22.5703125" style="1768" customWidth="1"/>
    <col min="6417" max="6417" width="4.5703125" style="1768" customWidth="1"/>
    <col min="6418" max="6431" width="0" style="1768" hidden="1" customWidth="1"/>
    <col min="6432" max="6656" width="9.42578125" style="1768"/>
    <col min="6657" max="6657" width="0" style="1768" hidden="1" customWidth="1"/>
    <col min="6658" max="6658" width="11.42578125" style="1768" customWidth="1"/>
    <col min="6659" max="6659" width="1.5703125" style="1768" customWidth="1"/>
    <col min="6660" max="6660" width="7.42578125" style="1768" bestFit="1" customWidth="1"/>
    <col min="6661" max="6661" width="1.5703125" style="1768" customWidth="1"/>
    <col min="6662" max="6662" width="12.5703125" style="1768" customWidth="1"/>
    <col min="6663" max="6663" width="1.5703125" style="1768" customWidth="1"/>
    <col min="6664" max="6664" width="20.5703125" style="1768" customWidth="1"/>
    <col min="6665" max="6665" width="2.5703125" style="1768" customWidth="1"/>
    <col min="6666" max="6666" width="10.5703125" style="1768" customWidth="1"/>
    <col min="6667" max="6667" width="1.5703125" style="1768" customWidth="1"/>
    <col min="6668" max="6668" width="10.5703125" style="1768" customWidth="1"/>
    <col min="6669" max="6669" width="1.5703125" style="1768" customWidth="1"/>
    <col min="6670" max="6670" width="12.5703125" style="1768" customWidth="1"/>
    <col min="6671" max="6671" width="1.5703125" style="1768" customWidth="1"/>
    <col min="6672" max="6672" width="22.5703125" style="1768" customWidth="1"/>
    <col min="6673" max="6673" width="4.5703125" style="1768" customWidth="1"/>
    <col min="6674" max="6687" width="0" style="1768" hidden="1" customWidth="1"/>
    <col min="6688" max="6912" width="9.42578125" style="1768"/>
    <col min="6913" max="6913" width="0" style="1768" hidden="1" customWidth="1"/>
    <col min="6914" max="6914" width="11.42578125" style="1768" customWidth="1"/>
    <col min="6915" max="6915" width="1.5703125" style="1768" customWidth="1"/>
    <col min="6916" max="6916" width="7.42578125" style="1768" bestFit="1" customWidth="1"/>
    <col min="6917" max="6917" width="1.5703125" style="1768" customWidth="1"/>
    <col min="6918" max="6918" width="12.5703125" style="1768" customWidth="1"/>
    <col min="6919" max="6919" width="1.5703125" style="1768" customWidth="1"/>
    <col min="6920" max="6920" width="20.5703125" style="1768" customWidth="1"/>
    <col min="6921" max="6921" width="2.5703125" style="1768" customWidth="1"/>
    <col min="6922" max="6922" width="10.5703125" style="1768" customWidth="1"/>
    <col min="6923" max="6923" width="1.5703125" style="1768" customWidth="1"/>
    <col min="6924" max="6924" width="10.5703125" style="1768" customWidth="1"/>
    <col min="6925" max="6925" width="1.5703125" style="1768" customWidth="1"/>
    <col min="6926" max="6926" width="12.5703125" style="1768" customWidth="1"/>
    <col min="6927" max="6927" width="1.5703125" style="1768" customWidth="1"/>
    <col min="6928" max="6928" width="22.5703125" style="1768" customWidth="1"/>
    <col min="6929" max="6929" width="4.5703125" style="1768" customWidth="1"/>
    <col min="6930" max="6943" width="0" style="1768" hidden="1" customWidth="1"/>
    <col min="6944" max="7168" width="9.42578125" style="1768"/>
    <col min="7169" max="7169" width="0" style="1768" hidden="1" customWidth="1"/>
    <col min="7170" max="7170" width="11.42578125" style="1768" customWidth="1"/>
    <col min="7171" max="7171" width="1.5703125" style="1768" customWidth="1"/>
    <col min="7172" max="7172" width="7.42578125" style="1768" bestFit="1" customWidth="1"/>
    <col min="7173" max="7173" width="1.5703125" style="1768" customWidth="1"/>
    <col min="7174" max="7174" width="12.5703125" style="1768" customWidth="1"/>
    <col min="7175" max="7175" width="1.5703125" style="1768" customWidth="1"/>
    <col min="7176" max="7176" width="20.5703125" style="1768" customWidth="1"/>
    <col min="7177" max="7177" width="2.5703125" style="1768" customWidth="1"/>
    <col min="7178" max="7178" width="10.5703125" style="1768" customWidth="1"/>
    <col min="7179" max="7179" width="1.5703125" style="1768" customWidth="1"/>
    <col min="7180" max="7180" width="10.5703125" style="1768" customWidth="1"/>
    <col min="7181" max="7181" width="1.5703125" style="1768" customWidth="1"/>
    <col min="7182" max="7182" width="12.5703125" style="1768" customWidth="1"/>
    <col min="7183" max="7183" width="1.5703125" style="1768" customWidth="1"/>
    <col min="7184" max="7184" width="22.5703125" style="1768" customWidth="1"/>
    <col min="7185" max="7185" width="4.5703125" style="1768" customWidth="1"/>
    <col min="7186" max="7199" width="0" style="1768" hidden="1" customWidth="1"/>
    <col min="7200" max="7424" width="9.42578125" style="1768"/>
    <col min="7425" max="7425" width="0" style="1768" hidden="1" customWidth="1"/>
    <col min="7426" max="7426" width="11.42578125" style="1768" customWidth="1"/>
    <col min="7427" max="7427" width="1.5703125" style="1768" customWidth="1"/>
    <col min="7428" max="7428" width="7.42578125" style="1768" bestFit="1" customWidth="1"/>
    <col min="7429" max="7429" width="1.5703125" style="1768" customWidth="1"/>
    <col min="7430" max="7430" width="12.5703125" style="1768" customWidth="1"/>
    <col min="7431" max="7431" width="1.5703125" style="1768" customWidth="1"/>
    <col min="7432" max="7432" width="20.5703125" style="1768" customWidth="1"/>
    <col min="7433" max="7433" width="2.5703125" style="1768" customWidth="1"/>
    <col min="7434" max="7434" width="10.5703125" style="1768" customWidth="1"/>
    <col min="7435" max="7435" width="1.5703125" style="1768" customWidth="1"/>
    <col min="7436" max="7436" width="10.5703125" style="1768" customWidth="1"/>
    <col min="7437" max="7437" width="1.5703125" style="1768" customWidth="1"/>
    <col min="7438" max="7438" width="12.5703125" style="1768" customWidth="1"/>
    <col min="7439" max="7439" width="1.5703125" style="1768" customWidth="1"/>
    <col min="7440" max="7440" width="22.5703125" style="1768" customWidth="1"/>
    <col min="7441" max="7441" width="4.5703125" style="1768" customWidth="1"/>
    <col min="7442" max="7455" width="0" style="1768" hidden="1" customWidth="1"/>
    <col min="7456" max="7680" width="9.42578125" style="1768"/>
    <col min="7681" max="7681" width="0" style="1768" hidden="1" customWidth="1"/>
    <col min="7682" max="7682" width="11.42578125" style="1768" customWidth="1"/>
    <col min="7683" max="7683" width="1.5703125" style="1768" customWidth="1"/>
    <col min="7684" max="7684" width="7.42578125" style="1768" bestFit="1" customWidth="1"/>
    <col min="7685" max="7685" width="1.5703125" style="1768" customWidth="1"/>
    <col min="7686" max="7686" width="12.5703125" style="1768" customWidth="1"/>
    <col min="7687" max="7687" width="1.5703125" style="1768" customWidth="1"/>
    <col min="7688" max="7688" width="20.5703125" style="1768" customWidth="1"/>
    <col min="7689" max="7689" width="2.5703125" style="1768" customWidth="1"/>
    <col min="7690" max="7690" width="10.5703125" style="1768" customWidth="1"/>
    <col min="7691" max="7691" width="1.5703125" style="1768" customWidth="1"/>
    <col min="7692" max="7692" width="10.5703125" style="1768" customWidth="1"/>
    <col min="7693" max="7693" width="1.5703125" style="1768" customWidth="1"/>
    <col min="7694" max="7694" width="12.5703125" style="1768" customWidth="1"/>
    <col min="7695" max="7695" width="1.5703125" style="1768" customWidth="1"/>
    <col min="7696" max="7696" width="22.5703125" style="1768" customWidth="1"/>
    <col min="7697" max="7697" width="4.5703125" style="1768" customWidth="1"/>
    <col min="7698" max="7711" width="0" style="1768" hidden="1" customWidth="1"/>
    <col min="7712" max="7936" width="9.42578125" style="1768"/>
    <col min="7937" max="7937" width="0" style="1768" hidden="1" customWidth="1"/>
    <col min="7938" max="7938" width="11.42578125" style="1768" customWidth="1"/>
    <col min="7939" max="7939" width="1.5703125" style="1768" customWidth="1"/>
    <col min="7940" max="7940" width="7.42578125" style="1768" bestFit="1" customWidth="1"/>
    <col min="7941" max="7941" width="1.5703125" style="1768" customWidth="1"/>
    <col min="7942" max="7942" width="12.5703125" style="1768" customWidth="1"/>
    <col min="7943" max="7943" width="1.5703125" style="1768" customWidth="1"/>
    <col min="7944" max="7944" width="20.5703125" style="1768" customWidth="1"/>
    <col min="7945" max="7945" width="2.5703125" style="1768" customWidth="1"/>
    <col min="7946" max="7946" width="10.5703125" style="1768" customWidth="1"/>
    <col min="7947" max="7947" width="1.5703125" style="1768" customWidth="1"/>
    <col min="7948" max="7948" width="10.5703125" style="1768" customWidth="1"/>
    <col min="7949" max="7949" width="1.5703125" style="1768" customWidth="1"/>
    <col min="7950" max="7950" width="12.5703125" style="1768" customWidth="1"/>
    <col min="7951" max="7951" width="1.5703125" style="1768" customWidth="1"/>
    <col min="7952" max="7952" width="22.5703125" style="1768" customWidth="1"/>
    <col min="7953" max="7953" width="4.5703125" style="1768" customWidth="1"/>
    <col min="7954" max="7967" width="0" style="1768" hidden="1" customWidth="1"/>
    <col min="7968" max="8192" width="9.42578125" style="1768"/>
    <col min="8193" max="8193" width="0" style="1768" hidden="1" customWidth="1"/>
    <col min="8194" max="8194" width="11.42578125" style="1768" customWidth="1"/>
    <col min="8195" max="8195" width="1.5703125" style="1768" customWidth="1"/>
    <col min="8196" max="8196" width="7.42578125" style="1768" bestFit="1" customWidth="1"/>
    <col min="8197" max="8197" width="1.5703125" style="1768" customWidth="1"/>
    <col min="8198" max="8198" width="12.5703125" style="1768" customWidth="1"/>
    <col min="8199" max="8199" width="1.5703125" style="1768" customWidth="1"/>
    <col min="8200" max="8200" width="20.5703125" style="1768" customWidth="1"/>
    <col min="8201" max="8201" width="2.5703125" style="1768" customWidth="1"/>
    <col min="8202" max="8202" width="10.5703125" style="1768" customWidth="1"/>
    <col min="8203" max="8203" width="1.5703125" style="1768" customWidth="1"/>
    <col min="8204" max="8204" width="10.5703125" style="1768" customWidth="1"/>
    <col min="8205" max="8205" width="1.5703125" style="1768" customWidth="1"/>
    <col min="8206" max="8206" width="12.5703125" style="1768" customWidth="1"/>
    <col min="8207" max="8207" width="1.5703125" style="1768" customWidth="1"/>
    <col min="8208" max="8208" width="22.5703125" style="1768" customWidth="1"/>
    <col min="8209" max="8209" width="4.5703125" style="1768" customWidth="1"/>
    <col min="8210" max="8223" width="0" style="1768" hidden="1" customWidth="1"/>
    <col min="8224" max="8448" width="9.42578125" style="1768"/>
    <col min="8449" max="8449" width="0" style="1768" hidden="1" customWidth="1"/>
    <col min="8450" max="8450" width="11.42578125" style="1768" customWidth="1"/>
    <col min="8451" max="8451" width="1.5703125" style="1768" customWidth="1"/>
    <col min="8452" max="8452" width="7.42578125" style="1768" bestFit="1" customWidth="1"/>
    <col min="8453" max="8453" width="1.5703125" style="1768" customWidth="1"/>
    <col min="8454" max="8454" width="12.5703125" style="1768" customWidth="1"/>
    <col min="8455" max="8455" width="1.5703125" style="1768" customWidth="1"/>
    <col min="8456" max="8456" width="20.5703125" style="1768" customWidth="1"/>
    <col min="8457" max="8457" width="2.5703125" style="1768" customWidth="1"/>
    <col min="8458" max="8458" width="10.5703125" style="1768" customWidth="1"/>
    <col min="8459" max="8459" width="1.5703125" style="1768" customWidth="1"/>
    <col min="8460" max="8460" width="10.5703125" style="1768" customWidth="1"/>
    <col min="8461" max="8461" width="1.5703125" style="1768" customWidth="1"/>
    <col min="8462" max="8462" width="12.5703125" style="1768" customWidth="1"/>
    <col min="8463" max="8463" width="1.5703125" style="1768" customWidth="1"/>
    <col min="8464" max="8464" width="22.5703125" style="1768" customWidth="1"/>
    <col min="8465" max="8465" width="4.5703125" style="1768" customWidth="1"/>
    <col min="8466" max="8479" width="0" style="1768" hidden="1" customWidth="1"/>
    <col min="8480" max="8704" width="9.42578125" style="1768"/>
    <col min="8705" max="8705" width="0" style="1768" hidden="1" customWidth="1"/>
    <col min="8706" max="8706" width="11.42578125" style="1768" customWidth="1"/>
    <col min="8707" max="8707" width="1.5703125" style="1768" customWidth="1"/>
    <col min="8708" max="8708" width="7.42578125" style="1768" bestFit="1" customWidth="1"/>
    <col min="8709" max="8709" width="1.5703125" style="1768" customWidth="1"/>
    <col min="8710" max="8710" width="12.5703125" style="1768" customWidth="1"/>
    <col min="8711" max="8711" width="1.5703125" style="1768" customWidth="1"/>
    <col min="8712" max="8712" width="20.5703125" style="1768" customWidth="1"/>
    <col min="8713" max="8713" width="2.5703125" style="1768" customWidth="1"/>
    <col min="8714" max="8714" width="10.5703125" style="1768" customWidth="1"/>
    <col min="8715" max="8715" width="1.5703125" style="1768" customWidth="1"/>
    <col min="8716" max="8716" width="10.5703125" style="1768" customWidth="1"/>
    <col min="8717" max="8717" width="1.5703125" style="1768" customWidth="1"/>
    <col min="8718" max="8718" width="12.5703125" style="1768" customWidth="1"/>
    <col min="8719" max="8719" width="1.5703125" style="1768" customWidth="1"/>
    <col min="8720" max="8720" width="22.5703125" style="1768" customWidth="1"/>
    <col min="8721" max="8721" width="4.5703125" style="1768" customWidth="1"/>
    <col min="8722" max="8735" width="0" style="1768" hidden="1" customWidth="1"/>
    <col min="8736" max="8960" width="9.42578125" style="1768"/>
    <col min="8961" max="8961" width="0" style="1768" hidden="1" customWidth="1"/>
    <col min="8962" max="8962" width="11.42578125" style="1768" customWidth="1"/>
    <col min="8963" max="8963" width="1.5703125" style="1768" customWidth="1"/>
    <col min="8964" max="8964" width="7.42578125" style="1768" bestFit="1" customWidth="1"/>
    <col min="8965" max="8965" width="1.5703125" style="1768" customWidth="1"/>
    <col min="8966" max="8966" width="12.5703125" style="1768" customWidth="1"/>
    <col min="8967" max="8967" width="1.5703125" style="1768" customWidth="1"/>
    <col min="8968" max="8968" width="20.5703125" style="1768" customWidth="1"/>
    <col min="8969" max="8969" width="2.5703125" style="1768" customWidth="1"/>
    <col min="8970" max="8970" width="10.5703125" style="1768" customWidth="1"/>
    <col min="8971" max="8971" width="1.5703125" style="1768" customWidth="1"/>
    <col min="8972" max="8972" width="10.5703125" style="1768" customWidth="1"/>
    <col min="8973" max="8973" width="1.5703125" style="1768" customWidth="1"/>
    <col min="8974" max="8974" width="12.5703125" style="1768" customWidth="1"/>
    <col min="8975" max="8975" width="1.5703125" style="1768" customWidth="1"/>
    <col min="8976" max="8976" width="22.5703125" style="1768" customWidth="1"/>
    <col min="8977" max="8977" width="4.5703125" style="1768" customWidth="1"/>
    <col min="8978" max="8991" width="0" style="1768" hidden="1" customWidth="1"/>
    <col min="8992" max="9216" width="9.42578125" style="1768"/>
    <col min="9217" max="9217" width="0" style="1768" hidden="1" customWidth="1"/>
    <col min="9218" max="9218" width="11.42578125" style="1768" customWidth="1"/>
    <col min="9219" max="9219" width="1.5703125" style="1768" customWidth="1"/>
    <col min="9220" max="9220" width="7.42578125" style="1768" bestFit="1" customWidth="1"/>
    <col min="9221" max="9221" width="1.5703125" style="1768" customWidth="1"/>
    <col min="9222" max="9222" width="12.5703125" style="1768" customWidth="1"/>
    <col min="9223" max="9223" width="1.5703125" style="1768" customWidth="1"/>
    <col min="9224" max="9224" width="20.5703125" style="1768" customWidth="1"/>
    <col min="9225" max="9225" width="2.5703125" style="1768" customWidth="1"/>
    <col min="9226" max="9226" width="10.5703125" style="1768" customWidth="1"/>
    <col min="9227" max="9227" width="1.5703125" style="1768" customWidth="1"/>
    <col min="9228" max="9228" width="10.5703125" style="1768" customWidth="1"/>
    <col min="9229" max="9229" width="1.5703125" style="1768" customWidth="1"/>
    <col min="9230" max="9230" width="12.5703125" style="1768" customWidth="1"/>
    <col min="9231" max="9231" width="1.5703125" style="1768" customWidth="1"/>
    <col min="9232" max="9232" width="22.5703125" style="1768" customWidth="1"/>
    <col min="9233" max="9233" width="4.5703125" style="1768" customWidth="1"/>
    <col min="9234" max="9247" width="0" style="1768" hidden="1" customWidth="1"/>
    <col min="9248" max="9472" width="9.42578125" style="1768"/>
    <col min="9473" max="9473" width="0" style="1768" hidden="1" customWidth="1"/>
    <col min="9474" max="9474" width="11.42578125" style="1768" customWidth="1"/>
    <col min="9475" max="9475" width="1.5703125" style="1768" customWidth="1"/>
    <col min="9476" max="9476" width="7.42578125" style="1768" bestFit="1" customWidth="1"/>
    <col min="9477" max="9477" width="1.5703125" style="1768" customWidth="1"/>
    <col min="9478" max="9478" width="12.5703125" style="1768" customWidth="1"/>
    <col min="9479" max="9479" width="1.5703125" style="1768" customWidth="1"/>
    <col min="9480" max="9480" width="20.5703125" style="1768" customWidth="1"/>
    <col min="9481" max="9481" width="2.5703125" style="1768" customWidth="1"/>
    <col min="9482" max="9482" width="10.5703125" style="1768" customWidth="1"/>
    <col min="9483" max="9483" width="1.5703125" style="1768" customWidth="1"/>
    <col min="9484" max="9484" width="10.5703125" style="1768" customWidth="1"/>
    <col min="9485" max="9485" width="1.5703125" style="1768" customWidth="1"/>
    <col min="9486" max="9486" width="12.5703125" style="1768" customWidth="1"/>
    <col min="9487" max="9487" width="1.5703125" style="1768" customWidth="1"/>
    <col min="9488" max="9488" width="22.5703125" style="1768" customWidth="1"/>
    <col min="9489" max="9489" width="4.5703125" style="1768" customWidth="1"/>
    <col min="9490" max="9503" width="0" style="1768" hidden="1" customWidth="1"/>
    <col min="9504" max="9728" width="9.42578125" style="1768"/>
    <col min="9729" max="9729" width="0" style="1768" hidden="1" customWidth="1"/>
    <col min="9730" max="9730" width="11.42578125" style="1768" customWidth="1"/>
    <col min="9731" max="9731" width="1.5703125" style="1768" customWidth="1"/>
    <col min="9732" max="9732" width="7.42578125" style="1768" bestFit="1" customWidth="1"/>
    <col min="9733" max="9733" width="1.5703125" style="1768" customWidth="1"/>
    <col min="9734" max="9734" width="12.5703125" style="1768" customWidth="1"/>
    <col min="9735" max="9735" width="1.5703125" style="1768" customWidth="1"/>
    <col min="9736" max="9736" width="20.5703125" style="1768" customWidth="1"/>
    <col min="9737" max="9737" width="2.5703125" style="1768" customWidth="1"/>
    <col min="9738" max="9738" width="10.5703125" style="1768" customWidth="1"/>
    <col min="9739" max="9739" width="1.5703125" style="1768" customWidth="1"/>
    <col min="9740" max="9740" width="10.5703125" style="1768" customWidth="1"/>
    <col min="9741" max="9741" width="1.5703125" style="1768" customWidth="1"/>
    <col min="9742" max="9742" width="12.5703125" style="1768" customWidth="1"/>
    <col min="9743" max="9743" width="1.5703125" style="1768" customWidth="1"/>
    <col min="9744" max="9744" width="22.5703125" style="1768" customWidth="1"/>
    <col min="9745" max="9745" width="4.5703125" style="1768" customWidth="1"/>
    <col min="9746" max="9759" width="0" style="1768" hidden="1" customWidth="1"/>
    <col min="9760" max="9984" width="9.42578125" style="1768"/>
    <col min="9985" max="9985" width="0" style="1768" hidden="1" customWidth="1"/>
    <col min="9986" max="9986" width="11.42578125" style="1768" customWidth="1"/>
    <col min="9987" max="9987" width="1.5703125" style="1768" customWidth="1"/>
    <col min="9988" max="9988" width="7.42578125" style="1768" bestFit="1" customWidth="1"/>
    <col min="9989" max="9989" width="1.5703125" style="1768" customWidth="1"/>
    <col min="9990" max="9990" width="12.5703125" style="1768" customWidth="1"/>
    <col min="9991" max="9991" width="1.5703125" style="1768" customWidth="1"/>
    <col min="9992" max="9992" width="20.5703125" style="1768" customWidth="1"/>
    <col min="9993" max="9993" width="2.5703125" style="1768" customWidth="1"/>
    <col min="9994" max="9994" width="10.5703125" style="1768" customWidth="1"/>
    <col min="9995" max="9995" width="1.5703125" style="1768" customWidth="1"/>
    <col min="9996" max="9996" width="10.5703125" style="1768" customWidth="1"/>
    <col min="9997" max="9997" width="1.5703125" style="1768" customWidth="1"/>
    <col min="9998" max="9998" width="12.5703125" style="1768" customWidth="1"/>
    <col min="9999" max="9999" width="1.5703125" style="1768" customWidth="1"/>
    <col min="10000" max="10000" width="22.5703125" style="1768" customWidth="1"/>
    <col min="10001" max="10001" width="4.5703125" style="1768" customWidth="1"/>
    <col min="10002" max="10015" width="0" style="1768" hidden="1" customWidth="1"/>
    <col min="10016" max="10240" width="9.42578125" style="1768"/>
    <col min="10241" max="10241" width="0" style="1768" hidden="1" customWidth="1"/>
    <col min="10242" max="10242" width="11.42578125" style="1768" customWidth="1"/>
    <col min="10243" max="10243" width="1.5703125" style="1768" customWidth="1"/>
    <col min="10244" max="10244" width="7.42578125" style="1768" bestFit="1" customWidth="1"/>
    <col min="10245" max="10245" width="1.5703125" style="1768" customWidth="1"/>
    <col min="10246" max="10246" width="12.5703125" style="1768" customWidth="1"/>
    <col min="10247" max="10247" width="1.5703125" style="1768" customWidth="1"/>
    <col min="10248" max="10248" width="20.5703125" style="1768" customWidth="1"/>
    <col min="10249" max="10249" width="2.5703125" style="1768" customWidth="1"/>
    <col min="10250" max="10250" width="10.5703125" style="1768" customWidth="1"/>
    <col min="10251" max="10251" width="1.5703125" style="1768" customWidth="1"/>
    <col min="10252" max="10252" width="10.5703125" style="1768" customWidth="1"/>
    <col min="10253" max="10253" width="1.5703125" style="1768" customWidth="1"/>
    <col min="10254" max="10254" width="12.5703125" style="1768" customWidth="1"/>
    <col min="10255" max="10255" width="1.5703125" style="1768" customWidth="1"/>
    <col min="10256" max="10256" width="22.5703125" style="1768" customWidth="1"/>
    <col min="10257" max="10257" width="4.5703125" style="1768" customWidth="1"/>
    <col min="10258" max="10271" width="0" style="1768" hidden="1" customWidth="1"/>
    <col min="10272" max="10496" width="9.42578125" style="1768"/>
    <col min="10497" max="10497" width="0" style="1768" hidden="1" customWidth="1"/>
    <col min="10498" max="10498" width="11.42578125" style="1768" customWidth="1"/>
    <col min="10499" max="10499" width="1.5703125" style="1768" customWidth="1"/>
    <col min="10500" max="10500" width="7.42578125" style="1768" bestFit="1" customWidth="1"/>
    <col min="10501" max="10501" width="1.5703125" style="1768" customWidth="1"/>
    <col min="10502" max="10502" width="12.5703125" style="1768" customWidth="1"/>
    <col min="10503" max="10503" width="1.5703125" style="1768" customWidth="1"/>
    <col min="10504" max="10504" width="20.5703125" style="1768" customWidth="1"/>
    <col min="10505" max="10505" width="2.5703125" style="1768" customWidth="1"/>
    <col min="10506" max="10506" width="10.5703125" style="1768" customWidth="1"/>
    <col min="10507" max="10507" width="1.5703125" style="1768" customWidth="1"/>
    <col min="10508" max="10508" width="10.5703125" style="1768" customWidth="1"/>
    <col min="10509" max="10509" width="1.5703125" style="1768" customWidth="1"/>
    <col min="10510" max="10510" width="12.5703125" style="1768" customWidth="1"/>
    <col min="10511" max="10511" width="1.5703125" style="1768" customWidth="1"/>
    <col min="10512" max="10512" width="22.5703125" style="1768" customWidth="1"/>
    <col min="10513" max="10513" width="4.5703125" style="1768" customWidth="1"/>
    <col min="10514" max="10527" width="0" style="1768" hidden="1" customWidth="1"/>
    <col min="10528" max="10752" width="9.42578125" style="1768"/>
    <col min="10753" max="10753" width="0" style="1768" hidden="1" customWidth="1"/>
    <col min="10754" max="10754" width="11.42578125" style="1768" customWidth="1"/>
    <col min="10755" max="10755" width="1.5703125" style="1768" customWidth="1"/>
    <col min="10756" max="10756" width="7.42578125" style="1768" bestFit="1" customWidth="1"/>
    <col min="10757" max="10757" width="1.5703125" style="1768" customWidth="1"/>
    <col min="10758" max="10758" width="12.5703125" style="1768" customWidth="1"/>
    <col min="10759" max="10759" width="1.5703125" style="1768" customWidth="1"/>
    <col min="10760" max="10760" width="20.5703125" style="1768" customWidth="1"/>
    <col min="10761" max="10761" width="2.5703125" style="1768" customWidth="1"/>
    <col min="10762" max="10762" width="10.5703125" style="1768" customWidth="1"/>
    <col min="10763" max="10763" width="1.5703125" style="1768" customWidth="1"/>
    <col min="10764" max="10764" width="10.5703125" style="1768" customWidth="1"/>
    <col min="10765" max="10765" width="1.5703125" style="1768" customWidth="1"/>
    <col min="10766" max="10766" width="12.5703125" style="1768" customWidth="1"/>
    <col min="10767" max="10767" width="1.5703125" style="1768" customWidth="1"/>
    <col min="10768" max="10768" width="22.5703125" style="1768" customWidth="1"/>
    <col min="10769" max="10769" width="4.5703125" style="1768" customWidth="1"/>
    <col min="10770" max="10783" width="0" style="1768" hidden="1" customWidth="1"/>
    <col min="10784" max="11008" width="9.42578125" style="1768"/>
    <col min="11009" max="11009" width="0" style="1768" hidden="1" customWidth="1"/>
    <col min="11010" max="11010" width="11.42578125" style="1768" customWidth="1"/>
    <col min="11011" max="11011" width="1.5703125" style="1768" customWidth="1"/>
    <col min="11012" max="11012" width="7.42578125" style="1768" bestFit="1" customWidth="1"/>
    <col min="11013" max="11013" width="1.5703125" style="1768" customWidth="1"/>
    <col min="11014" max="11014" width="12.5703125" style="1768" customWidth="1"/>
    <col min="11015" max="11015" width="1.5703125" style="1768" customWidth="1"/>
    <col min="11016" max="11016" width="20.5703125" style="1768" customWidth="1"/>
    <col min="11017" max="11017" width="2.5703125" style="1768" customWidth="1"/>
    <col min="11018" max="11018" width="10.5703125" style="1768" customWidth="1"/>
    <col min="11019" max="11019" width="1.5703125" style="1768" customWidth="1"/>
    <col min="11020" max="11020" width="10.5703125" style="1768" customWidth="1"/>
    <col min="11021" max="11021" width="1.5703125" style="1768" customWidth="1"/>
    <col min="11022" max="11022" width="12.5703125" style="1768" customWidth="1"/>
    <col min="11023" max="11023" width="1.5703125" style="1768" customWidth="1"/>
    <col min="11024" max="11024" width="22.5703125" style="1768" customWidth="1"/>
    <col min="11025" max="11025" width="4.5703125" style="1768" customWidth="1"/>
    <col min="11026" max="11039" width="0" style="1768" hidden="1" customWidth="1"/>
    <col min="11040" max="11264" width="9.42578125" style="1768"/>
    <col min="11265" max="11265" width="0" style="1768" hidden="1" customWidth="1"/>
    <col min="11266" max="11266" width="11.42578125" style="1768" customWidth="1"/>
    <col min="11267" max="11267" width="1.5703125" style="1768" customWidth="1"/>
    <col min="11268" max="11268" width="7.42578125" style="1768" bestFit="1" customWidth="1"/>
    <col min="11269" max="11269" width="1.5703125" style="1768" customWidth="1"/>
    <col min="11270" max="11270" width="12.5703125" style="1768" customWidth="1"/>
    <col min="11271" max="11271" width="1.5703125" style="1768" customWidth="1"/>
    <col min="11272" max="11272" width="20.5703125" style="1768" customWidth="1"/>
    <col min="11273" max="11273" width="2.5703125" style="1768" customWidth="1"/>
    <col min="11274" max="11274" width="10.5703125" style="1768" customWidth="1"/>
    <col min="11275" max="11275" width="1.5703125" style="1768" customWidth="1"/>
    <col min="11276" max="11276" width="10.5703125" style="1768" customWidth="1"/>
    <col min="11277" max="11277" width="1.5703125" style="1768" customWidth="1"/>
    <col min="11278" max="11278" width="12.5703125" style="1768" customWidth="1"/>
    <col min="11279" max="11279" width="1.5703125" style="1768" customWidth="1"/>
    <col min="11280" max="11280" width="22.5703125" style="1768" customWidth="1"/>
    <col min="11281" max="11281" width="4.5703125" style="1768" customWidth="1"/>
    <col min="11282" max="11295" width="0" style="1768" hidden="1" customWidth="1"/>
    <col min="11296" max="11520" width="9.42578125" style="1768"/>
    <col min="11521" max="11521" width="0" style="1768" hidden="1" customWidth="1"/>
    <col min="11522" max="11522" width="11.42578125" style="1768" customWidth="1"/>
    <col min="11523" max="11523" width="1.5703125" style="1768" customWidth="1"/>
    <col min="11524" max="11524" width="7.42578125" style="1768" bestFit="1" customWidth="1"/>
    <col min="11525" max="11525" width="1.5703125" style="1768" customWidth="1"/>
    <col min="11526" max="11526" width="12.5703125" style="1768" customWidth="1"/>
    <col min="11527" max="11527" width="1.5703125" style="1768" customWidth="1"/>
    <col min="11528" max="11528" width="20.5703125" style="1768" customWidth="1"/>
    <col min="11529" max="11529" width="2.5703125" style="1768" customWidth="1"/>
    <col min="11530" max="11530" width="10.5703125" style="1768" customWidth="1"/>
    <col min="11531" max="11531" width="1.5703125" style="1768" customWidth="1"/>
    <col min="11532" max="11532" width="10.5703125" style="1768" customWidth="1"/>
    <col min="11533" max="11533" width="1.5703125" style="1768" customWidth="1"/>
    <col min="11534" max="11534" width="12.5703125" style="1768" customWidth="1"/>
    <col min="11535" max="11535" width="1.5703125" style="1768" customWidth="1"/>
    <col min="11536" max="11536" width="22.5703125" style="1768" customWidth="1"/>
    <col min="11537" max="11537" width="4.5703125" style="1768" customWidth="1"/>
    <col min="11538" max="11551" width="0" style="1768" hidden="1" customWidth="1"/>
    <col min="11552" max="11776" width="9.42578125" style="1768"/>
    <col min="11777" max="11777" width="0" style="1768" hidden="1" customWidth="1"/>
    <col min="11778" max="11778" width="11.42578125" style="1768" customWidth="1"/>
    <col min="11779" max="11779" width="1.5703125" style="1768" customWidth="1"/>
    <col min="11780" max="11780" width="7.42578125" style="1768" bestFit="1" customWidth="1"/>
    <col min="11781" max="11781" width="1.5703125" style="1768" customWidth="1"/>
    <col min="11782" max="11782" width="12.5703125" style="1768" customWidth="1"/>
    <col min="11783" max="11783" width="1.5703125" style="1768" customWidth="1"/>
    <col min="11784" max="11784" width="20.5703125" style="1768" customWidth="1"/>
    <col min="11785" max="11785" width="2.5703125" style="1768" customWidth="1"/>
    <col min="11786" max="11786" width="10.5703125" style="1768" customWidth="1"/>
    <col min="11787" max="11787" width="1.5703125" style="1768" customWidth="1"/>
    <col min="11788" max="11788" width="10.5703125" style="1768" customWidth="1"/>
    <col min="11789" max="11789" width="1.5703125" style="1768" customWidth="1"/>
    <col min="11790" max="11790" width="12.5703125" style="1768" customWidth="1"/>
    <col min="11791" max="11791" width="1.5703125" style="1768" customWidth="1"/>
    <col min="11792" max="11792" width="22.5703125" style="1768" customWidth="1"/>
    <col min="11793" max="11793" width="4.5703125" style="1768" customWidth="1"/>
    <col min="11794" max="11807" width="0" style="1768" hidden="1" customWidth="1"/>
    <col min="11808" max="12032" width="9.42578125" style="1768"/>
    <col min="12033" max="12033" width="0" style="1768" hidden="1" customWidth="1"/>
    <col min="12034" max="12034" width="11.42578125" style="1768" customWidth="1"/>
    <col min="12035" max="12035" width="1.5703125" style="1768" customWidth="1"/>
    <col min="12036" max="12036" width="7.42578125" style="1768" bestFit="1" customWidth="1"/>
    <col min="12037" max="12037" width="1.5703125" style="1768" customWidth="1"/>
    <col min="12038" max="12038" width="12.5703125" style="1768" customWidth="1"/>
    <col min="12039" max="12039" width="1.5703125" style="1768" customWidth="1"/>
    <col min="12040" max="12040" width="20.5703125" style="1768" customWidth="1"/>
    <col min="12041" max="12041" width="2.5703125" style="1768" customWidth="1"/>
    <col min="12042" max="12042" width="10.5703125" style="1768" customWidth="1"/>
    <col min="12043" max="12043" width="1.5703125" style="1768" customWidth="1"/>
    <col min="12044" max="12044" width="10.5703125" style="1768" customWidth="1"/>
    <col min="12045" max="12045" width="1.5703125" style="1768" customWidth="1"/>
    <col min="12046" max="12046" width="12.5703125" style="1768" customWidth="1"/>
    <col min="12047" max="12047" width="1.5703125" style="1768" customWidth="1"/>
    <col min="12048" max="12048" width="22.5703125" style="1768" customWidth="1"/>
    <col min="12049" max="12049" width="4.5703125" style="1768" customWidth="1"/>
    <col min="12050" max="12063" width="0" style="1768" hidden="1" customWidth="1"/>
    <col min="12064" max="12288" width="9.42578125" style="1768"/>
    <col min="12289" max="12289" width="0" style="1768" hidden="1" customWidth="1"/>
    <col min="12290" max="12290" width="11.42578125" style="1768" customWidth="1"/>
    <col min="12291" max="12291" width="1.5703125" style="1768" customWidth="1"/>
    <col min="12292" max="12292" width="7.42578125" style="1768" bestFit="1" customWidth="1"/>
    <col min="12293" max="12293" width="1.5703125" style="1768" customWidth="1"/>
    <col min="12294" max="12294" width="12.5703125" style="1768" customWidth="1"/>
    <col min="12295" max="12295" width="1.5703125" style="1768" customWidth="1"/>
    <col min="12296" max="12296" width="20.5703125" style="1768" customWidth="1"/>
    <col min="12297" max="12297" width="2.5703125" style="1768" customWidth="1"/>
    <col min="12298" max="12298" width="10.5703125" style="1768" customWidth="1"/>
    <col min="12299" max="12299" width="1.5703125" style="1768" customWidth="1"/>
    <col min="12300" max="12300" width="10.5703125" style="1768" customWidth="1"/>
    <col min="12301" max="12301" width="1.5703125" style="1768" customWidth="1"/>
    <col min="12302" max="12302" width="12.5703125" style="1768" customWidth="1"/>
    <col min="12303" max="12303" width="1.5703125" style="1768" customWidth="1"/>
    <col min="12304" max="12304" width="22.5703125" style="1768" customWidth="1"/>
    <col min="12305" max="12305" width="4.5703125" style="1768" customWidth="1"/>
    <col min="12306" max="12319" width="0" style="1768" hidden="1" customWidth="1"/>
    <col min="12320" max="12544" width="9.42578125" style="1768"/>
    <col min="12545" max="12545" width="0" style="1768" hidden="1" customWidth="1"/>
    <col min="12546" max="12546" width="11.42578125" style="1768" customWidth="1"/>
    <col min="12547" max="12547" width="1.5703125" style="1768" customWidth="1"/>
    <col min="12548" max="12548" width="7.42578125" style="1768" bestFit="1" customWidth="1"/>
    <col min="12549" max="12549" width="1.5703125" style="1768" customWidth="1"/>
    <col min="12550" max="12550" width="12.5703125" style="1768" customWidth="1"/>
    <col min="12551" max="12551" width="1.5703125" style="1768" customWidth="1"/>
    <col min="12552" max="12552" width="20.5703125" style="1768" customWidth="1"/>
    <col min="12553" max="12553" width="2.5703125" style="1768" customWidth="1"/>
    <col min="12554" max="12554" width="10.5703125" style="1768" customWidth="1"/>
    <col min="12555" max="12555" width="1.5703125" style="1768" customWidth="1"/>
    <col min="12556" max="12556" width="10.5703125" style="1768" customWidth="1"/>
    <col min="12557" max="12557" width="1.5703125" style="1768" customWidth="1"/>
    <col min="12558" max="12558" width="12.5703125" style="1768" customWidth="1"/>
    <col min="12559" max="12559" width="1.5703125" style="1768" customWidth="1"/>
    <col min="12560" max="12560" width="22.5703125" style="1768" customWidth="1"/>
    <col min="12561" max="12561" width="4.5703125" style="1768" customWidth="1"/>
    <col min="12562" max="12575" width="0" style="1768" hidden="1" customWidth="1"/>
    <col min="12576" max="12800" width="9.42578125" style="1768"/>
    <col min="12801" max="12801" width="0" style="1768" hidden="1" customWidth="1"/>
    <col min="12802" max="12802" width="11.42578125" style="1768" customWidth="1"/>
    <col min="12803" max="12803" width="1.5703125" style="1768" customWidth="1"/>
    <col min="12804" max="12804" width="7.42578125" style="1768" bestFit="1" customWidth="1"/>
    <col min="12805" max="12805" width="1.5703125" style="1768" customWidth="1"/>
    <col min="12806" max="12806" width="12.5703125" style="1768" customWidth="1"/>
    <col min="12807" max="12807" width="1.5703125" style="1768" customWidth="1"/>
    <col min="12808" max="12808" width="20.5703125" style="1768" customWidth="1"/>
    <col min="12809" max="12809" width="2.5703125" style="1768" customWidth="1"/>
    <col min="12810" max="12810" width="10.5703125" style="1768" customWidth="1"/>
    <col min="12811" max="12811" width="1.5703125" style="1768" customWidth="1"/>
    <col min="12812" max="12812" width="10.5703125" style="1768" customWidth="1"/>
    <col min="12813" max="12813" width="1.5703125" style="1768" customWidth="1"/>
    <col min="12814" max="12814" width="12.5703125" style="1768" customWidth="1"/>
    <col min="12815" max="12815" width="1.5703125" style="1768" customWidth="1"/>
    <col min="12816" max="12816" width="22.5703125" style="1768" customWidth="1"/>
    <col min="12817" max="12817" width="4.5703125" style="1768" customWidth="1"/>
    <col min="12818" max="12831" width="0" style="1768" hidden="1" customWidth="1"/>
    <col min="12832" max="13056" width="9.42578125" style="1768"/>
    <col min="13057" max="13057" width="0" style="1768" hidden="1" customWidth="1"/>
    <col min="13058" max="13058" width="11.42578125" style="1768" customWidth="1"/>
    <col min="13059" max="13059" width="1.5703125" style="1768" customWidth="1"/>
    <col min="13060" max="13060" width="7.42578125" style="1768" bestFit="1" customWidth="1"/>
    <col min="13061" max="13061" width="1.5703125" style="1768" customWidth="1"/>
    <col min="13062" max="13062" width="12.5703125" style="1768" customWidth="1"/>
    <col min="13063" max="13063" width="1.5703125" style="1768" customWidth="1"/>
    <col min="13064" max="13064" width="20.5703125" style="1768" customWidth="1"/>
    <col min="13065" max="13065" width="2.5703125" style="1768" customWidth="1"/>
    <col min="13066" max="13066" width="10.5703125" style="1768" customWidth="1"/>
    <col min="13067" max="13067" width="1.5703125" style="1768" customWidth="1"/>
    <col min="13068" max="13068" width="10.5703125" style="1768" customWidth="1"/>
    <col min="13069" max="13069" width="1.5703125" style="1768" customWidth="1"/>
    <col min="13070" max="13070" width="12.5703125" style="1768" customWidth="1"/>
    <col min="13071" max="13071" width="1.5703125" style="1768" customWidth="1"/>
    <col min="13072" max="13072" width="22.5703125" style="1768" customWidth="1"/>
    <col min="13073" max="13073" width="4.5703125" style="1768" customWidth="1"/>
    <col min="13074" max="13087" width="0" style="1768" hidden="1" customWidth="1"/>
    <col min="13088" max="13312" width="9.42578125" style="1768"/>
    <col min="13313" max="13313" width="0" style="1768" hidden="1" customWidth="1"/>
    <col min="13314" max="13314" width="11.42578125" style="1768" customWidth="1"/>
    <col min="13315" max="13315" width="1.5703125" style="1768" customWidth="1"/>
    <col min="13316" max="13316" width="7.42578125" style="1768" bestFit="1" customWidth="1"/>
    <col min="13317" max="13317" width="1.5703125" style="1768" customWidth="1"/>
    <col min="13318" max="13318" width="12.5703125" style="1768" customWidth="1"/>
    <col min="13319" max="13319" width="1.5703125" style="1768" customWidth="1"/>
    <col min="13320" max="13320" width="20.5703125" style="1768" customWidth="1"/>
    <col min="13321" max="13321" width="2.5703125" style="1768" customWidth="1"/>
    <col min="13322" max="13322" width="10.5703125" style="1768" customWidth="1"/>
    <col min="13323" max="13323" width="1.5703125" style="1768" customWidth="1"/>
    <col min="13324" max="13324" width="10.5703125" style="1768" customWidth="1"/>
    <col min="13325" max="13325" width="1.5703125" style="1768" customWidth="1"/>
    <col min="13326" max="13326" width="12.5703125" style="1768" customWidth="1"/>
    <col min="13327" max="13327" width="1.5703125" style="1768" customWidth="1"/>
    <col min="13328" max="13328" width="22.5703125" style="1768" customWidth="1"/>
    <col min="13329" max="13329" width="4.5703125" style="1768" customWidth="1"/>
    <col min="13330" max="13343" width="0" style="1768" hidden="1" customWidth="1"/>
    <col min="13344" max="13568" width="9.42578125" style="1768"/>
    <col min="13569" max="13569" width="0" style="1768" hidden="1" customWidth="1"/>
    <col min="13570" max="13570" width="11.42578125" style="1768" customWidth="1"/>
    <col min="13571" max="13571" width="1.5703125" style="1768" customWidth="1"/>
    <col min="13572" max="13572" width="7.42578125" style="1768" bestFit="1" customWidth="1"/>
    <col min="13573" max="13573" width="1.5703125" style="1768" customWidth="1"/>
    <col min="13574" max="13574" width="12.5703125" style="1768" customWidth="1"/>
    <col min="13575" max="13575" width="1.5703125" style="1768" customWidth="1"/>
    <col min="13576" max="13576" width="20.5703125" style="1768" customWidth="1"/>
    <col min="13577" max="13577" width="2.5703125" style="1768" customWidth="1"/>
    <col min="13578" max="13578" width="10.5703125" style="1768" customWidth="1"/>
    <col min="13579" max="13579" width="1.5703125" style="1768" customWidth="1"/>
    <col min="13580" max="13580" width="10.5703125" style="1768" customWidth="1"/>
    <col min="13581" max="13581" width="1.5703125" style="1768" customWidth="1"/>
    <col min="13582" max="13582" width="12.5703125" style="1768" customWidth="1"/>
    <col min="13583" max="13583" width="1.5703125" style="1768" customWidth="1"/>
    <col min="13584" max="13584" width="22.5703125" style="1768" customWidth="1"/>
    <col min="13585" max="13585" width="4.5703125" style="1768" customWidth="1"/>
    <col min="13586" max="13599" width="0" style="1768" hidden="1" customWidth="1"/>
    <col min="13600" max="13824" width="9.42578125" style="1768"/>
    <col min="13825" max="13825" width="0" style="1768" hidden="1" customWidth="1"/>
    <col min="13826" max="13826" width="11.42578125" style="1768" customWidth="1"/>
    <col min="13827" max="13827" width="1.5703125" style="1768" customWidth="1"/>
    <col min="13828" max="13828" width="7.42578125" style="1768" bestFit="1" customWidth="1"/>
    <col min="13829" max="13829" width="1.5703125" style="1768" customWidth="1"/>
    <col min="13830" max="13830" width="12.5703125" style="1768" customWidth="1"/>
    <col min="13831" max="13831" width="1.5703125" style="1768" customWidth="1"/>
    <col min="13832" max="13832" width="20.5703125" style="1768" customWidth="1"/>
    <col min="13833" max="13833" width="2.5703125" style="1768" customWidth="1"/>
    <col min="13834" max="13834" width="10.5703125" style="1768" customWidth="1"/>
    <col min="13835" max="13835" width="1.5703125" style="1768" customWidth="1"/>
    <col min="13836" max="13836" width="10.5703125" style="1768" customWidth="1"/>
    <col min="13837" max="13837" width="1.5703125" style="1768" customWidth="1"/>
    <col min="13838" max="13838" width="12.5703125" style="1768" customWidth="1"/>
    <col min="13839" max="13839" width="1.5703125" style="1768" customWidth="1"/>
    <col min="13840" max="13840" width="22.5703125" style="1768" customWidth="1"/>
    <col min="13841" max="13841" width="4.5703125" style="1768" customWidth="1"/>
    <col min="13842" max="13855" width="0" style="1768" hidden="1" customWidth="1"/>
    <col min="13856" max="14080" width="9.42578125" style="1768"/>
    <col min="14081" max="14081" width="0" style="1768" hidden="1" customWidth="1"/>
    <col min="14082" max="14082" width="11.42578125" style="1768" customWidth="1"/>
    <col min="14083" max="14083" width="1.5703125" style="1768" customWidth="1"/>
    <col min="14084" max="14084" width="7.42578125" style="1768" bestFit="1" customWidth="1"/>
    <col min="14085" max="14085" width="1.5703125" style="1768" customWidth="1"/>
    <col min="14086" max="14086" width="12.5703125" style="1768" customWidth="1"/>
    <col min="14087" max="14087" width="1.5703125" style="1768" customWidth="1"/>
    <col min="14088" max="14088" width="20.5703125" style="1768" customWidth="1"/>
    <col min="14089" max="14089" width="2.5703125" style="1768" customWidth="1"/>
    <col min="14090" max="14090" width="10.5703125" style="1768" customWidth="1"/>
    <col min="14091" max="14091" width="1.5703125" style="1768" customWidth="1"/>
    <col min="14092" max="14092" width="10.5703125" style="1768" customWidth="1"/>
    <col min="14093" max="14093" width="1.5703125" style="1768" customWidth="1"/>
    <col min="14094" max="14094" width="12.5703125" style="1768" customWidth="1"/>
    <col min="14095" max="14095" width="1.5703125" style="1768" customWidth="1"/>
    <col min="14096" max="14096" width="22.5703125" style="1768" customWidth="1"/>
    <col min="14097" max="14097" width="4.5703125" style="1768" customWidth="1"/>
    <col min="14098" max="14111" width="0" style="1768" hidden="1" customWidth="1"/>
    <col min="14112" max="14336" width="9.42578125" style="1768"/>
    <col min="14337" max="14337" width="0" style="1768" hidden="1" customWidth="1"/>
    <col min="14338" max="14338" width="11.42578125" style="1768" customWidth="1"/>
    <col min="14339" max="14339" width="1.5703125" style="1768" customWidth="1"/>
    <col min="14340" max="14340" width="7.42578125" style="1768" bestFit="1" customWidth="1"/>
    <col min="14341" max="14341" width="1.5703125" style="1768" customWidth="1"/>
    <col min="14342" max="14342" width="12.5703125" style="1768" customWidth="1"/>
    <col min="14343" max="14343" width="1.5703125" style="1768" customWidth="1"/>
    <col min="14344" max="14344" width="20.5703125" style="1768" customWidth="1"/>
    <col min="14345" max="14345" width="2.5703125" style="1768" customWidth="1"/>
    <col min="14346" max="14346" width="10.5703125" style="1768" customWidth="1"/>
    <col min="14347" max="14347" width="1.5703125" style="1768" customWidth="1"/>
    <col min="14348" max="14348" width="10.5703125" style="1768" customWidth="1"/>
    <col min="14349" max="14349" width="1.5703125" style="1768" customWidth="1"/>
    <col min="14350" max="14350" width="12.5703125" style="1768" customWidth="1"/>
    <col min="14351" max="14351" width="1.5703125" style="1768" customWidth="1"/>
    <col min="14352" max="14352" width="22.5703125" style="1768" customWidth="1"/>
    <col min="14353" max="14353" width="4.5703125" style="1768" customWidth="1"/>
    <col min="14354" max="14367" width="0" style="1768" hidden="1" customWidth="1"/>
    <col min="14368" max="14592" width="9.42578125" style="1768"/>
    <col min="14593" max="14593" width="0" style="1768" hidden="1" customWidth="1"/>
    <col min="14594" max="14594" width="11.42578125" style="1768" customWidth="1"/>
    <col min="14595" max="14595" width="1.5703125" style="1768" customWidth="1"/>
    <col min="14596" max="14596" width="7.42578125" style="1768" bestFit="1" customWidth="1"/>
    <col min="14597" max="14597" width="1.5703125" style="1768" customWidth="1"/>
    <col min="14598" max="14598" width="12.5703125" style="1768" customWidth="1"/>
    <col min="14599" max="14599" width="1.5703125" style="1768" customWidth="1"/>
    <col min="14600" max="14600" width="20.5703125" style="1768" customWidth="1"/>
    <col min="14601" max="14601" width="2.5703125" style="1768" customWidth="1"/>
    <col min="14602" max="14602" width="10.5703125" style="1768" customWidth="1"/>
    <col min="14603" max="14603" width="1.5703125" style="1768" customWidth="1"/>
    <col min="14604" max="14604" width="10.5703125" style="1768" customWidth="1"/>
    <col min="14605" max="14605" width="1.5703125" style="1768" customWidth="1"/>
    <col min="14606" max="14606" width="12.5703125" style="1768" customWidth="1"/>
    <col min="14607" max="14607" width="1.5703125" style="1768" customWidth="1"/>
    <col min="14608" max="14608" width="22.5703125" style="1768" customWidth="1"/>
    <col min="14609" max="14609" width="4.5703125" style="1768" customWidth="1"/>
    <col min="14610" max="14623" width="0" style="1768" hidden="1" customWidth="1"/>
    <col min="14624" max="14848" width="9.42578125" style="1768"/>
    <col min="14849" max="14849" width="0" style="1768" hidden="1" customWidth="1"/>
    <col min="14850" max="14850" width="11.42578125" style="1768" customWidth="1"/>
    <col min="14851" max="14851" width="1.5703125" style="1768" customWidth="1"/>
    <col min="14852" max="14852" width="7.42578125" style="1768" bestFit="1" customWidth="1"/>
    <col min="14853" max="14853" width="1.5703125" style="1768" customWidth="1"/>
    <col min="14854" max="14854" width="12.5703125" style="1768" customWidth="1"/>
    <col min="14855" max="14855" width="1.5703125" style="1768" customWidth="1"/>
    <col min="14856" max="14856" width="20.5703125" style="1768" customWidth="1"/>
    <col min="14857" max="14857" width="2.5703125" style="1768" customWidth="1"/>
    <col min="14858" max="14858" width="10.5703125" style="1768" customWidth="1"/>
    <col min="14859" max="14859" width="1.5703125" style="1768" customWidth="1"/>
    <col min="14860" max="14860" width="10.5703125" style="1768" customWidth="1"/>
    <col min="14861" max="14861" width="1.5703125" style="1768" customWidth="1"/>
    <col min="14862" max="14862" width="12.5703125" style="1768" customWidth="1"/>
    <col min="14863" max="14863" width="1.5703125" style="1768" customWidth="1"/>
    <col min="14864" max="14864" width="22.5703125" style="1768" customWidth="1"/>
    <col min="14865" max="14865" width="4.5703125" style="1768" customWidth="1"/>
    <col min="14866" max="14879" width="0" style="1768" hidden="1" customWidth="1"/>
    <col min="14880" max="15104" width="9.42578125" style="1768"/>
    <col min="15105" max="15105" width="0" style="1768" hidden="1" customWidth="1"/>
    <col min="15106" max="15106" width="11.42578125" style="1768" customWidth="1"/>
    <col min="15107" max="15107" width="1.5703125" style="1768" customWidth="1"/>
    <col min="15108" max="15108" width="7.42578125" style="1768" bestFit="1" customWidth="1"/>
    <col min="15109" max="15109" width="1.5703125" style="1768" customWidth="1"/>
    <col min="15110" max="15110" width="12.5703125" style="1768" customWidth="1"/>
    <col min="15111" max="15111" width="1.5703125" style="1768" customWidth="1"/>
    <col min="15112" max="15112" width="20.5703125" style="1768" customWidth="1"/>
    <col min="15113" max="15113" width="2.5703125" style="1768" customWidth="1"/>
    <col min="15114" max="15114" width="10.5703125" style="1768" customWidth="1"/>
    <col min="15115" max="15115" width="1.5703125" style="1768" customWidth="1"/>
    <col min="15116" max="15116" width="10.5703125" style="1768" customWidth="1"/>
    <col min="15117" max="15117" width="1.5703125" style="1768" customWidth="1"/>
    <col min="15118" max="15118" width="12.5703125" style="1768" customWidth="1"/>
    <col min="15119" max="15119" width="1.5703125" style="1768" customWidth="1"/>
    <col min="15120" max="15120" width="22.5703125" style="1768" customWidth="1"/>
    <col min="15121" max="15121" width="4.5703125" style="1768" customWidth="1"/>
    <col min="15122" max="15135" width="0" style="1768" hidden="1" customWidth="1"/>
    <col min="15136" max="15360" width="9.42578125" style="1768"/>
    <col min="15361" max="15361" width="0" style="1768" hidden="1" customWidth="1"/>
    <col min="15362" max="15362" width="11.42578125" style="1768" customWidth="1"/>
    <col min="15363" max="15363" width="1.5703125" style="1768" customWidth="1"/>
    <col min="15364" max="15364" width="7.42578125" style="1768" bestFit="1" customWidth="1"/>
    <col min="15365" max="15365" width="1.5703125" style="1768" customWidth="1"/>
    <col min="15366" max="15366" width="12.5703125" style="1768" customWidth="1"/>
    <col min="15367" max="15367" width="1.5703125" style="1768" customWidth="1"/>
    <col min="15368" max="15368" width="20.5703125" style="1768" customWidth="1"/>
    <col min="15369" max="15369" width="2.5703125" style="1768" customWidth="1"/>
    <col min="15370" max="15370" width="10.5703125" style="1768" customWidth="1"/>
    <col min="15371" max="15371" width="1.5703125" style="1768" customWidth="1"/>
    <col min="15372" max="15372" width="10.5703125" style="1768" customWidth="1"/>
    <col min="15373" max="15373" width="1.5703125" style="1768" customWidth="1"/>
    <col min="15374" max="15374" width="12.5703125" style="1768" customWidth="1"/>
    <col min="15375" max="15375" width="1.5703125" style="1768" customWidth="1"/>
    <col min="15376" max="15376" width="22.5703125" style="1768" customWidth="1"/>
    <col min="15377" max="15377" width="4.5703125" style="1768" customWidth="1"/>
    <col min="15378" max="15391" width="0" style="1768" hidden="1" customWidth="1"/>
    <col min="15392" max="15616" width="9.42578125" style="1768"/>
    <col min="15617" max="15617" width="0" style="1768" hidden="1" customWidth="1"/>
    <col min="15618" max="15618" width="11.42578125" style="1768" customWidth="1"/>
    <col min="15619" max="15619" width="1.5703125" style="1768" customWidth="1"/>
    <col min="15620" max="15620" width="7.42578125" style="1768" bestFit="1" customWidth="1"/>
    <col min="15621" max="15621" width="1.5703125" style="1768" customWidth="1"/>
    <col min="15622" max="15622" width="12.5703125" style="1768" customWidth="1"/>
    <col min="15623" max="15623" width="1.5703125" style="1768" customWidth="1"/>
    <col min="15624" max="15624" width="20.5703125" style="1768" customWidth="1"/>
    <col min="15625" max="15625" width="2.5703125" style="1768" customWidth="1"/>
    <col min="15626" max="15626" width="10.5703125" style="1768" customWidth="1"/>
    <col min="15627" max="15627" width="1.5703125" style="1768" customWidth="1"/>
    <col min="15628" max="15628" width="10.5703125" style="1768" customWidth="1"/>
    <col min="15629" max="15629" width="1.5703125" style="1768" customWidth="1"/>
    <col min="15630" max="15630" width="12.5703125" style="1768" customWidth="1"/>
    <col min="15631" max="15631" width="1.5703125" style="1768" customWidth="1"/>
    <col min="15632" max="15632" width="22.5703125" style="1768" customWidth="1"/>
    <col min="15633" max="15633" width="4.5703125" style="1768" customWidth="1"/>
    <col min="15634" max="15647" width="0" style="1768" hidden="1" customWidth="1"/>
    <col min="15648" max="15872" width="9.42578125" style="1768"/>
    <col min="15873" max="15873" width="0" style="1768" hidden="1" customWidth="1"/>
    <col min="15874" max="15874" width="11.42578125" style="1768" customWidth="1"/>
    <col min="15875" max="15875" width="1.5703125" style="1768" customWidth="1"/>
    <col min="15876" max="15876" width="7.42578125" style="1768" bestFit="1" customWidth="1"/>
    <col min="15877" max="15877" width="1.5703125" style="1768" customWidth="1"/>
    <col min="15878" max="15878" width="12.5703125" style="1768" customWidth="1"/>
    <col min="15879" max="15879" width="1.5703125" style="1768" customWidth="1"/>
    <col min="15880" max="15880" width="20.5703125" style="1768" customWidth="1"/>
    <col min="15881" max="15881" width="2.5703125" style="1768" customWidth="1"/>
    <col min="15882" max="15882" width="10.5703125" style="1768" customWidth="1"/>
    <col min="15883" max="15883" width="1.5703125" style="1768" customWidth="1"/>
    <col min="15884" max="15884" width="10.5703125" style="1768" customWidth="1"/>
    <col min="15885" max="15885" width="1.5703125" style="1768" customWidth="1"/>
    <col min="15886" max="15886" width="12.5703125" style="1768" customWidth="1"/>
    <col min="15887" max="15887" width="1.5703125" style="1768" customWidth="1"/>
    <col min="15888" max="15888" width="22.5703125" style="1768" customWidth="1"/>
    <col min="15889" max="15889" width="4.5703125" style="1768" customWidth="1"/>
    <col min="15890" max="15903" width="0" style="1768" hidden="1" customWidth="1"/>
    <col min="15904" max="16128" width="9.42578125" style="1768"/>
    <col min="16129" max="16129" width="0" style="1768" hidden="1" customWidth="1"/>
    <col min="16130" max="16130" width="11.42578125" style="1768" customWidth="1"/>
    <col min="16131" max="16131" width="1.5703125" style="1768" customWidth="1"/>
    <col min="16132" max="16132" width="7.42578125" style="1768" bestFit="1" customWidth="1"/>
    <col min="16133" max="16133" width="1.5703125" style="1768" customWidth="1"/>
    <col min="16134" max="16134" width="12.5703125" style="1768" customWidth="1"/>
    <col min="16135" max="16135" width="1.5703125" style="1768" customWidth="1"/>
    <col min="16136" max="16136" width="20.5703125" style="1768" customWidth="1"/>
    <col min="16137" max="16137" width="2.5703125" style="1768" customWidth="1"/>
    <col min="16138" max="16138" width="10.5703125" style="1768" customWidth="1"/>
    <col min="16139" max="16139" width="1.5703125" style="1768" customWidth="1"/>
    <col min="16140" max="16140" width="10.5703125" style="1768" customWidth="1"/>
    <col min="16141" max="16141" width="1.5703125" style="1768" customWidth="1"/>
    <col min="16142" max="16142" width="12.5703125" style="1768" customWidth="1"/>
    <col min="16143" max="16143" width="1.5703125" style="1768" customWidth="1"/>
    <col min="16144" max="16144" width="22.5703125" style="1768" customWidth="1"/>
    <col min="16145" max="16145" width="4.5703125" style="1768" customWidth="1"/>
    <col min="16146" max="16159" width="0" style="1768" hidden="1" customWidth="1"/>
    <col min="16160" max="16384" width="9.42578125" style="1768"/>
  </cols>
  <sheetData>
    <row r="1" spans="2:35" ht="25.15" customHeight="1" x14ac:dyDescent="0.25">
      <c r="B1" s="3094" t="str">
        <f>Index!A1</f>
        <v xml:space="preserve">                                                               Office of the State Controller                                                                </v>
      </c>
      <c r="C1" s="3094"/>
      <c r="D1" s="3094"/>
      <c r="E1" s="3094"/>
      <c r="F1" s="3094"/>
      <c r="G1" s="3094"/>
      <c r="H1" s="3094"/>
      <c r="I1" s="3094"/>
      <c r="J1" s="3094"/>
      <c r="K1" s="3094"/>
      <c r="L1" s="3094"/>
      <c r="M1" s="3094"/>
      <c r="N1" s="3094"/>
      <c r="O1" s="3094"/>
      <c r="P1" s="3094"/>
      <c r="Q1" s="2829"/>
      <c r="R1" s="182"/>
      <c r="S1" s="182"/>
      <c r="T1" s="182"/>
      <c r="U1" s="182"/>
      <c r="V1" s="182"/>
      <c r="W1" s="182"/>
      <c r="X1" s="182"/>
      <c r="Y1" s="182"/>
      <c r="Z1" s="182"/>
      <c r="AA1" s="182"/>
      <c r="AB1" s="182"/>
      <c r="AC1" s="182"/>
      <c r="AI1" s="2652" t="str">
        <f>IF(Index!$B$71="na","NA","")</f>
        <v/>
      </c>
    </row>
    <row r="2" spans="2:35" ht="15" customHeight="1" x14ac:dyDescent="0.25">
      <c r="B2" s="3091" t="str">
        <f>Index!A2</f>
        <v>2022 ACFR Worksheets</v>
      </c>
      <c r="C2" s="3091"/>
      <c r="D2" s="3091"/>
      <c r="E2" s="3091"/>
      <c r="F2" s="3091"/>
      <c r="G2" s="3091"/>
      <c r="H2" s="3091"/>
      <c r="I2" s="3091"/>
      <c r="J2" s="3091"/>
      <c r="K2" s="3091"/>
      <c r="L2" s="3091"/>
      <c r="M2" s="3091"/>
      <c r="N2" s="3091"/>
      <c r="O2" s="3091"/>
      <c r="P2" s="3091"/>
      <c r="Q2" s="2829"/>
      <c r="R2" s="182"/>
      <c r="S2" s="182"/>
      <c r="T2" s="182"/>
      <c r="U2" s="182"/>
      <c r="V2" s="182"/>
      <c r="W2" s="182"/>
      <c r="X2" s="182"/>
      <c r="Y2" s="182"/>
      <c r="Z2" s="182"/>
      <c r="AA2" s="182"/>
      <c r="AB2" s="182"/>
      <c r="AC2" s="182"/>
      <c r="AI2" s="2652"/>
    </row>
    <row r="3" spans="2:35" ht="15" customHeight="1" x14ac:dyDescent="0.25">
      <c r="B3" s="3092" t="s">
        <v>4322</v>
      </c>
      <c r="C3" s="3092"/>
      <c r="D3" s="3092"/>
      <c r="E3" s="3092"/>
      <c r="F3" s="3092"/>
      <c r="G3" s="3092"/>
      <c r="H3" s="3092"/>
      <c r="I3" s="3092"/>
      <c r="J3" s="3092"/>
      <c r="K3" s="3092"/>
      <c r="L3" s="3092"/>
      <c r="M3" s="3092"/>
      <c r="N3" s="3092"/>
      <c r="O3" s="3092"/>
      <c r="P3" s="3092"/>
      <c r="Q3" s="2829"/>
      <c r="R3" s="182"/>
      <c r="S3" s="182"/>
      <c r="T3" s="182"/>
      <c r="U3" s="182"/>
      <c r="V3" s="182"/>
      <c r="W3" s="182"/>
      <c r="X3" s="182"/>
      <c r="Y3" s="182"/>
      <c r="Z3" s="182"/>
      <c r="AA3" s="182"/>
      <c r="AB3" s="182"/>
      <c r="AC3" s="182"/>
      <c r="AI3" s="2652"/>
    </row>
    <row r="4" spans="2:35" ht="15" customHeight="1" x14ac:dyDescent="0.25">
      <c r="B4" s="1769"/>
      <c r="C4" s="1770"/>
      <c r="D4" s="1770"/>
      <c r="E4" s="1770"/>
      <c r="F4" s="1770"/>
      <c r="G4" s="1770"/>
      <c r="H4" s="1770"/>
      <c r="I4" s="1769"/>
      <c r="J4" s="1770"/>
      <c r="K4" s="1770"/>
      <c r="L4" s="1770"/>
      <c r="M4" s="1770"/>
      <c r="N4" s="1770"/>
      <c r="O4" s="3095" t="s">
        <v>1091</v>
      </c>
      <c r="P4" s="3095"/>
      <c r="Q4" s="182"/>
      <c r="R4" s="182"/>
      <c r="S4" s="182"/>
      <c r="T4" s="182"/>
      <c r="U4" s="182"/>
      <c r="V4" s="182"/>
      <c r="W4" s="182"/>
      <c r="X4" s="182"/>
      <c r="Y4" s="182"/>
      <c r="Z4" s="182"/>
      <c r="AA4" s="182"/>
      <c r="AB4" s="182"/>
      <c r="AC4" s="182"/>
    </row>
    <row r="5" spans="2:35" s="1763" customFormat="1" ht="15" customHeight="1" x14ac:dyDescent="0.2">
      <c r="B5" s="1773" t="s">
        <v>327</v>
      </c>
      <c r="C5" s="1774"/>
      <c r="D5" s="1802" t="str">
        <f>AgyIdx</f>
        <v>01</v>
      </c>
      <c r="E5" s="1803"/>
      <c r="F5" s="1803"/>
      <c r="G5" s="1804"/>
      <c r="H5" s="1803"/>
      <c r="I5" s="1774"/>
      <c r="J5" s="1773" t="s">
        <v>972</v>
      </c>
      <c r="K5" s="1775"/>
      <c r="L5" s="3093" t="str">
        <f>CONCATENATE(Index!$E$12," ",Index!$E$14)</f>
        <v xml:space="preserve"> </v>
      </c>
      <c r="M5" s="3093"/>
      <c r="N5" s="3093"/>
      <c r="O5" s="3093"/>
      <c r="P5" s="3093"/>
    </row>
    <row r="6" spans="2:35" s="1763" customFormat="1" ht="15" customHeight="1" x14ac:dyDescent="0.2">
      <c r="B6" s="1773" t="s">
        <v>1154</v>
      </c>
      <c r="C6" s="1774"/>
      <c r="D6" s="3086" t="str">
        <f>Index!E11</f>
        <v>North Carolina General Assembly</v>
      </c>
      <c r="E6" s="3086"/>
      <c r="F6" s="3086"/>
      <c r="G6" s="3086"/>
      <c r="H6" s="3086"/>
      <c r="I6" s="1774"/>
      <c r="J6" s="1773" t="s">
        <v>348</v>
      </c>
      <c r="K6" s="1774"/>
      <c r="L6" s="3087">
        <f>Index!E13</f>
        <v>0</v>
      </c>
      <c r="M6" s="3087"/>
      <c r="N6" s="3087"/>
      <c r="O6" s="3087"/>
      <c r="P6" s="3087"/>
    </row>
    <row r="7" spans="2:35" s="1763" customFormat="1" ht="15" customHeight="1" thickBot="1" x14ac:dyDescent="0.25">
      <c r="B7" s="1779"/>
      <c r="C7" s="1779"/>
      <c r="D7" s="1779"/>
      <c r="E7" s="1779"/>
      <c r="F7" s="1779"/>
      <c r="G7" s="1779"/>
      <c r="H7" s="1779"/>
      <c r="I7" s="1780"/>
      <c r="J7" s="1779"/>
      <c r="K7" s="1779"/>
      <c r="L7" s="1779"/>
      <c r="M7" s="1779"/>
      <c r="N7" s="1779"/>
      <c r="O7" s="1779"/>
      <c r="P7" s="1779"/>
    </row>
    <row r="8" spans="2:35" s="1763" customFormat="1" ht="15" customHeight="1" x14ac:dyDescent="0.2">
      <c r="B8" s="1774"/>
      <c r="C8" s="1774"/>
      <c r="D8" s="1774"/>
      <c r="E8" s="1774"/>
      <c r="F8" s="1774"/>
      <c r="G8" s="1774"/>
      <c r="H8" s="1774"/>
      <c r="I8" s="1781"/>
      <c r="J8" s="1774"/>
      <c r="K8" s="1774"/>
      <c r="L8" s="1774"/>
      <c r="M8" s="1774"/>
      <c r="N8" s="1774"/>
      <c r="O8" s="1774"/>
      <c r="P8" s="1774"/>
    </row>
    <row r="9" spans="2:35" s="1763" customFormat="1" ht="15" customHeight="1" thickBot="1" x14ac:dyDescent="0.25">
      <c r="B9" s="3088" t="s">
        <v>4323</v>
      </c>
      <c r="C9" s="3088"/>
      <c r="D9" s="3088"/>
      <c r="E9" s="3088"/>
      <c r="F9" s="3088"/>
      <c r="G9" s="3088"/>
      <c r="H9" s="3088"/>
      <c r="I9" s="1781"/>
      <c r="J9" s="3088" t="s">
        <v>4324</v>
      </c>
      <c r="K9" s="3088"/>
      <c r="L9" s="3088"/>
      <c r="M9" s="3088"/>
      <c r="N9" s="3088"/>
      <c r="O9" s="3088"/>
      <c r="P9" s="3088"/>
    </row>
    <row r="10" spans="2:35" s="1763" customFormat="1" ht="15" customHeight="1" x14ac:dyDescent="0.2">
      <c r="B10" s="1774"/>
      <c r="C10" s="1774"/>
      <c r="D10" s="1774"/>
      <c r="E10" s="1774"/>
      <c r="F10" s="1782" t="s">
        <v>1155</v>
      </c>
      <c r="G10" s="1774"/>
      <c r="H10" s="1774"/>
      <c r="I10" s="1782"/>
      <c r="J10" s="1774"/>
      <c r="K10" s="1774"/>
      <c r="L10" s="1774"/>
      <c r="M10" s="1774"/>
      <c r="N10" s="1782" t="s">
        <v>1064</v>
      </c>
      <c r="O10" s="1774"/>
      <c r="P10" s="1774"/>
    </row>
    <row r="11" spans="2:35" s="1763" customFormat="1" ht="15" customHeight="1" x14ac:dyDescent="0.2">
      <c r="B11" s="1782" t="s">
        <v>4304</v>
      </c>
      <c r="C11" s="1774"/>
      <c r="D11" s="1782" t="s">
        <v>1157</v>
      </c>
      <c r="E11" s="1774"/>
      <c r="F11" s="1782" t="s">
        <v>684</v>
      </c>
      <c r="G11" s="1774"/>
      <c r="H11" s="1774"/>
      <c r="I11" s="1782"/>
      <c r="J11" s="1782" t="s">
        <v>4304</v>
      </c>
      <c r="K11" s="1774"/>
      <c r="L11" s="1782" t="s">
        <v>1157</v>
      </c>
      <c r="M11" s="1774"/>
      <c r="N11" s="1782" t="s">
        <v>684</v>
      </c>
      <c r="O11" s="1774"/>
      <c r="P11" s="1774"/>
    </row>
    <row r="12" spans="2:35" s="1763" customFormat="1" ht="15" customHeight="1" thickBot="1" x14ac:dyDescent="0.25">
      <c r="B12" s="1784" t="s">
        <v>685</v>
      </c>
      <c r="C12" s="1782"/>
      <c r="D12" s="1784" t="s">
        <v>685</v>
      </c>
      <c r="E12" s="1782"/>
      <c r="F12" s="1784" t="s">
        <v>4308</v>
      </c>
      <c r="G12" s="1774"/>
      <c r="H12" s="1784" t="s">
        <v>1156</v>
      </c>
      <c r="I12" s="1782"/>
      <c r="J12" s="1784" t="s">
        <v>685</v>
      </c>
      <c r="K12" s="1782"/>
      <c r="L12" s="1784" t="s">
        <v>685</v>
      </c>
      <c r="M12" s="1782"/>
      <c r="N12" s="1784" t="s">
        <v>4311</v>
      </c>
      <c r="O12" s="1774"/>
      <c r="P12" s="1784" t="s">
        <v>1156</v>
      </c>
      <c r="Q12" s="1785" t="s">
        <v>973</v>
      </c>
      <c r="R12" s="1785"/>
      <c r="S12" s="1785"/>
      <c r="T12" s="1785"/>
      <c r="U12" s="1785"/>
      <c r="V12" s="1785"/>
      <c r="W12" s="1785"/>
      <c r="X12" s="1785"/>
      <c r="Y12" s="1785"/>
      <c r="Z12" s="1785"/>
      <c r="AA12" s="1785"/>
      <c r="AB12" s="1785"/>
      <c r="AC12" s="1785"/>
    </row>
    <row r="13" spans="2:35" s="1763" customFormat="1" ht="15" customHeight="1" x14ac:dyDescent="0.2">
      <c r="B13" s="1872" t="s">
        <v>4459</v>
      </c>
      <c r="C13" s="1873"/>
      <c r="D13" s="1874">
        <v>1400</v>
      </c>
      <c r="E13" s="1873"/>
      <c r="F13" s="1874">
        <v>438101</v>
      </c>
      <c r="G13" s="1873"/>
      <c r="H13" s="1875">
        <v>100000</v>
      </c>
      <c r="I13" s="1876"/>
      <c r="J13" s="1877" t="s">
        <v>4460</v>
      </c>
      <c r="K13" s="1873"/>
      <c r="L13" s="1874">
        <v>1100</v>
      </c>
      <c r="M13" s="1873"/>
      <c r="N13" s="1874">
        <v>538101</v>
      </c>
      <c r="O13" s="1876"/>
      <c r="P13" s="1875">
        <v>100000</v>
      </c>
      <c r="Q13" s="1878" t="str">
        <f>IF(AND(R13,X13,AD13,AE13),"","*")</f>
        <v/>
      </c>
      <c r="R13" s="525" t="b">
        <f>IF(OR(S13=0,S13=4),TRUE, FALSE)</f>
        <v>1</v>
      </c>
      <c r="S13" s="525">
        <f>COUNTIF(T13:W13,FALSE)</f>
        <v>4</v>
      </c>
      <c r="T13" s="1879" t="b">
        <f>ISBLANK(B13)</f>
        <v>0</v>
      </c>
      <c r="U13" s="1879" t="b">
        <f>ISBLANK(D13)</f>
        <v>0</v>
      </c>
      <c r="V13" s="1879" t="b">
        <f>ISBLANK(F13)</f>
        <v>0</v>
      </c>
      <c r="W13" s="1879" t="b">
        <f>ISBLANK(H13)</f>
        <v>0</v>
      </c>
      <c r="X13" s="525" t="b">
        <f>IF(OR(Y13=0,Y13=4),TRUE, FALSE)</f>
        <v>1</v>
      </c>
      <c r="Y13" s="525">
        <f>COUNTIF(Z13:AC13,FALSE)</f>
        <v>4</v>
      </c>
      <c r="Z13" s="1879" t="b">
        <f>ISBLANK(J13)</f>
        <v>0</v>
      </c>
      <c r="AA13" s="1879" t="b">
        <f>ISBLANK(L13)</f>
        <v>0</v>
      </c>
      <c r="AB13" s="1879" t="b">
        <f>ISBLANK(N13)</f>
        <v>0</v>
      </c>
      <c r="AC13" s="1879" t="b">
        <f>ISBLANK(P13)</f>
        <v>0</v>
      </c>
      <c r="AD13" s="1763" t="b">
        <f>IF(ISBLANK(F13),TRUE,VALUE(LEFT(F13,4))=4381)</f>
        <v>1</v>
      </c>
      <c r="AE13" s="1763" t="b">
        <f>IF(ISBLANK(N13),TRUE,VALUE(LEFT(N13,4))=5381)</f>
        <v>1</v>
      </c>
      <c r="AI13" s="1880" t="s">
        <v>4461</v>
      </c>
    </row>
    <row r="14" spans="2:35" s="1763" customFormat="1" ht="15" customHeight="1" x14ac:dyDescent="0.2">
      <c r="B14" s="1786"/>
      <c r="C14" s="1787"/>
      <c r="D14" s="1788"/>
      <c r="E14" s="1787"/>
      <c r="F14" s="1788"/>
      <c r="G14" s="1787"/>
      <c r="H14" s="1789"/>
      <c r="I14" s="1774"/>
      <c r="J14" s="1790"/>
      <c r="K14" s="1791"/>
      <c r="L14" s="1788"/>
      <c r="M14" s="1787"/>
      <c r="N14" s="1788"/>
      <c r="O14" s="1774"/>
      <c r="P14" s="1789"/>
      <c r="Q14" s="552" t="str">
        <f t="shared" ref="Q14:Q27" si="0">IF(AND(R14,X14,AD14,AE14),"","*")</f>
        <v/>
      </c>
      <c r="R14" s="1752" t="b">
        <f t="shared" ref="R14:R27" si="1">IF(OR(S14=0,S14=4),TRUE, FALSE)</f>
        <v>1</v>
      </c>
      <c r="S14" s="1752">
        <f t="shared" ref="S14:S27" si="2">COUNTIF(T14:W14,FALSE)</f>
        <v>0</v>
      </c>
      <c r="T14" s="1753" t="b">
        <f t="shared" ref="T14:T27" si="3">ISBLANK(B14)</f>
        <v>1</v>
      </c>
      <c r="U14" s="1753" t="b">
        <f t="shared" ref="U14:U27" si="4">ISBLANK(D14)</f>
        <v>1</v>
      </c>
      <c r="V14" s="1753" t="b">
        <f t="shared" ref="V14:V27" si="5">ISBLANK(F14)</f>
        <v>1</v>
      </c>
      <c r="W14" s="1753" t="b">
        <f t="shared" ref="W14:W27" si="6">ISBLANK(H14)</f>
        <v>1</v>
      </c>
      <c r="X14" s="1752" t="b">
        <f t="shared" ref="X14:X27" si="7">IF(OR(Y14=0,Y14=4),TRUE, FALSE)</f>
        <v>1</v>
      </c>
      <c r="Y14" s="1752">
        <f t="shared" ref="Y14:Y27" si="8">COUNTIF(Z14:AC14,FALSE)</f>
        <v>0</v>
      </c>
      <c r="Z14" s="1753" t="b">
        <f t="shared" ref="Z14:Z27" si="9">ISBLANK(J14)</f>
        <v>1</v>
      </c>
      <c r="AA14" s="1753" t="b">
        <f t="shared" ref="AA14:AA27" si="10">ISBLANK(L14)</f>
        <v>1</v>
      </c>
      <c r="AB14" s="1753" t="b">
        <f t="shared" ref="AB14:AB27" si="11">ISBLANK(N14)</f>
        <v>1</v>
      </c>
      <c r="AC14" s="1753" t="b">
        <f t="shared" ref="AC14:AC27" si="12">ISBLANK(P14)</f>
        <v>1</v>
      </c>
      <c r="AD14" s="1754" t="b">
        <f t="shared" ref="AD14:AD27" si="13">IF(ISBLANK(F14),TRUE,VALUE(LEFT(F14,4))=4381)</f>
        <v>1</v>
      </c>
      <c r="AE14" s="1754" t="b">
        <f t="shared" ref="AE14:AE27" si="14">IF(ISBLANK(N14),TRUE,VALUE(LEFT(N14,4))=5381)</f>
        <v>1</v>
      </c>
    </row>
    <row r="15" spans="2:35" s="1763" customFormat="1" ht="15" customHeight="1" x14ac:dyDescent="0.2">
      <c r="B15" s="1786"/>
      <c r="C15" s="1787"/>
      <c r="D15" s="1788"/>
      <c r="E15" s="1787"/>
      <c r="F15" s="1788"/>
      <c r="G15" s="1787"/>
      <c r="H15" s="1789"/>
      <c r="I15" s="1774"/>
      <c r="J15" s="1790"/>
      <c r="K15" s="1791"/>
      <c r="L15" s="1788"/>
      <c r="M15" s="1787"/>
      <c r="N15" s="1788"/>
      <c r="O15" s="1774"/>
      <c r="P15" s="1789"/>
      <c r="Q15" s="552" t="str">
        <f t="shared" si="0"/>
        <v/>
      </c>
      <c r="R15" s="1752" t="b">
        <f t="shared" si="1"/>
        <v>1</v>
      </c>
      <c r="S15" s="1752">
        <f t="shared" si="2"/>
        <v>0</v>
      </c>
      <c r="T15" s="1753" t="b">
        <f t="shared" si="3"/>
        <v>1</v>
      </c>
      <c r="U15" s="1753" t="b">
        <f t="shared" si="4"/>
        <v>1</v>
      </c>
      <c r="V15" s="1753" t="b">
        <f t="shared" si="5"/>
        <v>1</v>
      </c>
      <c r="W15" s="1753" t="b">
        <f t="shared" si="6"/>
        <v>1</v>
      </c>
      <c r="X15" s="1752" t="b">
        <f t="shared" si="7"/>
        <v>1</v>
      </c>
      <c r="Y15" s="1752">
        <f t="shared" si="8"/>
        <v>0</v>
      </c>
      <c r="Z15" s="1753" t="b">
        <f t="shared" si="9"/>
        <v>1</v>
      </c>
      <c r="AA15" s="1753" t="b">
        <f t="shared" si="10"/>
        <v>1</v>
      </c>
      <c r="AB15" s="1753" t="b">
        <f t="shared" si="11"/>
        <v>1</v>
      </c>
      <c r="AC15" s="1753" t="b">
        <f t="shared" si="12"/>
        <v>1</v>
      </c>
      <c r="AD15" s="1754" t="b">
        <f t="shared" si="13"/>
        <v>1</v>
      </c>
      <c r="AE15" s="1754" t="b">
        <f t="shared" si="14"/>
        <v>1</v>
      </c>
    </row>
    <row r="16" spans="2:35" s="1763" customFormat="1" ht="15" customHeight="1" x14ac:dyDescent="0.2">
      <c r="B16" s="1786"/>
      <c r="C16" s="1787"/>
      <c r="D16" s="1788"/>
      <c r="E16" s="1787"/>
      <c r="F16" s="1788"/>
      <c r="G16" s="1787"/>
      <c r="H16" s="1789"/>
      <c r="I16" s="1774"/>
      <c r="J16" s="1790"/>
      <c r="K16" s="1791"/>
      <c r="L16" s="1788"/>
      <c r="M16" s="1787"/>
      <c r="N16" s="1788"/>
      <c r="O16" s="1774"/>
      <c r="P16" s="1789"/>
      <c r="Q16" s="552" t="str">
        <f t="shared" si="0"/>
        <v/>
      </c>
      <c r="R16" s="1752" t="b">
        <f t="shared" si="1"/>
        <v>1</v>
      </c>
      <c r="S16" s="1752">
        <f t="shared" si="2"/>
        <v>0</v>
      </c>
      <c r="T16" s="1753" t="b">
        <f t="shared" si="3"/>
        <v>1</v>
      </c>
      <c r="U16" s="1753" t="b">
        <f t="shared" si="4"/>
        <v>1</v>
      </c>
      <c r="V16" s="1753" t="b">
        <f t="shared" si="5"/>
        <v>1</v>
      </c>
      <c r="W16" s="1753" t="b">
        <f t="shared" si="6"/>
        <v>1</v>
      </c>
      <c r="X16" s="1752" t="b">
        <f t="shared" si="7"/>
        <v>1</v>
      </c>
      <c r="Y16" s="1752">
        <f t="shared" si="8"/>
        <v>0</v>
      </c>
      <c r="Z16" s="1753" t="b">
        <f t="shared" si="9"/>
        <v>1</v>
      </c>
      <c r="AA16" s="1753" t="b">
        <f t="shared" si="10"/>
        <v>1</v>
      </c>
      <c r="AB16" s="1753" t="b">
        <f t="shared" si="11"/>
        <v>1</v>
      </c>
      <c r="AC16" s="1753" t="b">
        <f t="shared" si="12"/>
        <v>1</v>
      </c>
      <c r="AD16" s="1754" t="b">
        <f t="shared" si="13"/>
        <v>1</v>
      </c>
      <c r="AE16" s="1754" t="b">
        <f t="shared" si="14"/>
        <v>1</v>
      </c>
    </row>
    <row r="17" spans="2:31" s="1763" customFormat="1" ht="15" customHeight="1" x14ac:dyDescent="0.2">
      <c r="B17" s="1786"/>
      <c r="C17" s="1787"/>
      <c r="D17" s="1788"/>
      <c r="E17" s="1787"/>
      <c r="F17" s="1788"/>
      <c r="G17" s="1787"/>
      <c r="H17" s="1789"/>
      <c r="I17" s="1774"/>
      <c r="J17" s="1790"/>
      <c r="K17" s="1791"/>
      <c r="L17" s="1788"/>
      <c r="M17" s="1787"/>
      <c r="N17" s="1788"/>
      <c r="O17" s="1774"/>
      <c r="P17" s="1789"/>
      <c r="Q17" s="552" t="str">
        <f t="shared" si="0"/>
        <v/>
      </c>
      <c r="R17" s="1752" t="b">
        <f t="shared" si="1"/>
        <v>1</v>
      </c>
      <c r="S17" s="1752">
        <f t="shared" si="2"/>
        <v>0</v>
      </c>
      <c r="T17" s="1753" t="b">
        <f t="shared" si="3"/>
        <v>1</v>
      </c>
      <c r="U17" s="1753" t="b">
        <f t="shared" si="4"/>
        <v>1</v>
      </c>
      <c r="V17" s="1753" t="b">
        <f t="shared" si="5"/>
        <v>1</v>
      </c>
      <c r="W17" s="1753" t="b">
        <f t="shared" si="6"/>
        <v>1</v>
      </c>
      <c r="X17" s="1752" t="b">
        <f t="shared" si="7"/>
        <v>1</v>
      </c>
      <c r="Y17" s="1752">
        <f t="shared" si="8"/>
        <v>0</v>
      </c>
      <c r="Z17" s="1753" t="b">
        <f t="shared" si="9"/>
        <v>1</v>
      </c>
      <c r="AA17" s="1753" t="b">
        <f t="shared" si="10"/>
        <v>1</v>
      </c>
      <c r="AB17" s="1753" t="b">
        <f t="shared" si="11"/>
        <v>1</v>
      </c>
      <c r="AC17" s="1753" t="b">
        <f t="shared" si="12"/>
        <v>1</v>
      </c>
      <c r="AD17" s="1754" t="b">
        <f t="shared" si="13"/>
        <v>1</v>
      </c>
      <c r="AE17" s="1754" t="b">
        <f t="shared" si="14"/>
        <v>1</v>
      </c>
    </row>
    <row r="18" spans="2:31" s="1763" customFormat="1" ht="15" customHeight="1" x14ac:dyDescent="0.2">
      <c r="B18" s="1786"/>
      <c r="C18" s="1787"/>
      <c r="D18" s="1788"/>
      <c r="E18" s="1787"/>
      <c r="F18" s="1788"/>
      <c r="G18" s="1787"/>
      <c r="H18" s="1789"/>
      <c r="I18" s="1774"/>
      <c r="J18" s="1790"/>
      <c r="K18" s="1791"/>
      <c r="L18" s="1788"/>
      <c r="M18" s="1787"/>
      <c r="N18" s="1788"/>
      <c r="O18" s="1774"/>
      <c r="P18" s="1789"/>
      <c r="Q18" s="552" t="str">
        <f t="shared" si="0"/>
        <v/>
      </c>
      <c r="R18" s="1752" t="b">
        <f t="shared" si="1"/>
        <v>1</v>
      </c>
      <c r="S18" s="1752">
        <f t="shared" si="2"/>
        <v>0</v>
      </c>
      <c r="T18" s="1753" t="b">
        <f t="shared" si="3"/>
        <v>1</v>
      </c>
      <c r="U18" s="1753" t="b">
        <f t="shared" si="4"/>
        <v>1</v>
      </c>
      <c r="V18" s="1753" t="b">
        <f t="shared" si="5"/>
        <v>1</v>
      </c>
      <c r="W18" s="1753" t="b">
        <f t="shared" si="6"/>
        <v>1</v>
      </c>
      <c r="X18" s="1752" t="b">
        <f t="shared" si="7"/>
        <v>1</v>
      </c>
      <c r="Y18" s="1752">
        <f t="shared" si="8"/>
        <v>0</v>
      </c>
      <c r="Z18" s="1753" t="b">
        <f t="shared" si="9"/>
        <v>1</v>
      </c>
      <c r="AA18" s="1753" t="b">
        <f t="shared" si="10"/>
        <v>1</v>
      </c>
      <c r="AB18" s="1753" t="b">
        <f t="shared" si="11"/>
        <v>1</v>
      </c>
      <c r="AC18" s="1753" t="b">
        <f t="shared" si="12"/>
        <v>1</v>
      </c>
      <c r="AD18" s="1754" t="b">
        <f t="shared" si="13"/>
        <v>1</v>
      </c>
      <c r="AE18" s="1754" t="b">
        <f t="shared" si="14"/>
        <v>1</v>
      </c>
    </row>
    <row r="19" spans="2:31" s="1763" customFormat="1" ht="15" customHeight="1" x14ac:dyDescent="0.2">
      <c r="B19" s="1786"/>
      <c r="C19" s="1787"/>
      <c r="D19" s="1788"/>
      <c r="E19" s="1787"/>
      <c r="F19" s="1788"/>
      <c r="G19" s="1787"/>
      <c r="H19" s="1789"/>
      <c r="I19" s="1774"/>
      <c r="J19" s="1790"/>
      <c r="K19" s="1791"/>
      <c r="L19" s="1788"/>
      <c r="M19" s="1787"/>
      <c r="N19" s="1788"/>
      <c r="O19" s="1774"/>
      <c r="P19" s="1789"/>
      <c r="Q19" s="552" t="str">
        <f t="shared" si="0"/>
        <v/>
      </c>
      <c r="R19" s="1752" t="b">
        <f t="shared" si="1"/>
        <v>1</v>
      </c>
      <c r="S19" s="1752">
        <f t="shared" si="2"/>
        <v>0</v>
      </c>
      <c r="T19" s="1753" t="b">
        <f t="shared" si="3"/>
        <v>1</v>
      </c>
      <c r="U19" s="1753" t="b">
        <f t="shared" si="4"/>
        <v>1</v>
      </c>
      <c r="V19" s="1753" t="b">
        <f t="shared" si="5"/>
        <v>1</v>
      </c>
      <c r="W19" s="1753" t="b">
        <f t="shared" si="6"/>
        <v>1</v>
      </c>
      <c r="X19" s="1752" t="b">
        <f t="shared" si="7"/>
        <v>1</v>
      </c>
      <c r="Y19" s="1752">
        <f t="shared" si="8"/>
        <v>0</v>
      </c>
      <c r="Z19" s="1753" t="b">
        <f t="shared" si="9"/>
        <v>1</v>
      </c>
      <c r="AA19" s="1753" t="b">
        <f t="shared" si="10"/>
        <v>1</v>
      </c>
      <c r="AB19" s="1753" t="b">
        <f t="shared" si="11"/>
        <v>1</v>
      </c>
      <c r="AC19" s="1753" t="b">
        <f t="shared" si="12"/>
        <v>1</v>
      </c>
      <c r="AD19" s="1754" t="b">
        <f t="shared" si="13"/>
        <v>1</v>
      </c>
      <c r="AE19" s="1754" t="b">
        <f t="shared" si="14"/>
        <v>1</v>
      </c>
    </row>
    <row r="20" spans="2:31" s="1763" customFormat="1" ht="15" customHeight="1" x14ac:dyDescent="0.2">
      <c r="B20" s="1786"/>
      <c r="C20" s="1787"/>
      <c r="D20" s="1788"/>
      <c r="E20" s="1787"/>
      <c r="F20" s="1788"/>
      <c r="G20" s="1787"/>
      <c r="H20" s="1789"/>
      <c r="I20" s="1774"/>
      <c r="J20" s="1790"/>
      <c r="K20" s="1791"/>
      <c r="L20" s="1788"/>
      <c r="M20" s="1787"/>
      <c r="N20" s="1788"/>
      <c r="O20" s="1774"/>
      <c r="P20" s="1789"/>
      <c r="Q20" s="552" t="str">
        <f t="shared" si="0"/>
        <v/>
      </c>
      <c r="R20" s="1752" t="b">
        <f t="shared" si="1"/>
        <v>1</v>
      </c>
      <c r="S20" s="1752">
        <f t="shared" si="2"/>
        <v>0</v>
      </c>
      <c r="T20" s="1753" t="b">
        <f t="shared" si="3"/>
        <v>1</v>
      </c>
      <c r="U20" s="1753" t="b">
        <f t="shared" si="4"/>
        <v>1</v>
      </c>
      <c r="V20" s="1753" t="b">
        <f t="shared" si="5"/>
        <v>1</v>
      </c>
      <c r="W20" s="1753" t="b">
        <f t="shared" si="6"/>
        <v>1</v>
      </c>
      <c r="X20" s="1752" t="b">
        <f t="shared" si="7"/>
        <v>1</v>
      </c>
      <c r="Y20" s="1752">
        <f t="shared" si="8"/>
        <v>0</v>
      </c>
      <c r="Z20" s="1753" t="b">
        <f t="shared" si="9"/>
        <v>1</v>
      </c>
      <c r="AA20" s="1753" t="b">
        <f t="shared" si="10"/>
        <v>1</v>
      </c>
      <c r="AB20" s="1753" t="b">
        <f t="shared" si="11"/>
        <v>1</v>
      </c>
      <c r="AC20" s="1753" t="b">
        <f t="shared" si="12"/>
        <v>1</v>
      </c>
      <c r="AD20" s="1754" t="b">
        <f t="shared" si="13"/>
        <v>1</v>
      </c>
      <c r="AE20" s="1754" t="b">
        <f t="shared" si="14"/>
        <v>1</v>
      </c>
    </row>
    <row r="21" spans="2:31" s="1763" customFormat="1" ht="15" customHeight="1" x14ac:dyDescent="0.2">
      <c r="B21" s="1790"/>
      <c r="C21" s="1787"/>
      <c r="D21" s="1788"/>
      <c r="E21" s="1787"/>
      <c r="F21" s="1788"/>
      <c r="G21" s="1787"/>
      <c r="H21" s="1789"/>
      <c r="I21" s="1774"/>
      <c r="J21" s="1790"/>
      <c r="K21" s="1791"/>
      <c r="L21" s="1788"/>
      <c r="M21" s="1787"/>
      <c r="N21" s="1788"/>
      <c r="O21" s="1774"/>
      <c r="P21" s="1789"/>
      <c r="Q21" s="552" t="str">
        <f t="shared" si="0"/>
        <v/>
      </c>
      <c r="R21" s="1752" t="b">
        <f t="shared" si="1"/>
        <v>1</v>
      </c>
      <c r="S21" s="1752">
        <f t="shared" si="2"/>
        <v>0</v>
      </c>
      <c r="T21" s="1753" t="b">
        <f t="shared" si="3"/>
        <v>1</v>
      </c>
      <c r="U21" s="1753" t="b">
        <f t="shared" si="4"/>
        <v>1</v>
      </c>
      <c r="V21" s="1753" t="b">
        <f t="shared" si="5"/>
        <v>1</v>
      </c>
      <c r="W21" s="1753" t="b">
        <f t="shared" si="6"/>
        <v>1</v>
      </c>
      <c r="X21" s="1752" t="b">
        <f t="shared" si="7"/>
        <v>1</v>
      </c>
      <c r="Y21" s="1752">
        <f t="shared" si="8"/>
        <v>0</v>
      </c>
      <c r="Z21" s="1753" t="b">
        <f t="shared" si="9"/>
        <v>1</v>
      </c>
      <c r="AA21" s="1753" t="b">
        <f t="shared" si="10"/>
        <v>1</v>
      </c>
      <c r="AB21" s="1753" t="b">
        <f t="shared" si="11"/>
        <v>1</v>
      </c>
      <c r="AC21" s="1753" t="b">
        <f t="shared" si="12"/>
        <v>1</v>
      </c>
      <c r="AD21" s="1754" t="b">
        <f t="shared" si="13"/>
        <v>1</v>
      </c>
      <c r="AE21" s="1754" t="b">
        <f t="shared" si="14"/>
        <v>1</v>
      </c>
    </row>
    <row r="22" spans="2:31" s="1763" customFormat="1" ht="15" customHeight="1" x14ac:dyDescent="0.2">
      <c r="B22" s="1790"/>
      <c r="C22" s="1787"/>
      <c r="D22" s="1788"/>
      <c r="E22" s="1787"/>
      <c r="F22" s="1788"/>
      <c r="G22" s="1787"/>
      <c r="H22" s="1789"/>
      <c r="I22" s="1774"/>
      <c r="J22" s="1790"/>
      <c r="K22" s="1791"/>
      <c r="L22" s="1788"/>
      <c r="M22" s="1787"/>
      <c r="N22" s="1788"/>
      <c r="O22" s="1774"/>
      <c r="P22" s="1789"/>
      <c r="Q22" s="552" t="str">
        <f t="shared" si="0"/>
        <v/>
      </c>
      <c r="R22" s="1752" t="b">
        <f t="shared" si="1"/>
        <v>1</v>
      </c>
      <c r="S22" s="1752">
        <f t="shared" si="2"/>
        <v>0</v>
      </c>
      <c r="T22" s="1753" t="b">
        <f t="shared" si="3"/>
        <v>1</v>
      </c>
      <c r="U22" s="1753" t="b">
        <f t="shared" si="4"/>
        <v>1</v>
      </c>
      <c r="V22" s="1753" t="b">
        <f t="shared" si="5"/>
        <v>1</v>
      </c>
      <c r="W22" s="1753" t="b">
        <f t="shared" si="6"/>
        <v>1</v>
      </c>
      <c r="X22" s="1752" t="b">
        <f t="shared" si="7"/>
        <v>1</v>
      </c>
      <c r="Y22" s="1752">
        <f t="shared" si="8"/>
        <v>0</v>
      </c>
      <c r="Z22" s="1753" t="b">
        <f t="shared" si="9"/>
        <v>1</v>
      </c>
      <c r="AA22" s="1753" t="b">
        <f t="shared" si="10"/>
        <v>1</v>
      </c>
      <c r="AB22" s="1753" t="b">
        <f t="shared" si="11"/>
        <v>1</v>
      </c>
      <c r="AC22" s="1753" t="b">
        <f t="shared" si="12"/>
        <v>1</v>
      </c>
      <c r="AD22" s="1754" t="b">
        <f t="shared" si="13"/>
        <v>1</v>
      </c>
      <c r="AE22" s="1754" t="b">
        <f t="shared" si="14"/>
        <v>1</v>
      </c>
    </row>
    <row r="23" spans="2:31" s="1763" customFormat="1" ht="15" customHeight="1" x14ac:dyDescent="0.2">
      <c r="B23" s="1790"/>
      <c r="C23" s="1787"/>
      <c r="D23" s="1788"/>
      <c r="E23" s="1787"/>
      <c r="F23" s="1788"/>
      <c r="G23" s="1787"/>
      <c r="H23" s="1789"/>
      <c r="I23" s="1774"/>
      <c r="J23" s="1790"/>
      <c r="K23" s="1791"/>
      <c r="L23" s="1788"/>
      <c r="M23" s="1787"/>
      <c r="N23" s="1788"/>
      <c r="O23" s="1774"/>
      <c r="P23" s="1789"/>
      <c r="Q23" s="552" t="str">
        <f t="shared" si="0"/>
        <v/>
      </c>
      <c r="R23" s="1752" t="b">
        <f t="shared" si="1"/>
        <v>1</v>
      </c>
      <c r="S23" s="1752">
        <f t="shared" si="2"/>
        <v>0</v>
      </c>
      <c r="T23" s="1753" t="b">
        <f t="shared" si="3"/>
        <v>1</v>
      </c>
      <c r="U23" s="1753" t="b">
        <f t="shared" si="4"/>
        <v>1</v>
      </c>
      <c r="V23" s="1753" t="b">
        <f t="shared" si="5"/>
        <v>1</v>
      </c>
      <c r="W23" s="1753" t="b">
        <f t="shared" si="6"/>
        <v>1</v>
      </c>
      <c r="X23" s="1752" t="b">
        <f t="shared" si="7"/>
        <v>1</v>
      </c>
      <c r="Y23" s="1752">
        <f t="shared" si="8"/>
        <v>0</v>
      </c>
      <c r="Z23" s="1753" t="b">
        <f t="shared" si="9"/>
        <v>1</v>
      </c>
      <c r="AA23" s="1753" t="b">
        <f t="shared" si="10"/>
        <v>1</v>
      </c>
      <c r="AB23" s="1753" t="b">
        <f t="shared" si="11"/>
        <v>1</v>
      </c>
      <c r="AC23" s="1753" t="b">
        <f t="shared" si="12"/>
        <v>1</v>
      </c>
      <c r="AD23" s="1754" t="b">
        <f t="shared" si="13"/>
        <v>1</v>
      </c>
      <c r="AE23" s="1754" t="b">
        <f t="shared" si="14"/>
        <v>1</v>
      </c>
    </row>
    <row r="24" spans="2:31" s="1763" customFormat="1" ht="15" customHeight="1" x14ac:dyDescent="0.2">
      <c r="B24" s="1790"/>
      <c r="C24" s="1787"/>
      <c r="D24" s="1788"/>
      <c r="E24" s="1787"/>
      <c r="F24" s="1788"/>
      <c r="G24" s="1787"/>
      <c r="H24" s="1789"/>
      <c r="I24" s="1774"/>
      <c r="J24" s="1790"/>
      <c r="K24" s="1791"/>
      <c r="L24" s="1788"/>
      <c r="M24" s="1787"/>
      <c r="N24" s="1788"/>
      <c r="O24" s="1774"/>
      <c r="P24" s="1789"/>
      <c r="Q24" s="552" t="str">
        <f t="shared" si="0"/>
        <v/>
      </c>
      <c r="R24" s="1752" t="b">
        <f t="shared" si="1"/>
        <v>1</v>
      </c>
      <c r="S24" s="1752">
        <f t="shared" si="2"/>
        <v>0</v>
      </c>
      <c r="T24" s="1753" t="b">
        <f t="shared" si="3"/>
        <v>1</v>
      </c>
      <c r="U24" s="1753" t="b">
        <f t="shared" si="4"/>
        <v>1</v>
      </c>
      <c r="V24" s="1753" t="b">
        <f t="shared" si="5"/>
        <v>1</v>
      </c>
      <c r="W24" s="1753" t="b">
        <f t="shared" si="6"/>
        <v>1</v>
      </c>
      <c r="X24" s="1752" t="b">
        <f t="shared" si="7"/>
        <v>1</v>
      </c>
      <c r="Y24" s="1752">
        <f t="shared" si="8"/>
        <v>0</v>
      </c>
      <c r="Z24" s="1753" t="b">
        <f t="shared" si="9"/>
        <v>1</v>
      </c>
      <c r="AA24" s="1753" t="b">
        <f t="shared" si="10"/>
        <v>1</v>
      </c>
      <c r="AB24" s="1753" t="b">
        <f t="shared" si="11"/>
        <v>1</v>
      </c>
      <c r="AC24" s="1753" t="b">
        <f t="shared" si="12"/>
        <v>1</v>
      </c>
      <c r="AD24" s="1754" t="b">
        <f t="shared" si="13"/>
        <v>1</v>
      </c>
      <c r="AE24" s="1754" t="b">
        <f t="shared" si="14"/>
        <v>1</v>
      </c>
    </row>
    <row r="25" spans="2:31" s="1763" customFormat="1" ht="15" customHeight="1" x14ac:dyDescent="0.2">
      <c r="B25" s="1790"/>
      <c r="C25" s="1787"/>
      <c r="D25" s="1788"/>
      <c r="E25" s="1787"/>
      <c r="F25" s="1788"/>
      <c r="G25" s="1787"/>
      <c r="H25" s="1789"/>
      <c r="I25" s="1774"/>
      <c r="J25" s="1790"/>
      <c r="K25" s="1791"/>
      <c r="L25" s="1788"/>
      <c r="M25" s="1787"/>
      <c r="N25" s="1788"/>
      <c r="O25" s="1774"/>
      <c r="P25" s="1789"/>
      <c r="Q25" s="552" t="str">
        <f t="shared" si="0"/>
        <v/>
      </c>
      <c r="R25" s="1752" t="b">
        <f t="shared" si="1"/>
        <v>1</v>
      </c>
      <c r="S25" s="1752">
        <f t="shared" si="2"/>
        <v>0</v>
      </c>
      <c r="T25" s="1753" t="b">
        <f t="shared" si="3"/>
        <v>1</v>
      </c>
      <c r="U25" s="1753" t="b">
        <f t="shared" si="4"/>
        <v>1</v>
      </c>
      <c r="V25" s="1753" t="b">
        <f t="shared" si="5"/>
        <v>1</v>
      </c>
      <c r="W25" s="1753" t="b">
        <f t="shared" si="6"/>
        <v>1</v>
      </c>
      <c r="X25" s="1752" t="b">
        <f t="shared" si="7"/>
        <v>1</v>
      </c>
      <c r="Y25" s="1752">
        <f t="shared" si="8"/>
        <v>0</v>
      </c>
      <c r="Z25" s="1753" t="b">
        <f t="shared" si="9"/>
        <v>1</v>
      </c>
      <c r="AA25" s="1753" t="b">
        <f t="shared" si="10"/>
        <v>1</v>
      </c>
      <c r="AB25" s="1753" t="b">
        <f t="shared" si="11"/>
        <v>1</v>
      </c>
      <c r="AC25" s="1753" t="b">
        <f t="shared" si="12"/>
        <v>1</v>
      </c>
      <c r="AD25" s="1754" t="b">
        <f t="shared" si="13"/>
        <v>1</v>
      </c>
      <c r="AE25" s="1754" t="b">
        <f t="shared" si="14"/>
        <v>1</v>
      </c>
    </row>
    <row r="26" spans="2:31" s="1763" customFormat="1" ht="15" customHeight="1" x14ac:dyDescent="0.2">
      <c r="B26" s="1790"/>
      <c r="C26" s="1787"/>
      <c r="D26" s="1788"/>
      <c r="E26" s="1787"/>
      <c r="F26" s="1788"/>
      <c r="G26" s="1787"/>
      <c r="H26" s="1789"/>
      <c r="I26" s="1774"/>
      <c r="J26" s="1790"/>
      <c r="K26" s="1791"/>
      <c r="L26" s="1788"/>
      <c r="M26" s="1787"/>
      <c r="N26" s="1788"/>
      <c r="O26" s="1774"/>
      <c r="P26" s="1789"/>
      <c r="Q26" s="552" t="str">
        <f t="shared" si="0"/>
        <v/>
      </c>
      <c r="R26" s="1752" t="b">
        <f t="shared" si="1"/>
        <v>1</v>
      </c>
      <c r="S26" s="1752">
        <f t="shared" si="2"/>
        <v>0</v>
      </c>
      <c r="T26" s="1753" t="b">
        <f t="shared" si="3"/>
        <v>1</v>
      </c>
      <c r="U26" s="1753" t="b">
        <f t="shared" si="4"/>
        <v>1</v>
      </c>
      <c r="V26" s="1753" t="b">
        <f t="shared" si="5"/>
        <v>1</v>
      </c>
      <c r="W26" s="1753" t="b">
        <f t="shared" si="6"/>
        <v>1</v>
      </c>
      <c r="X26" s="1752" t="b">
        <f t="shared" si="7"/>
        <v>1</v>
      </c>
      <c r="Y26" s="1752">
        <f t="shared" si="8"/>
        <v>0</v>
      </c>
      <c r="Z26" s="1753" t="b">
        <f t="shared" si="9"/>
        <v>1</v>
      </c>
      <c r="AA26" s="1753" t="b">
        <f t="shared" si="10"/>
        <v>1</v>
      </c>
      <c r="AB26" s="1753" t="b">
        <f t="shared" si="11"/>
        <v>1</v>
      </c>
      <c r="AC26" s="1753" t="b">
        <f t="shared" si="12"/>
        <v>1</v>
      </c>
      <c r="AD26" s="1754" t="b">
        <f t="shared" si="13"/>
        <v>1</v>
      </c>
      <c r="AE26" s="1754" t="b">
        <f t="shared" si="14"/>
        <v>1</v>
      </c>
    </row>
    <row r="27" spans="2:31" s="1763" customFormat="1" ht="15" customHeight="1" x14ac:dyDescent="0.2">
      <c r="B27" s="1790"/>
      <c r="C27" s="1787"/>
      <c r="D27" s="1788"/>
      <c r="E27" s="1787"/>
      <c r="F27" s="1788"/>
      <c r="G27" s="1787"/>
      <c r="H27" s="1789"/>
      <c r="I27" s="1774"/>
      <c r="J27" s="1790"/>
      <c r="K27" s="1791"/>
      <c r="L27" s="1788"/>
      <c r="M27" s="1787"/>
      <c r="N27" s="1788"/>
      <c r="O27" s="1774"/>
      <c r="P27" s="1789"/>
      <c r="Q27" s="552" t="str">
        <f t="shared" si="0"/>
        <v/>
      </c>
      <c r="R27" s="1752" t="b">
        <f t="shared" si="1"/>
        <v>1</v>
      </c>
      <c r="S27" s="1752">
        <f t="shared" si="2"/>
        <v>0</v>
      </c>
      <c r="T27" s="1753" t="b">
        <f t="shared" si="3"/>
        <v>1</v>
      </c>
      <c r="U27" s="1753" t="b">
        <f t="shared" si="4"/>
        <v>1</v>
      </c>
      <c r="V27" s="1753" t="b">
        <f t="shared" si="5"/>
        <v>1</v>
      </c>
      <c r="W27" s="1753" t="b">
        <f t="shared" si="6"/>
        <v>1</v>
      </c>
      <c r="X27" s="1752" t="b">
        <f t="shared" si="7"/>
        <v>1</v>
      </c>
      <c r="Y27" s="1752">
        <f t="shared" si="8"/>
        <v>0</v>
      </c>
      <c r="Z27" s="1753" t="b">
        <f t="shared" si="9"/>
        <v>1</v>
      </c>
      <c r="AA27" s="1753" t="b">
        <f t="shared" si="10"/>
        <v>1</v>
      </c>
      <c r="AB27" s="1753" t="b">
        <f t="shared" si="11"/>
        <v>1</v>
      </c>
      <c r="AC27" s="1753" t="b">
        <f t="shared" si="12"/>
        <v>1</v>
      </c>
      <c r="AD27" s="1754" t="b">
        <f t="shared" si="13"/>
        <v>1</v>
      </c>
      <c r="AE27" s="1754" t="b">
        <f t="shared" si="14"/>
        <v>1</v>
      </c>
    </row>
    <row r="28" spans="2:31" s="1763" customFormat="1" ht="15" customHeight="1" thickBot="1" x14ac:dyDescent="0.25">
      <c r="B28" s="1774"/>
      <c r="C28" s="1774"/>
      <c r="D28" s="1774"/>
      <c r="E28" s="1774"/>
      <c r="F28" s="1782" t="s">
        <v>976</v>
      </c>
      <c r="G28" s="1782"/>
      <c r="H28" s="1805">
        <f>SUM(H14:H27)</f>
        <v>0</v>
      </c>
      <c r="I28" s="1774"/>
      <c r="J28" s="1774"/>
      <c r="K28" s="1774"/>
      <c r="L28" s="1774"/>
      <c r="M28" s="1774"/>
      <c r="N28" s="1782" t="s">
        <v>977</v>
      </c>
      <c r="O28" s="1782"/>
      <c r="P28" s="1805">
        <f>SUM(P14:P27)</f>
        <v>0</v>
      </c>
      <c r="Q28" s="1754"/>
      <c r="R28" s="1752">
        <f>COUNTIF(R13:R27,FALSE)</f>
        <v>0</v>
      </c>
      <c r="S28" s="1759"/>
      <c r="T28" s="1759"/>
      <c r="U28" s="1759"/>
      <c r="V28" s="1759"/>
      <c r="W28" s="1759"/>
      <c r="X28" s="1752">
        <f>COUNTIF(X13:X27,FALSE)</f>
        <v>0</v>
      </c>
      <c r="Y28" s="1759"/>
      <c r="Z28" s="1759"/>
      <c r="AA28" s="1759"/>
      <c r="AB28" s="1759"/>
      <c r="AC28" s="1759"/>
      <c r="AD28" s="1759">
        <f>COUNTIF(AD13:AD27,FALSE)</f>
        <v>0</v>
      </c>
      <c r="AE28" s="1759">
        <f>COUNTIF(AE13:AE27,FALSE)</f>
        <v>0</v>
      </c>
    </row>
    <row r="29" spans="2:31" s="1796" customFormat="1" ht="21.75" customHeight="1" x14ac:dyDescent="0.2">
      <c r="B29" s="1806"/>
      <c r="C29" s="1806"/>
      <c r="D29" s="1806"/>
      <c r="E29" s="1806"/>
      <c r="F29" s="3089" t="s">
        <v>978</v>
      </c>
      <c r="G29" s="3089"/>
      <c r="H29" s="3089"/>
      <c r="I29" s="1806"/>
      <c r="J29" s="1806"/>
      <c r="K29" s="1806"/>
      <c r="L29" s="1806"/>
      <c r="M29" s="3090" t="str">
        <f>IF(P29&lt;&gt;0,"Out of Balance","")</f>
        <v/>
      </c>
      <c r="N29" s="3090"/>
      <c r="O29" s="1807"/>
      <c r="P29" s="1808">
        <f>+H28-P28</f>
        <v>0</v>
      </c>
      <c r="Q29" s="1759"/>
    </row>
    <row r="30" spans="2:31" s="1760" customFormat="1" ht="12.75" x14ac:dyDescent="0.2">
      <c r="B30" s="1783" t="s">
        <v>4796</v>
      </c>
      <c r="C30" s="1783"/>
      <c r="D30" s="1783"/>
      <c r="E30" s="1783"/>
      <c r="F30" s="1783"/>
      <c r="G30" s="1783"/>
      <c r="H30" s="1783"/>
      <c r="I30" s="1783"/>
      <c r="J30" s="1783"/>
      <c r="K30" s="1783"/>
      <c r="L30" s="1783"/>
      <c r="M30" s="1783"/>
      <c r="N30" s="1783"/>
      <c r="O30" s="1783"/>
      <c r="P30" s="1783"/>
    </row>
    <row r="31" spans="2:31" s="1763" customFormat="1" ht="14.25" customHeight="1" x14ac:dyDescent="0.2">
      <c r="B31" s="1809"/>
      <c r="C31" s="1809"/>
      <c r="D31" s="1809"/>
      <c r="E31" s="1809"/>
      <c r="F31" s="1809"/>
      <c r="G31" s="1809"/>
      <c r="H31" s="1809"/>
      <c r="I31" s="1809"/>
      <c r="J31" s="1809"/>
      <c r="K31" s="1809"/>
      <c r="L31" s="1809"/>
      <c r="M31" s="1809"/>
      <c r="N31" s="1809"/>
      <c r="O31" s="1809"/>
      <c r="P31" s="1809"/>
    </row>
    <row r="32" spans="2:31" s="1763" customFormat="1" ht="15" customHeight="1" x14ac:dyDescent="0.2">
      <c r="B32" s="1809"/>
      <c r="C32" s="1809"/>
      <c r="D32" s="1809"/>
      <c r="E32" s="1809"/>
      <c r="F32" s="1809"/>
      <c r="G32" s="1809"/>
      <c r="H32" s="1809"/>
      <c r="I32" s="1809"/>
      <c r="J32" s="1809"/>
      <c r="K32" s="1809"/>
      <c r="L32" s="1809"/>
      <c r="M32" s="1809"/>
      <c r="N32" s="1809"/>
      <c r="O32" s="1809"/>
      <c r="P32" s="1809"/>
    </row>
    <row r="33" spans="1:17" s="1763" customFormat="1" ht="15" customHeight="1" x14ac:dyDescent="0.2">
      <c r="B33" s="1810"/>
      <c r="C33" s="1810"/>
      <c r="D33" s="1810"/>
      <c r="E33" s="1810"/>
      <c r="F33" s="1810"/>
      <c r="G33" s="1810"/>
      <c r="H33" s="1810"/>
      <c r="I33" s="1810"/>
      <c r="J33" s="1810"/>
      <c r="K33" s="1810"/>
      <c r="L33" s="1810"/>
      <c r="M33" s="1810"/>
      <c r="N33" s="1810"/>
      <c r="O33" s="1810"/>
      <c r="P33" s="1810"/>
    </row>
    <row r="35" spans="1:17" x14ac:dyDescent="0.25">
      <c r="B35" s="1161"/>
    </row>
    <row r="36" spans="1:17" x14ac:dyDescent="0.25">
      <c r="B36" s="1161"/>
    </row>
    <row r="37" spans="1:17" ht="20.85" customHeight="1" x14ac:dyDescent="0.25">
      <c r="A37" s="794" t="str">
        <f ca="1">MID(CELL("filename",A3),FIND("]",CELL("filename",A3))+1,256)</f>
        <v>540</v>
      </c>
      <c r="B37" s="794"/>
    </row>
    <row r="38" spans="1:17" ht="20.85" customHeight="1" x14ac:dyDescent="0.25">
      <c r="A38" s="794" t="s">
        <v>446</v>
      </c>
      <c r="B38" s="794" t="s">
        <v>4128</v>
      </c>
    </row>
    <row r="39" spans="1:17" ht="20.85" customHeight="1" x14ac:dyDescent="0.25">
      <c r="A39" s="794" t="s">
        <v>447</v>
      </c>
      <c r="B39" s="794" t="s">
        <v>4128</v>
      </c>
    </row>
    <row r="40" spans="1:17" ht="20.85" customHeight="1" x14ac:dyDescent="0.25">
      <c r="A40" s="794" t="s">
        <v>448</v>
      </c>
      <c r="B40" s="794" t="s">
        <v>4128</v>
      </c>
    </row>
    <row r="41" spans="1:17" ht="20.85" customHeight="1" x14ac:dyDescent="0.25">
      <c r="A41" s="794" t="s">
        <v>450</v>
      </c>
      <c r="B41" s="794" t="s">
        <v>4128</v>
      </c>
      <c r="F41" s="1768" t="s">
        <v>973</v>
      </c>
      <c r="N41" s="1768" t="s">
        <v>973</v>
      </c>
      <c r="Q41" s="1768" t="s">
        <v>973</v>
      </c>
    </row>
    <row r="42" spans="1:17" ht="20.85" customHeight="1" x14ac:dyDescent="0.25">
      <c r="A42" s="794" t="s">
        <v>451</v>
      </c>
      <c r="B42" s="794" t="s">
        <v>4128</v>
      </c>
    </row>
    <row r="43" spans="1:17" ht="20.85" customHeight="1" x14ac:dyDescent="0.25">
      <c r="A43" s="794" t="s">
        <v>452</v>
      </c>
      <c r="B43" s="794" t="s">
        <v>4128</v>
      </c>
    </row>
    <row r="44" spans="1:17" ht="20.85" customHeight="1" x14ac:dyDescent="0.25">
      <c r="A44" s="794" t="s">
        <v>453</v>
      </c>
      <c r="B44" s="794" t="s">
        <v>4128</v>
      </c>
    </row>
    <row r="45" spans="1:17" ht="20.85" customHeight="1" x14ac:dyDescent="0.25">
      <c r="A45" s="794" t="s">
        <v>454</v>
      </c>
      <c r="B45" s="794" t="s">
        <v>4128</v>
      </c>
    </row>
    <row r="46" spans="1:17" ht="20.85" customHeight="1" x14ac:dyDescent="0.25">
      <c r="A46" s="794" t="s">
        <v>455</v>
      </c>
      <c r="B46" s="794" t="s">
        <v>4128</v>
      </c>
    </row>
    <row r="47" spans="1:17" ht="20.85" customHeight="1" x14ac:dyDescent="0.25">
      <c r="A47" s="794" t="s">
        <v>456</v>
      </c>
      <c r="B47" s="794" t="s">
        <v>4128</v>
      </c>
    </row>
    <row r="48" spans="1:17" ht="20.85" customHeight="1" x14ac:dyDescent="0.25">
      <c r="F48" s="1768" t="s">
        <v>973</v>
      </c>
    </row>
    <row r="49" spans="6:29" ht="20.85" customHeight="1" x14ac:dyDescent="0.25"/>
    <row r="50" spans="6:29" ht="20.85" customHeight="1" x14ac:dyDescent="0.25"/>
    <row r="51" spans="6:29" ht="20.85" customHeight="1" x14ac:dyDescent="0.25">
      <c r="F51" s="1800" t="s">
        <v>973</v>
      </c>
      <c r="G51" s="1800"/>
      <c r="M51" s="1800"/>
      <c r="N51" s="1801" t="s">
        <v>973</v>
      </c>
      <c r="O51" s="1801"/>
      <c r="Q51" s="1800" t="s">
        <v>973</v>
      </c>
      <c r="R51" s="1800"/>
      <c r="S51" s="1800"/>
      <c r="T51" s="1800"/>
      <c r="U51" s="1800"/>
      <c r="V51" s="1800"/>
      <c r="W51" s="1800"/>
      <c r="X51" s="1800"/>
      <c r="Y51" s="1800"/>
      <c r="Z51" s="1800"/>
      <c r="AA51" s="1800"/>
      <c r="AB51" s="1800"/>
      <c r="AC51" s="1800"/>
    </row>
  </sheetData>
  <sheetProtection algorithmName="SHA-512" hashValue="FREZkwklwfmpcmVD6nqISKbsJOnz31NGMTQjIrLRNnyc+RVwURIFDgizpg3OXnzbZJDXzKPHGGp7Oia/rmibPA==" saltValue="35DsVCV05pRaD7MNpb5h/w==" spinCount="100000" sheet="1" objects="1" scenarios="1" autoFilter="0"/>
  <dataConsolidate link="1"/>
  <mergeCells count="12">
    <mergeCell ref="Q1:Q3"/>
    <mergeCell ref="B2:P2"/>
    <mergeCell ref="B3:P3"/>
    <mergeCell ref="L5:P5"/>
    <mergeCell ref="B1:P1"/>
    <mergeCell ref="O4:P4"/>
    <mergeCell ref="D6:H6"/>
    <mergeCell ref="L6:P6"/>
    <mergeCell ref="B9:H9"/>
    <mergeCell ref="J9:P9"/>
    <mergeCell ref="F29:H29"/>
    <mergeCell ref="M29:N29"/>
  </mergeCells>
  <conditionalFormatting sqref="Q4:AC4 R1:AC3">
    <cfRule type="cellIs" dxfId="62" priority="3" stopIfTrue="1" operator="equal">
      <formula>"na"</formula>
    </cfRule>
  </conditionalFormatting>
  <conditionalFormatting sqref="Q1:Q3">
    <cfRule type="cellIs" dxfId="61" priority="2" stopIfTrue="1" operator="equal">
      <formula>"na"</formula>
    </cfRule>
  </conditionalFormatting>
  <conditionalFormatting sqref="AI1:AI3">
    <cfRule type="cellIs" dxfId="60" priority="1" stopIfTrue="1" operator="equal">
      <formula>"na"</formula>
    </cfRule>
  </conditionalFormatting>
  <dataValidations count="4">
    <dataValidation type="textLength" operator="equal" allowBlank="1" showInputMessage="1" showErrorMessage="1" errorTitle="Invalid data!" error="Company number must be 4 digits." sqref="IX13:IX27 ST13:ST27 ACP13:ACP27 AML13:AML27 AWH13:AWH27 BGD13:BGD27 BPZ13:BPZ27 BZV13:BZV27 CJR13:CJR27 CTN13:CTN27 DDJ13:DDJ27 DNF13:DNF27 DXB13:DXB27 EGX13:EGX27 EQT13:EQT27 FAP13:FAP27 FKL13:FKL27 FUH13:FUH27 GED13:GED27 GNZ13:GNZ27 GXV13:GXV27 HHR13:HHR27 HRN13:HRN27 IBJ13:IBJ27 ILF13:ILF27 IVB13:IVB27 JEX13:JEX27 JOT13:JOT27 JYP13:JYP27 KIL13:KIL27 KSH13:KSH27 LCD13:LCD27 LLZ13:LLZ27 LVV13:LVV27 MFR13:MFR27 MPN13:MPN27 MZJ13:MZJ27 NJF13:NJF27 NTB13:NTB27 OCX13:OCX27 OMT13:OMT27 OWP13:OWP27 PGL13:PGL27 PQH13:PQH27 QAD13:QAD27 QJZ13:QJZ27 QTV13:QTV27 RDR13:RDR27 RNN13:RNN27 RXJ13:RXJ27 SHF13:SHF27 SRB13:SRB27 TAX13:TAX27 TKT13:TKT27 TUP13:TUP27 UEL13:UEL27 UOH13:UOH27 UYD13:UYD27 VHZ13:VHZ27 VRV13:VRV27 WBR13:WBR27 WLN13:WLN27 WVJ13:WVJ27 B65549:B65563 IX65549:IX65563 ST65549:ST65563 ACP65549:ACP65563 AML65549:AML65563 AWH65549:AWH65563 BGD65549:BGD65563 BPZ65549:BPZ65563 BZV65549:BZV65563 CJR65549:CJR65563 CTN65549:CTN65563 DDJ65549:DDJ65563 DNF65549:DNF65563 DXB65549:DXB65563 EGX65549:EGX65563 EQT65549:EQT65563 FAP65549:FAP65563 FKL65549:FKL65563 FUH65549:FUH65563 GED65549:GED65563 GNZ65549:GNZ65563 GXV65549:GXV65563 HHR65549:HHR65563 HRN65549:HRN65563 IBJ65549:IBJ65563 ILF65549:ILF65563 IVB65549:IVB65563 JEX65549:JEX65563 JOT65549:JOT65563 JYP65549:JYP65563 KIL65549:KIL65563 KSH65549:KSH65563 LCD65549:LCD65563 LLZ65549:LLZ65563 LVV65549:LVV65563 MFR65549:MFR65563 MPN65549:MPN65563 MZJ65549:MZJ65563 NJF65549:NJF65563 NTB65549:NTB65563 OCX65549:OCX65563 OMT65549:OMT65563 OWP65549:OWP65563 PGL65549:PGL65563 PQH65549:PQH65563 QAD65549:QAD65563 QJZ65549:QJZ65563 QTV65549:QTV65563 RDR65549:RDR65563 RNN65549:RNN65563 RXJ65549:RXJ65563 SHF65549:SHF65563 SRB65549:SRB65563 TAX65549:TAX65563 TKT65549:TKT65563 TUP65549:TUP65563 UEL65549:UEL65563 UOH65549:UOH65563 UYD65549:UYD65563 VHZ65549:VHZ65563 VRV65549:VRV65563 WBR65549:WBR65563 WLN65549:WLN65563 WVJ65549:WVJ65563 B131085:B131099 IX131085:IX131099 ST131085:ST131099 ACP131085:ACP131099 AML131085:AML131099 AWH131085:AWH131099 BGD131085:BGD131099 BPZ131085:BPZ131099 BZV131085:BZV131099 CJR131085:CJR131099 CTN131085:CTN131099 DDJ131085:DDJ131099 DNF131085:DNF131099 DXB131085:DXB131099 EGX131085:EGX131099 EQT131085:EQT131099 FAP131085:FAP131099 FKL131085:FKL131099 FUH131085:FUH131099 GED131085:GED131099 GNZ131085:GNZ131099 GXV131085:GXV131099 HHR131085:HHR131099 HRN131085:HRN131099 IBJ131085:IBJ131099 ILF131085:ILF131099 IVB131085:IVB131099 JEX131085:JEX131099 JOT131085:JOT131099 JYP131085:JYP131099 KIL131085:KIL131099 KSH131085:KSH131099 LCD131085:LCD131099 LLZ131085:LLZ131099 LVV131085:LVV131099 MFR131085:MFR131099 MPN131085:MPN131099 MZJ131085:MZJ131099 NJF131085:NJF131099 NTB131085:NTB131099 OCX131085:OCX131099 OMT131085:OMT131099 OWP131085:OWP131099 PGL131085:PGL131099 PQH131085:PQH131099 QAD131085:QAD131099 QJZ131085:QJZ131099 QTV131085:QTV131099 RDR131085:RDR131099 RNN131085:RNN131099 RXJ131085:RXJ131099 SHF131085:SHF131099 SRB131085:SRB131099 TAX131085:TAX131099 TKT131085:TKT131099 TUP131085:TUP131099 UEL131085:UEL131099 UOH131085:UOH131099 UYD131085:UYD131099 VHZ131085:VHZ131099 VRV131085:VRV131099 WBR131085:WBR131099 WLN131085:WLN131099 WVJ131085:WVJ131099 B196621:B196635 IX196621:IX196635 ST196621:ST196635 ACP196621:ACP196635 AML196621:AML196635 AWH196621:AWH196635 BGD196621:BGD196635 BPZ196621:BPZ196635 BZV196621:BZV196635 CJR196621:CJR196635 CTN196621:CTN196635 DDJ196621:DDJ196635 DNF196621:DNF196635 DXB196621:DXB196635 EGX196621:EGX196635 EQT196621:EQT196635 FAP196621:FAP196635 FKL196621:FKL196635 FUH196621:FUH196635 GED196621:GED196635 GNZ196621:GNZ196635 GXV196621:GXV196635 HHR196621:HHR196635 HRN196621:HRN196635 IBJ196621:IBJ196635 ILF196621:ILF196635 IVB196621:IVB196635 JEX196621:JEX196635 JOT196621:JOT196635 JYP196621:JYP196635 KIL196621:KIL196635 KSH196621:KSH196635 LCD196621:LCD196635 LLZ196621:LLZ196635 LVV196621:LVV196635 MFR196621:MFR196635 MPN196621:MPN196635 MZJ196621:MZJ196635 NJF196621:NJF196635 NTB196621:NTB196635 OCX196621:OCX196635 OMT196621:OMT196635 OWP196621:OWP196635 PGL196621:PGL196635 PQH196621:PQH196635 QAD196621:QAD196635 QJZ196621:QJZ196635 QTV196621:QTV196635 RDR196621:RDR196635 RNN196621:RNN196635 RXJ196621:RXJ196635 SHF196621:SHF196635 SRB196621:SRB196635 TAX196621:TAX196635 TKT196621:TKT196635 TUP196621:TUP196635 UEL196621:UEL196635 UOH196621:UOH196635 UYD196621:UYD196635 VHZ196621:VHZ196635 VRV196621:VRV196635 WBR196621:WBR196635 WLN196621:WLN196635 WVJ196621:WVJ196635 B262157:B262171 IX262157:IX262171 ST262157:ST262171 ACP262157:ACP262171 AML262157:AML262171 AWH262157:AWH262171 BGD262157:BGD262171 BPZ262157:BPZ262171 BZV262157:BZV262171 CJR262157:CJR262171 CTN262157:CTN262171 DDJ262157:DDJ262171 DNF262157:DNF262171 DXB262157:DXB262171 EGX262157:EGX262171 EQT262157:EQT262171 FAP262157:FAP262171 FKL262157:FKL262171 FUH262157:FUH262171 GED262157:GED262171 GNZ262157:GNZ262171 GXV262157:GXV262171 HHR262157:HHR262171 HRN262157:HRN262171 IBJ262157:IBJ262171 ILF262157:ILF262171 IVB262157:IVB262171 JEX262157:JEX262171 JOT262157:JOT262171 JYP262157:JYP262171 KIL262157:KIL262171 KSH262157:KSH262171 LCD262157:LCD262171 LLZ262157:LLZ262171 LVV262157:LVV262171 MFR262157:MFR262171 MPN262157:MPN262171 MZJ262157:MZJ262171 NJF262157:NJF262171 NTB262157:NTB262171 OCX262157:OCX262171 OMT262157:OMT262171 OWP262157:OWP262171 PGL262157:PGL262171 PQH262157:PQH262171 QAD262157:QAD262171 QJZ262157:QJZ262171 QTV262157:QTV262171 RDR262157:RDR262171 RNN262157:RNN262171 RXJ262157:RXJ262171 SHF262157:SHF262171 SRB262157:SRB262171 TAX262157:TAX262171 TKT262157:TKT262171 TUP262157:TUP262171 UEL262157:UEL262171 UOH262157:UOH262171 UYD262157:UYD262171 VHZ262157:VHZ262171 VRV262157:VRV262171 WBR262157:WBR262171 WLN262157:WLN262171 WVJ262157:WVJ262171 B327693:B327707 IX327693:IX327707 ST327693:ST327707 ACP327693:ACP327707 AML327693:AML327707 AWH327693:AWH327707 BGD327693:BGD327707 BPZ327693:BPZ327707 BZV327693:BZV327707 CJR327693:CJR327707 CTN327693:CTN327707 DDJ327693:DDJ327707 DNF327693:DNF327707 DXB327693:DXB327707 EGX327693:EGX327707 EQT327693:EQT327707 FAP327693:FAP327707 FKL327693:FKL327707 FUH327693:FUH327707 GED327693:GED327707 GNZ327693:GNZ327707 GXV327693:GXV327707 HHR327693:HHR327707 HRN327693:HRN327707 IBJ327693:IBJ327707 ILF327693:ILF327707 IVB327693:IVB327707 JEX327693:JEX327707 JOT327693:JOT327707 JYP327693:JYP327707 KIL327693:KIL327707 KSH327693:KSH327707 LCD327693:LCD327707 LLZ327693:LLZ327707 LVV327693:LVV327707 MFR327693:MFR327707 MPN327693:MPN327707 MZJ327693:MZJ327707 NJF327693:NJF327707 NTB327693:NTB327707 OCX327693:OCX327707 OMT327693:OMT327707 OWP327693:OWP327707 PGL327693:PGL327707 PQH327693:PQH327707 QAD327693:QAD327707 QJZ327693:QJZ327707 QTV327693:QTV327707 RDR327693:RDR327707 RNN327693:RNN327707 RXJ327693:RXJ327707 SHF327693:SHF327707 SRB327693:SRB327707 TAX327693:TAX327707 TKT327693:TKT327707 TUP327693:TUP327707 UEL327693:UEL327707 UOH327693:UOH327707 UYD327693:UYD327707 VHZ327693:VHZ327707 VRV327693:VRV327707 WBR327693:WBR327707 WLN327693:WLN327707 WVJ327693:WVJ327707 B393229:B393243 IX393229:IX393243 ST393229:ST393243 ACP393229:ACP393243 AML393229:AML393243 AWH393229:AWH393243 BGD393229:BGD393243 BPZ393229:BPZ393243 BZV393229:BZV393243 CJR393229:CJR393243 CTN393229:CTN393243 DDJ393229:DDJ393243 DNF393229:DNF393243 DXB393229:DXB393243 EGX393229:EGX393243 EQT393229:EQT393243 FAP393229:FAP393243 FKL393229:FKL393243 FUH393229:FUH393243 GED393229:GED393243 GNZ393229:GNZ393243 GXV393229:GXV393243 HHR393229:HHR393243 HRN393229:HRN393243 IBJ393229:IBJ393243 ILF393229:ILF393243 IVB393229:IVB393243 JEX393229:JEX393243 JOT393229:JOT393243 JYP393229:JYP393243 KIL393229:KIL393243 KSH393229:KSH393243 LCD393229:LCD393243 LLZ393229:LLZ393243 LVV393229:LVV393243 MFR393229:MFR393243 MPN393229:MPN393243 MZJ393229:MZJ393243 NJF393229:NJF393243 NTB393229:NTB393243 OCX393229:OCX393243 OMT393229:OMT393243 OWP393229:OWP393243 PGL393229:PGL393243 PQH393229:PQH393243 QAD393229:QAD393243 QJZ393229:QJZ393243 QTV393229:QTV393243 RDR393229:RDR393243 RNN393229:RNN393243 RXJ393229:RXJ393243 SHF393229:SHF393243 SRB393229:SRB393243 TAX393229:TAX393243 TKT393229:TKT393243 TUP393229:TUP393243 UEL393229:UEL393243 UOH393229:UOH393243 UYD393229:UYD393243 VHZ393229:VHZ393243 VRV393229:VRV393243 WBR393229:WBR393243 WLN393229:WLN393243 WVJ393229:WVJ393243 B458765:B458779 IX458765:IX458779 ST458765:ST458779 ACP458765:ACP458779 AML458765:AML458779 AWH458765:AWH458779 BGD458765:BGD458779 BPZ458765:BPZ458779 BZV458765:BZV458779 CJR458765:CJR458779 CTN458765:CTN458779 DDJ458765:DDJ458779 DNF458765:DNF458779 DXB458765:DXB458779 EGX458765:EGX458779 EQT458765:EQT458779 FAP458765:FAP458779 FKL458765:FKL458779 FUH458765:FUH458779 GED458765:GED458779 GNZ458765:GNZ458779 GXV458765:GXV458779 HHR458765:HHR458779 HRN458765:HRN458779 IBJ458765:IBJ458779 ILF458765:ILF458779 IVB458765:IVB458779 JEX458765:JEX458779 JOT458765:JOT458779 JYP458765:JYP458779 KIL458765:KIL458779 KSH458765:KSH458779 LCD458765:LCD458779 LLZ458765:LLZ458779 LVV458765:LVV458779 MFR458765:MFR458779 MPN458765:MPN458779 MZJ458765:MZJ458779 NJF458765:NJF458779 NTB458765:NTB458779 OCX458765:OCX458779 OMT458765:OMT458779 OWP458765:OWP458779 PGL458765:PGL458779 PQH458765:PQH458779 QAD458765:QAD458779 QJZ458765:QJZ458779 QTV458765:QTV458779 RDR458765:RDR458779 RNN458765:RNN458779 RXJ458765:RXJ458779 SHF458765:SHF458779 SRB458765:SRB458779 TAX458765:TAX458779 TKT458765:TKT458779 TUP458765:TUP458779 UEL458765:UEL458779 UOH458765:UOH458779 UYD458765:UYD458779 VHZ458765:VHZ458779 VRV458765:VRV458779 WBR458765:WBR458779 WLN458765:WLN458779 WVJ458765:WVJ458779 B524301:B524315 IX524301:IX524315 ST524301:ST524315 ACP524301:ACP524315 AML524301:AML524315 AWH524301:AWH524315 BGD524301:BGD524315 BPZ524301:BPZ524315 BZV524301:BZV524315 CJR524301:CJR524315 CTN524301:CTN524315 DDJ524301:DDJ524315 DNF524301:DNF524315 DXB524301:DXB524315 EGX524301:EGX524315 EQT524301:EQT524315 FAP524301:FAP524315 FKL524301:FKL524315 FUH524301:FUH524315 GED524301:GED524315 GNZ524301:GNZ524315 GXV524301:GXV524315 HHR524301:HHR524315 HRN524301:HRN524315 IBJ524301:IBJ524315 ILF524301:ILF524315 IVB524301:IVB524315 JEX524301:JEX524315 JOT524301:JOT524315 JYP524301:JYP524315 KIL524301:KIL524315 KSH524301:KSH524315 LCD524301:LCD524315 LLZ524301:LLZ524315 LVV524301:LVV524315 MFR524301:MFR524315 MPN524301:MPN524315 MZJ524301:MZJ524315 NJF524301:NJF524315 NTB524301:NTB524315 OCX524301:OCX524315 OMT524301:OMT524315 OWP524301:OWP524315 PGL524301:PGL524315 PQH524301:PQH524315 QAD524301:QAD524315 QJZ524301:QJZ524315 QTV524301:QTV524315 RDR524301:RDR524315 RNN524301:RNN524315 RXJ524301:RXJ524315 SHF524301:SHF524315 SRB524301:SRB524315 TAX524301:TAX524315 TKT524301:TKT524315 TUP524301:TUP524315 UEL524301:UEL524315 UOH524301:UOH524315 UYD524301:UYD524315 VHZ524301:VHZ524315 VRV524301:VRV524315 WBR524301:WBR524315 WLN524301:WLN524315 WVJ524301:WVJ524315 B589837:B589851 IX589837:IX589851 ST589837:ST589851 ACP589837:ACP589851 AML589837:AML589851 AWH589837:AWH589851 BGD589837:BGD589851 BPZ589837:BPZ589851 BZV589837:BZV589851 CJR589837:CJR589851 CTN589837:CTN589851 DDJ589837:DDJ589851 DNF589837:DNF589851 DXB589837:DXB589851 EGX589837:EGX589851 EQT589837:EQT589851 FAP589837:FAP589851 FKL589837:FKL589851 FUH589837:FUH589851 GED589837:GED589851 GNZ589837:GNZ589851 GXV589837:GXV589851 HHR589837:HHR589851 HRN589837:HRN589851 IBJ589837:IBJ589851 ILF589837:ILF589851 IVB589837:IVB589851 JEX589837:JEX589851 JOT589837:JOT589851 JYP589837:JYP589851 KIL589837:KIL589851 KSH589837:KSH589851 LCD589837:LCD589851 LLZ589837:LLZ589851 LVV589837:LVV589851 MFR589837:MFR589851 MPN589837:MPN589851 MZJ589837:MZJ589851 NJF589837:NJF589851 NTB589837:NTB589851 OCX589837:OCX589851 OMT589837:OMT589851 OWP589837:OWP589851 PGL589837:PGL589851 PQH589837:PQH589851 QAD589837:QAD589851 QJZ589837:QJZ589851 QTV589837:QTV589851 RDR589837:RDR589851 RNN589837:RNN589851 RXJ589837:RXJ589851 SHF589837:SHF589851 SRB589837:SRB589851 TAX589837:TAX589851 TKT589837:TKT589851 TUP589837:TUP589851 UEL589837:UEL589851 UOH589837:UOH589851 UYD589837:UYD589851 VHZ589837:VHZ589851 VRV589837:VRV589851 WBR589837:WBR589851 WLN589837:WLN589851 WVJ589837:WVJ589851 B655373:B655387 IX655373:IX655387 ST655373:ST655387 ACP655373:ACP655387 AML655373:AML655387 AWH655373:AWH655387 BGD655373:BGD655387 BPZ655373:BPZ655387 BZV655373:BZV655387 CJR655373:CJR655387 CTN655373:CTN655387 DDJ655373:DDJ655387 DNF655373:DNF655387 DXB655373:DXB655387 EGX655373:EGX655387 EQT655373:EQT655387 FAP655373:FAP655387 FKL655373:FKL655387 FUH655373:FUH655387 GED655373:GED655387 GNZ655373:GNZ655387 GXV655373:GXV655387 HHR655373:HHR655387 HRN655373:HRN655387 IBJ655373:IBJ655387 ILF655373:ILF655387 IVB655373:IVB655387 JEX655373:JEX655387 JOT655373:JOT655387 JYP655373:JYP655387 KIL655373:KIL655387 KSH655373:KSH655387 LCD655373:LCD655387 LLZ655373:LLZ655387 LVV655373:LVV655387 MFR655373:MFR655387 MPN655373:MPN655387 MZJ655373:MZJ655387 NJF655373:NJF655387 NTB655373:NTB655387 OCX655373:OCX655387 OMT655373:OMT655387 OWP655373:OWP655387 PGL655373:PGL655387 PQH655373:PQH655387 QAD655373:QAD655387 QJZ655373:QJZ655387 QTV655373:QTV655387 RDR655373:RDR655387 RNN655373:RNN655387 RXJ655373:RXJ655387 SHF655373:SHF655387 SRB655373:SRB655387 TAX655373:TAX655387 TKT655373:TKT655387 TUP655373:TUP655387 UEL655373:UEL655387 UOH655373:UOH655387 UYD655373:UYD655387 VHZ655373:VHZ655387 VRV655373:VRV655387 WBR655373:WBR655387 WLN655373:WLN655387 WVJ655373:WVJ655387 B720909:B720923 IX720909:IX720923 ST720909:ST720923 ACP720909:ACP720923 AML720909:AML720923 AWH720909:AWH720923 BGD720909:BGD720923 BPZ720909:BPZ720923 BZV720909:BZV720923 CJR720909:CJR720923 CTN720909:CTN720923 DDJ720909:DDJ720923 DNF720909:DNF720923 DXB720909:DXB720923 EGX720909:EGX720923 EQT720909:EQT720923 FAP720909:FAP720923 FKL720909:FKL720923 FUH720909:FUH720923 GED720909:GED720923 GNZ720909:GNZ720923 GXV720909:GXV720923 HHR720909:HHR720923 HRN720909:HRN720923 IBJ720909:IBJ720923 ILF720909:ILF720923 IVB720909:IVB720923 JEX720909:JEX720923 JOT720909:JOT720923 JYP720909:JYP720923 KIL720909:KIL720923 KSH720909:KSH720923 LCD720909:LCD720923 LLZ720909:LLZ720923 LVV720909:LVV720923 MFR720909:MFR720923 MPN720909:MPN720923 MZJ720909:MZJ720923 NJF720909:NJF720923 NTB720909:NTB720923 OCX720909:OCX720923 OMT720909:OMT720923 OWP720909:OWP720923 PGL720909:PGL720923 PQH720909:PQH720923 QAD720909:QAD720923 QJZ720909:QJZ720923 QTV720909:QTV720923 RDR720909:RDR720923 RNN720909:RNN720923 RXJ720909:RXJ720923 SHF720909:SHF720923 SRB720909:SRB720923 TAX720909:TAX720923 TKT720909:TKT720923 TUP720909:TUP720923 UEL720909:UEL720923 UOH720909:UOH720923 UYD720909:UYD720923 VHZ720909:VHZ720923 VRV720909:VRV720923 WBR720909:WBR720923 WLN720909:WLN720923 WVJ720909:WVJ720923 B786445:B786459 IX786445:IX786459 ST786445:ST786459 ACP786445:ACP786459 AML786445:AML786459 AWH786445:AWH786459 BGD786445:BGD786459 BPZ786445:BPZ786459 BZV786445:BZV786459 CJR786445:CJR786459 CTN786445:CTN786459 DDJ786445:DDJ786459 DNF786445:DNF786459 DXB786445:DXB786459 EGX786445:EGX786459 EQT786445:EQT786459 FAP786445:FAP786459 FKL786445:FKL786459 FUH786445:FUH786459 GED786445:GED786459 GNZ786445:GNZ786459 GXV786445:GXV786459 HHR786445:HHR786459 HRN786445:HRN786459 IBJ786445:IBJ786459 ILF786445:ILF786459 IVB786445:IVB786459 JEX786445:JEX786459 JOT786445:JOT786459 JYP786445:JYP786459 KIL786445:KIL786459 KSH786445:KSH786459 LCD786445:LCD786459 LLZ786445:LLZ786459 LVV786445:LVV786459 MFR786445:MFR786459 MPN786445:MPN786459 MZJ786445:MZJ786459 NJF786445:NJF786459 NTB786445:NTB786459 OCX786445:OCX786459 OMT786445:OMT786459 OWP786445:OWP786459 PGL786445:PGL786459 PQH786445:PQH786459 QAD786445:QAD786459 QJZ786445:QJZ786459 QTV786445:QTV786459 RDR786445:RDR786459 RNN786445:RNN786459 RXJ786445:RXJ786459 SHF786445:SHF786459 SRB786445:SRB786459 TAX786445:TAX786459 TKT786445:TKT786459 TUP786445:TUP786459 UEL786445:UEL786459 UOH786445:UOH786459 UYD786445:UYD786459 VHZ786445:VHZ786459 VRV786445:VRV786459 WBR786445:WBR786459 WLN786445:WLN786459 WVJ786445:WVJ786459 B851981:B851995 IX851981:IX851995 ST851981:ST851995 ACP851981:ACP851995 AML851981:AML851995 AWH851981:AWH851995 BGD851981:BGD851995 BPZ851981:BPZ851995 BZV851981:BZV851995 CJR851981:CJR851995 CTN851981:CTN851995 DDJ851981:DDJ851995 DNF851981:DNF851995 DXB851981:DXB851995 EGX851981:EGX851995 EQT851981:EQT851995 FAP851981:FAP851995 FKL851981:FKL851995 FUH851981:FUH851995 GED851981:GED851995 GNZ851981:GNZ851995 GXV851981:GXV851995 HHR851981:HHR851995 HRN851981:HRN851995 IBJ851981:IBJ851995 ILF851981:ILF851995 IVB851981:IVB851995 JEX851981:JEX851995 JOT851981:JOT851995 JYP851981:JYP851995 KIL851981:KIL851995 KSH851981:KSH851995 LCD851981:LCD851995 LLZ851981:LLZ851995 LVV851981:LVV851995 MFR851981:MFR851995 MPN851981:MPN851995 MZJ851981:MZJ851995 NJF851981:NJF851995 NTB851981:NTB851995 OCX851981:OCX851995 OMT851981:OMT851995 OWP851981:OWP851995 PGL851981:PGL851995 PQH851981:PQH851995 QAD851981:QAD851995 QJZ851981:QJZ851995 QTV851981:QTV851995 RDR851981:RDR851995 RNN851981:RNN851995 RXJ851981:RXJ851995 SHF851981:SHF851995 SRB851981:SRB851995 TAX851981:TAX851995 TKT851981:TKT851995 TUP851981:TUP851995 UEL851981:UEL851995 UOH851981:UOH851995 UYD851981:UYD851995 VHZ851981:VHZ851995 VRV851981:VRV851995 WBR851981:WBR851995 WLN851981:WLN851995 WVJ851981:WVJ851995 B917517:B917531 IX917517:IX917531 ST917517:ST917531 ACP917517:ACP917531 AML917517:AML917531 AWH917517:AWH917531 BGD917517:BGD917531 BPZ917517:BPZ917531 BZV917517:BZV917531 CJR917517:CJR917531 CTN917517:CTN917531 DDJ917517:DDJ917531 DNF917517:DNF917531 DXB917517:DXB917531 EGX917517:EGX917531 EQT917517:EQT917531 FAP917517:FAP917531 FKL917517:FKL917531 FUH917517:FUH917531 GED917517:GED917531 GNZ917517:GNZ917531 GXV917517:GXV917531 HHR917517:HHR917531 HRN917517:HRN917531 IBJ917517:IBJ917531 ILF917517:ILF917531 IVB917517:IVB917531 JEX917517:JEX917531 JOT917517:JOT917531 JYP917517:JYP917531 KIL917517:KIL917531 KSH917517:KSH917531 LCD917517:LCD917531 LLZ917517:LLZ917531 LVV917517:LVV917531 MFR917517:MFR917531 MPN917517:MPN917531 MZJ917517:MZJ917531 NJF917517:NJF917531 NTB917517:NTB917531 OCX917517:OCX917531 OMT917517:OMT917531 OWP917517:OWP917531 PGL917517:PGL917531 PQH917517:PQH917531 QAD917517:QAD917531 QJZ917517:QJZ917531 QTV917517:QTV917531 RDR917517:RDR917531 RNN917517:RNN917531 RXJ917517:RXJ917531 SHF917517:SHF917531 SRB917517:SRB917531 TAX917517:TAX917531 TKT917517:TKT917531 TUP917517:TUP917531 UEL917517:UEL917531 UOH917517:UOH917531 UYD917517:UYD917531 VHZ917517:VHZ917531 VRV917517:VRV917531 WBR917517:WBR917531 WLN917517:WLN917531 WVJ917517:WVJ917531 B983053:B983067 IX983053:IX983067 ST983053:ST983067 ACP983053:ACP983067 AML983053:AML983067 AWH983053:AWH983067 BGD983053:BGD983067 BPZ983053:BPZ983067 BZV983053:BZV983067 CJR983053:CJR983067 CTN983053:CTN983067 DDJ983053:DDJ983067 DNF983053:DNF983067 DXB983053:DXB983067 EGX983053:EGX983067 EQT983053:EQT983067 FAP983053:FAP983067 FKL983053:FKL983067 FUH983053:FUH983067 GED983053:GED983067 GNZ983053:GNZ983067 GXV983053:GXV983067 HHR983053:HHR983067 HRN983053:HRN983067 IBJ983053:IBJ983067 ILF983053:ILF983067 IVB983053:IVB983067 JEX983053:JEX983067 JOT983053:JOT983067 JYP983053:JYP983067 KIL983053:KIL983067 KSH983053:KSH983067 LCD983053:LCD983067 LLZ983053:LLZ983067 LVV983053:LVV983067 MFR983053:MFR983067 MPN983053:MPN983067 MZJ983053:MZJ983067 NJF983053:NJF983067 NTB983053:NTB983067 OCX983053:OCX983067 OMT983053:OMT983067 OWP983053:OWP983067 PGL983053:PGL983067 PQH983053:PQH983067 QAD983053:QAD983067 QJZ983053:QJZ983067 QTV983053:QTV983067 RDR983053:RDR983067 RNN983053:RNN983067 RXJ983053:RXJ983067 SHF983053:SHF983067 SRB983053:SRB983067 TAX983053:TAX983067 TKT983053:TKT983067 TUP983053:TUP983067 UEL983053:UEL983067 UOH983053:UOH983067 UYD983053:UYD983067 VHZ983053:VHZ983067 VRV983053:VRV983067 WBR983053:WBR983067 WLN983053:WLN983067 WVJ983053:WVJ983067 WVR983053:WVR983067 JF13:JF27 TB13:TB27 ACX13:ACX27 AMT13:AMT27 AWP13:AWP27 BGL13:BGL27 BQH13:BQH27 CAD13:CAD27 CJZ13:CJZ27 CTV13:CTV27 DDR13:DDR27 DNN13:DNN27 DXJ13:DXJ27 EHF13:EHF27 ERB13:ERB27 FAX13:FAX27 FKT13:FKT27 FUP13:FUP27 GEL13:GEL27 GOH13:GOH27 GYD13:GYD27 HHZ13:HHZ27 HRV13:HRV27 IBR13:IBR27 ILN13:ILN27 IVJ13:IVJ27 JFF13:JFF27 JPB13:JPB27 JYX13:JYX27 KIT13:KIT27 KSP13:KSP27 LCL13:LCL27 LMH13:LMH27 LWD13:LWD27 MFZ13:MFZ27 MPV13:MPV27 MZR13:MZR27 NJN13:NJN27 NTJ13:NTJ27 ODF13:ODF27 ONB13:ONB27 OWX13:OWX27 PGT13:PGT27 PQP13:PQP27 QAL13:QAL27 QKH13:QKH27 QUD13:QUD27 RDZ13:RDZ27 RNV13:RNV27 RXR13:RXR27 SHN13:SHN27 SRJ13:SRJ27 TBF13:TBF27 TLB13:TLB27 TUX13:TUX27 UET13:UET27 UOP13:UOP27 UYL13:UYL27 VIH13:VIH27 VSD13:VSD27 WBZ13:WBZ27 WLV13:WLV27 WVR13:WVR27 J65549:J65563 JF65549:JF65563 TB65549:TB65563 ACX65549:ACX65563 AMT65549:AMT65563 AWP65549:AWP65563 BGL65549:BGL65563 BQH65549:BQH65563 CAD65549:CAD65563 CJZ65549:CJZ65563 CTV65549:CTV65563 DDR65549:DDR65563 DNN65549:DNN65563 DXJ65549:DXJ65563 EHF65549:EHF65563 ERB65549:ERB65563 FAX65549:FAX65563 FKT65549:FKT65563 FUP65549:FUP65563 GEL65549:GEL65563 GOH65549:GOH65563 GYD65549:GYD65563 HHZ65549:HHZ65563 HRV65549:HRV65563 IBR65549:IBR65563 ILN65549:ILN65563 IVJ65549:IVJ65563 JFF65549:JFF65563 JPB65549:JPB65563 JYX65549:JYX65563 KIT65549:KIT65563 KSP65549:KSP65563 LCL65549:LCL65563 LMH65549:LMH65563 LWD65549:LWD65563 MFZ65549:MFZ65563 MPV65549:MPV65563 MZR65549:MZR65563 NJN65549:NJN65563 NTJ65549:NTJ65563 ODF65549:ODF65563 ONB65549:ONB65563 OWX65549:OWX65563 PGT65549:PGT65563 PQP65549:PQP65563 QAL65549:QAL65563 QKH65549:QKH65563 QUD65549:QUD65563 RDZ65549:RDZ65563 RNV65549:RNV65563 RXR65549:RXR65563 SHN65549:SHN65563 SRJ65549:SRJ65563 TBF65549:TBF65563 TLB65549:TLB65563 TUX65549:TUX65563 UET65549:UET65563 UOP65549:UOP65563 UYL65549:UYL65563 VIH65549:VIH65563 VSD65549:VSD65563 WBZ65549:WBZ65563 WLV65549:WLV65563 WVR65549:WVR65563 J131085:J131099 JF131085:JF131099 TB131085:TB131099 ACX131085:ACX131099 AMT131085:AMT131099 AWP131085:AWP131099 BGL131085:BGL131099 BQH131085:BQH131099 CAD131085:CAD131099 CJZ131085:CJZ131099 CTV131085:CTV131099 DDR131085:DDR131099 DNN131085:DNN131099 DXJ131085:DXJ131099 EHF131085:EHF131099 ERB131085:ERB131099 FAX131085:FAX131099 FKT131085:FKT131099 FUP131085:FUP131099 GEL131085:GEL131099 GOH131085:GOH131099 GYD131085:GYD131099 HHZ131085:HHZ131099 HRV131085:HRV131099 IBR131085:IBR131099 ILN131085:ILN131099 IVJ131085:IVJ131099 JFF131085:JFF131099 JPB131085:JPB131099 JYX131085:JYX131099 KIT131085:KIT131099 KSP131085:KSP131099 LCL131085:LCL131099 LMH131085:LMH131099 LWD131085:LWD131099 MFZ131085:MFZ131099 MPV131085:MPV131099 MZR131085:MZR131099 NJN131085:NJN131099 NTJ131085:NTJ131099 ODF131085:ODF131099 ONB131085:ONB131099 OWX131085:OWX131099 PGT131085:PGT131099 PQP131085:PQP131099 QAL131085:QAL131099 QKH131085:QKH131099 QUD131085:QUD131099 RDZ131085:RDZ131099 RNV131085:RNV131099 RXR131085:RXR131099 SHN131085:SHN131099 SRJ131085:SRJ131099 TBF131085:TBF131099 TLB131085:TLB131099 TUX131085:TUX131099 UET131085:UET131099 UOP131085:UOP131099 UYL131085:UYL131099 VIH131085:VIH131099 VSD131085:VSD131099 WBZ131085:WBZ131099 WLV131085:WLV131099 WVR131085:WVR131099 J196621:J196635 JF196621:JF196635 TB196621:TB196635 ACX196621:ACX196635 AMT196621:AMT196635 AWP196621:AWP196635 BGL196621:BGL196635 BQH196621:BQH196635 CAD196621:CAD196635 CJZ196621:CJZ196635 CTV196621:CTV196635 DDR196621:DDR196635 DNN196621:DNN196635 DXJ196621:DXJ196635 EHF196621:EHF196635 ERB196621:ERB196635 FAX196621:FAX196635 FKT196621:FKT196635 FUP196621:FUP196635 GEL196621:GEL196635 GOH196621:GOH196635 GYD196621:GYD196635 HHZ196621:HHZ196635 HRV196621:HRV196635 IBR196621:IBR196635 ILN196621:ILN196635 IVJ196621:IVJ196635 JFF196621:JFF196635 JPB196621:JPB196635 JYX196621:JYX196635 KIT196621:KIT196635 KSP196621:KSP196635 LCL196621:LCL196635 LMH196621:LMH196635 LWD196621:LWD196635 MFZ196621:MFZ196635 MPV196621:MPV196635 MZR196621:MZR196635 NJN196621:NJN196635 NTJ196621:NTJ196635 ODF196621:ODF196635 ONB196621:ONB196635 OWX196621:OWX196635 PGT196621:PGT196635 PQP196621:PQP196635 QAL196621:QAL196635 QKH196621:QKH196635 QUD196621:QUD196635 RDZ196621:RDZ196635 RNV196621:RNV196635 RXR196621:RXR196635 SHN196621:SHN196635 SRJ196621:SRJ196635 TBF196621:TBF196635 TLB196621:TLB196635 TUX196621:TUX196635 UET196621:UET196635 UOP196621:UOP196635 UYL196621:UYL196635 VIH196621:VIH196635 VSD196621:VSD196635 WBZ196621:WBZ196635 WLV196621:WLV196635 WVR196621:WVR196635 J262157:J262171 JF262157:JF262171 TB262157:TB262171 ACX262157:ACX262171 AMT262157:AMT262171 AWP262157:AWP262171 BGL262157:BGL262171 BQH262157:BQH262171 CAD262157:CAD262171 CJZ262157:CJZ262171 CTV262157:CTV262171 DDR262157:DDR262171 DNN262157:DNN262171 DXJ262157:DXJ262171 EHF262157:EHF262171 ERB262157:ERB262171 FAX262157:FAX262171 FKT262157:FKT262171 FUP262157:FUP262171 GEL262157:GEL262171 GOH262157:GOH262171 GYD262157:GYD262171 HHZ262157:HHZ262171 HRV262157:HRV262171 IBR262157:IBR262171 ILN262157:ILN262171 IVJ262157:IVJ262171 JFF262157:JFF262171 JPB262157:JPB262171 JYX262157:JYX262171 KIT262157:KIT262171 KSP262157:KSP262171 LCL262157:LCL262171 LMH262157:LMH262171 LWD262157:LWD262171 MFZ262157:MFZ262171 MPV262157:MPV262171 MZR262157:MZR262171 NJN262157:NJN262171 NTJ262157:NTJ262171 ODF262157:ODF262171 ONB262157:ONB262171 OWX262157:OWX262171 PGT262157:PGT262171 PQP262157:PQP262171 QAL262157:QAL262171 QKH262157:QKH262171 QUD262157:QUD262171 RDZ262157:RDZ262171 RNV262157:RNV262171 RXR262157:RXR262171 SHN262157:SHN262171 SRJ262157:SRJ262171 TBF262157:TBF262171 TLB262157:TLB262171 TUX262157:TUX262171 UET262157:UET262171 UOP262157:UOP262171 UYL262157:UYL262171 VIH262157:VIH262171 VSD262157:VSD262171 WBZ262157:WBZ262171 WLV262157:WLV262171 WVR262157:WVR262171 J327693:J327707 JF327693:JF327707 TB327693:TB327707 ACX327693:ACX327707 AMT327693:AMT327707 AWP327693:AWP327707 BGL327693:BGL327707 BQH327693:BQH327707 CAD327693:CAD327707 CJZ327693:CJZ327707 CTV327693:CTV327707 DDR327693:DDR327707 DNN327693:DNN327707 DXJ327693:DXJ327707 EHF327693:EHF327707 ERB327693:ERB327707 FAX327693:FAX327707 FKT327693:FKT327707 FUP327693:FUP327707 GEL327693:GEL327707 GOH327693:GOH327707 GYD327693:GYD327707 HHZ327693:HHZ327707 HRV327693:HRV327707 IBR327693:IBR327707 ILN327693:ILN327707 IVJ327693:IVJ327707 JFF327693:JFF327707 JPB327693:JPB327707 JYX327693:JYX327707 KIT327693:KIT327707 KSP327693:KSP327707 LCL327693:LCL327707 LMH327693:LMH327707 LWD327693:LWD327707 MFZ327693:MFZ327707 MPV327693:MPV327707 MZR327693:MZR327707 NJN327693:NJN327707 NTJ327693:NTJ327707 ODF327693:ODF327707 ONB327693:ONB327707 OWX327693:OWX327707 PGT327693:PGT327707 PQP327693:PQP327707 QAL327693:QAL327707 QKH327693:QKH327707 QUD327693:QUD327707 RDZ327693:RDZ327707 RNV327693:RNV327707 RXR327693:RXR327707 SHN327693:SHN327707 SRJ327693:SRJ327707 TBF327693:TBF327707 TLB327693:TLB327707 TUX327693:TUX327707 UET327693:UET327707 UOP327693:UOP327707 UYL327693:UYL327707 VIH327693:VIH327707 VSD327693:VSD327707 WBZ327693:WBZ327707 WLV327693:WLV327707 WVR327693:WVR327707 J393229:J393243 JF393229:JF393243 TB393229:TB393243 ACX393229:ACX393243 AMT393229:AMT393243 AWP393229:AWP393243 BGL393229:BGL393243 BQH393229:BQH393243 CAD393229:CAD393243 CJZ393229:CJZ393243 CTV393229:CTV393243 DDR393229:DDR393243 DNN393229:DNN393243 DXJ393229:DXJ393243 EHF393229:EHF393243 ERB393229:ERB393243 FAX393229:FAX393243 FKT393229:FKT393243 FUP393229:FUP393243 GEL393229:GEL393243 GOH393229:GOH393243 GYD393229:GYD393243 HHZ393229:HHZ393243 HRV393229:HRV393243 IBR393229:IBR393243 ILN393229:ILN393243 IVJ393229:IVJ393243 JFF393229:JFF393243 JPB393229:JPB393243 JYX393229:JYX393243 KIT393229:KIT393243 KSP393229:KSP393243 LCL393229:LCL393243 LMH393229:LMH393243 LWD393229:LWD393243 MFZ393229:MFZ393243 MPV393229:MPV393243 MZR393229:MZR393243 NJN393229:NJN393243 NTJ393229:NTJ393243 ODF393229:ODF393243 ONB393229:ONB393243 OWX393229:OWX393243 PGT393229:PGT393243 PQP393229:PQP393243 QAL393229:QAL393243 QKH393229:QKH393243 QUD393229:QUD393243 RDZ393229:RDZ393243 RNV393229:RNV393243 RXR393229:RXR393243 SHN393229:SHN393243 SRJ393229:SRJ393243 TBF393229:TBF393243 TLB393229:TLB393243 TUX393229:TUX393243 UET393229:UET393243 UOP393229:UOP393243 UYL393229:UYL393243 VIH393229:VIH393243 VSD393229:VSD393243 WBZ393229:WBZ393243 WLV393229:WLV393243 WVR393229:WVR393243 J458765:J458779 JF458765:JF458779 TB458765:TB458779 ACX458765:ACX458779 AMT458765:AMT458779 AWP458765:AWP458779 BGL458765:BGL458779 BQH458765:BQH458779 CAD458765:CAD458779 CJZ458765:CJZ458779 CTV458765:CTV458779 DDR458765:DDR458779 DNN458765:DNN458779 DXJ458765:DXJ458779 EHF458765:EHF458779 ERB458765:ERB458779 FAX458765:FAX458779 FKT458765:FKT458779 FUP458765:FUP458779 GEL458765:GEL458779 GOH458765:GOH458779 GYD458765:GYD458779 HHZ458765:HHZ458779 HRV458765:HRV458779 IBR458765:IBR458779 ILN458765:ILN458779 IVJ458765:IVJ458779 JFF458765:JFF458779 JPB458765:JPB458779 JYX458765:JYX458779 KIT458765:KIT458779 KSP458765:KSP458779 LCL458765:LCL458779 LMH458765:LMH458779 LWD458765:LWD458779 MFZ458765:MFZ458779 MPV458765:MPV458779 MZR458765:MZR458779 NJN458765:NJN458779 NTJ458765:NTJ458779 ODF458765:ODF458779 ONB458765:ONB458779 OWX458765:OWX458779 PGT458765:PGT458779 PQP458765:PQP458779 QAL458765:QAL458779 QKH458765:QKH458779 QUD458765:QUD458779 RDZ458765:RDZ458779 RNV458765:RNV458779 RXR458765:RXR458779 SHN458765:SHN458779 SRJ458765:SRJ458779 TBF458765:TBF458779 TLB458765:TLB458779 TUX458765:TUX458779 UET458765:UET458779 UOP458765:UOP458779 UYL458765:UYL458779 VIH458765:VIH458779 VSD458765:VSD458779 WBZ458765:WBZ458779 WLV458765:WLV458779 WVR458765:WVR458779 J524301:J524315 JF524301:JF524315 TB524301:TB524315 ACX524301:ACX524315 AMT524301:AMT524315 AWP524301:AWP524315 BGL524301:BGL524315 BQH524301:BQH524315 CAD524301:CAD524315 CJZ524301:CJZ524315 CTV524301:CTV524315 DDR524301:DDR524315 DNN524301:DNN524315 DXJ524301:DXJ524315 EHF524301:EHF524315 ERB524301:ERB524315 FAX524301:FAX524315 FKT524301:FKT524315 FUP524301:FUP524315 GEL524301:GEL524315 GOH524301:GOH524315 GYD524301:GYD524315 HHZ524301:HHZ524315 HRV524301:HRV524315 IBR524301:IBR524315 ILN524301:ILN524315 IVJ524301:IVJ524315 JFF524301:JFF524315 JPB524301:JPB524315 JYX524301:JYX524315 KIT524301:KIT524315 KSP524301:KSP524315 LCL524301:LCL524315 LMH524301:LMH524315 LWD524301:LWD524315 MFZ524301:MFZ524315 MPV524301:MPV524315 MZR524301:MZR524315 NJN524301:NJN524315 NTJ524301:NTJ524315 ODF524301:ODF524315 ONB524301:ONB524315 OWX524301:OWX524315 PGT524301:PGT524315 PQP524301:PQP524315 QAL524301:QAL524315 QKH524301:QKH524315 QUD524301:QUD524315 RDZ524301:RDZ524315 RNV524301:RNV524315 RXR524301:RXR524315 SHN524301:SHN524315 SRJ524301:SRJ524315 TBF524301:TBF524315 TLB524301:TLB524315 TUX524301:TUX524315 UET524301:UET524315 UOP524301:UOP524315 UYL524301:UYL524315 VIH524301:VIH524315 VSD524301:VSD524315 WBZ524301:WBZ524315 WLV524301:WLV524315 WVR524301:WVR524315 J589837:J589851 JF589837:JF589851 TB589837:TB589851 ACX589837:ACX589851 AMT589837:AMT589851 AWP589837:AWP589851 BGL589837:BGL589851 BQH589837:BQH589851 CAD589837:CAD589851 CJZ589837:CJZ589851 CTV589837:CTV589851 DDR589837:DDR589851 DNN589837:DNN589851 DXJ589837:DXJ589851 EHF589837:EHF589851 ERB589837:ERB589851 FAX589837:FAX589851 FKT589837:FKT589851 FUP589837:FUP589851 GEL589837:GEL589851 GOH589837:GOH589851 GYD589837:GYD589851 HHZ589837:HHZ589851 HRV589837:HRV589851 IBR589837:IBR589851 ILN589837:ILN589851 IVJ589837:IVJ589851 JFF589837:JFF589851 JPB589837:JPB589851 JYX589837:JYX589851 KIT589837:KIT589851 KSP589837:KSP589851 LCL589837:LCL589851 LMH589837:LMH589851 LWD589837:LWD589851 MFZ589837:MFZ589851 MPV589837:MPV589851 MZR589837:MZR589851 NJN589837:NJN589851 NTJ589837:NTJ589851 ODF589837:ODF589851 ONB589837:ONB589851 OWX589837:OWX589851 PGT589837:PGT589851 PQP589837:PQP589851 QAL589837:QAL589851 QKH589837:QKH589851 QUD589837:QUD589851 RDZ589837:RDZ589851 RNV589837:RNV589851 RXR589837:RXR589851 SHN589837:SHN589851 SRJ589837:SRJ589851 TBF589837:TBF589851 TLB589837:TLB589851 TUX589837:TUX589851 UET589837:UET589851 UOP589837:UOP589851 UYL589837:UYL589851 VIH589837:VIH589851 VSD589837:VSD589851 WBZ589837:WBZ589851 WLV589837:WLV589851 WVR589837:WVR589851 J655373:J655387 JF655373:JF655387 TB655373:TB655387 ACX655373:ACX655387 AMT655373:AMT655387 AWP655373:AWP655387 BGL655373:BGL655387 BQH655373:BQH655387 CAD655373:CAD655387 CJZ655373:CJZ655387 CTV655373:CTV655387 DDR655373:DDR655387 DNN655373:DNN655387 DXJ655373:DXJ655387 EHF655373:EHF655387 ERB655373:ERB655387 FAX655373:FAX655387 FKT655373:FKT655387 FUP655373:FUP655387 GEL655373:GEL655387 GOH655373:GOH655387 GYD655373:GYD655387 HHZ655373:HHZ655387 HRV655373:HRV655387 IBR655373:IBR655387 ILN655373:ILN655387 IVJ655373:IVJ655387 JFF655373:JFF655387 JPB655373:JPB655387 JYX655373:JYX655387 KIT655373:KIT655387 KSP655373:KSP655387 LCL655373:LCL655387 LMH655373:LMH655387 LWD655373:LWD655387 MFZ655373:MFZ655387 MPV655373:MPV655387 MZR655373:MZR655387 NJN655373:NJN655387 NTJ655373:NTJ655387 ODF655373:ODF655387 ONB655373:ONB655387 OWX655373:OWX655387 PGT655373:PGT655387 PQP655373:PQP655387 QAL655373:QAL655387 QKH655373:QKH655387 QUD655373:QUD655387 RDZ655373:RDZ655387 RNV655373:RNV655387 RXR655373:RXR655387 SHN655373:SHN655387 SRJ655373:SRJ655387 TBF655373:TBF655387 TLB655373:TLB655387 TUX655373:TUX655387 UET655373:UET655387 UOP655373:UOP655387 UYL655373:UYL655387 VIH655373:VIH655387 VSD655373:VSD655387 WBZ655373:WBZ655387 WLV655373:WLV655387 WVR655373:WVR655387 J720909:J720923 JF720909:JF720923 TB720909:TB720923 ACX720909:ACX720923 AMT720909:AMT720923 AWP720909:AWP720923 BGL720909:BGL720923 BQH720909:BQH720923 CAD720909:CAD720923 CJZ720909:CJZ720923 CTV720909:CTV720923 DDR720909:DDR720923 DNN720909:DNN720923 DXJ720909:DXJ720923 EHF720909:EHF720923 ERB720909:ERB720923 FAX720909:FAX720923 FKT720909:FKT720923 FUP720909:FUP720923 GEL720909:GEL720923 GOH720909:GOH720923 GYD720909:GYD720923 HHZ720909:HHZ720923 HRV720909:HRV720923 IBR720909:IBR720923 ILN720909:ILN720923 IVJ720909:IVJ720923 JFF720909:JFF720923 JPB720909:JPB720923 JYX720909:JYX720923 KIT720909:KIT720923 KSP720909:KSP720923 LCL720909:LCL720923 LMH720909:LMH720923 LWD720909:LWD720923 MFZ720909:MFZ720923 MPV720909:MPV720923 MZR720909:MZR720923 NJN720909:NJN720923 NTJ720909:NTJ720923 ODF720909:ODF720923 ONB720909:ONB720923 OWX720909:OWX720923 PGT720909:PGT720923 PQP720909:PQP720923 QAL720909:QAL720923 QKH720909:QKH720923 QUD720909:QUD720923 RDZ720909:RDZ720923 RNV720909:RNV720923 RXR720909:RXR720923 SHN720909:SHN720923 SRJ720909:SRJ720923 TBF720909:TBF720923 TLB720909:TLB720923 TUX720909:TUX720923 UET720909:UET720923 UOP720909:UOP720923 UYL720909:UYL720923 VIH720909:VIH720923 VSD720909:VSD720923 WBZ720909:WBZ720923 WLV720909:WLV720923 WVR720909:WVR720923 J786445:J786459 JF786445:JF786459 TB786445:TB786459 ACX786445:ACX786459 AMT786445:AMT786459 AWP786445:AWP786459 BGL786445:BGL786459 BQH786445:BQH786459 CAD786445:CAD786459 CJZ786445:CJZ786459 CTV786445:CTV786459 DDR786445:DDR786459 DNN786445:DNN786459 DXJ786445:DXJ786459 EHF786445:EHF786459 ERB786445:ERB786459 FAX786445:FAX786459 FKT786445:FKT786459 FUP786445:FUP786459 GEL786445:GEL786459 GOH786445:GOH786459 GYD786445:GYD786459 HHZ786445:HHZ786459 HRV786445:HRV786459 IBR786445:IBR786459 ILN786445:ILN786459 IVJ786445:IVJ786459 JFF786445:JFF786459 JPB786445:JPB786459 JYX786445:JYX786459 KIT786445:KIT786459 KSP786445:KSP786459 LCL786445:LCL786459 LMH786445:LMH786459 LWD786445:LWD786459 MFZ786445:MFZ786459 MPV786445:MPV786459 MZR786445:MZR786459 NJN786445:NJN786459 NTJ786445:NTJ786459 ODF786445:ODF786459 ONB786445:ONB786459 OWX786445:OWX786459 PGT786445:PGT786459 PQP786445:PQP786459 QAL786445:QAL786459 QKH786445:QKH786459 QUD786445:QUD786459 RDZ786445:RDZ786459 RNV786445:RNV786459 RXR786445:RXR786459 SHN786445:SHN786459 SRJ786445:SRJ786459 TBF786445:TBF786459 TLB786445:TLB786459 TUX786445:TUX786459 UET786445:UET786459 UOP786445:UOP786459 UYL786445:UYL786459 VIH786445:VIH786459 VSD786445:VSD786459 WBZ786445:WBZ786459 WLV786445:WLV786459 WVR786445:WVR786459 J851981:J851995 JF851981:JF851995 TB851981:TB851995 ACX851981:ACX851995 AMT851981:AMT851995 AWP851981:AWP851995 BGL851981:BGL851995 BQH851981:BQH851995 CAD851981:CAD851995 CJZ851981:CJZ851995 CTV851981:CTV851995 DDR851981:DDR851995 DNN851981:DNN851995 DXJ851981:DXJ851995 EHF851981:EHF851995 ERB851981:ERB851995 FAX851981:FAX851995 FKT851981:FKT851995 FUP851981:FUP851995 GEL851981:GEL851995 GOH851981:GOH851995 GYD851981:GYD851995 HHZ851981:HHZ851995 HRV851981:HRV851995 IBR851981:IBR851995 ILN851981:ILN851995 IVJ851981:IVJ851995 JFF851981:JFF851995 JPB851981:JPB851995 JYX851981:JYX851995 KIT851981:KIT851995 KSP851981:KSP851995 LCL851981:LCL851995 LMH851981:LMH851995 LWD851981:LWD851995 MFZ851981:MFZ851995 MPV851981:MPV851995 MZR851981:MZR851995 NJN851981:NJN851995 NTJ851981:NTJ851995 ODF851981:ODF851995 ONB851981:ONB851995 OWX851981:OWX851995 PGT851981:PGT851995 PQP851981:PQP851995 QAL851981:QAL851995 QKH851981:QKH851995 QUD851981:QUD851995 RDZ851981:RDZ851995 RNV851981:RNV851995 RXR851981:RXR851995 SHN851981:SHN851995 SRJ851981:SRJ851995 TBF851981:TBF851995 TLB851981:TLB851995 TUX851981:TUX851995 UET851981:UET851995 UOP851981:UOP851995 UYL851981:UYL851995 VIH851981:VIH851995 VSD851981:VSD851995 WBZ851981:WBZ851995 WLV851981:WLV851995 WVR851981:WVR851995 J917517:J917531 JF917517:JF917531 TB917517:TB917531 ACX917517:ACX917531 AMT917517:AMT917531 AWP917517:AWP917531 BGL917517:BGL917531 BQH917517:BQH917531 CAD917517:CAD917531 CJZ917517:CJZ917531 CTV917517:CTV917531 DDR917517:DDR917531 DNN917517:DNN917531 DXJ917517:DXJ917531 EHF917517:EHF917531 ERB917517:ERB917531 FAX917517:FAX917531 FKT917517:FKT917531 FUP917517:FUP917531 GEL917517:GEL917531 GOH917517:GOH917531 GYD917517:GYD917531 HHZ917517:HHZ917531 HRV917517:HRV917531 IBR917517:IBR917531 ILN917517:ILN917531 IVJ917517:IVJ917531 JFF917517:JFF917531 JPB917517:JPB917531 JYX917517:JYX917531 KIT917517:KIT917531 KSP917517:KSP917531 LCL917517:LCL917531 LMH917517:LMH917531 LWD917517:LWD917531 MFZ917517:MFZ917531 MPV917517:MPV917531 MZR917517:MZR917531 NJN917517:NJN917531 NTJ917517:NTJ917531 ODF917517:ODF917531 ONB917517:ONB917531 OWX917517:OWX917531 PGT917517:PGT917531 PQP917517:PQP917531 QAL917517:QAL917531 QKH917517:QKH917531 QUD917517:QUD917531 RDZ917517:RDZ917531 RNV917517:RNV917531 RXR917517:RXR917531 SHN917517:SHN917531 SRJ917517:SRJ917531 TBF917517:TBF917531 TLB917517:TLB917531 TUX917517:TUX917531 UET917517:UET917531 UOP917517:UOP917531 UYL917517:UYL917531 VIH917517:VIH917531 VSD917517:VSD917531 WBZ917517:WBZ917531 WLV917517:WLV917531 WVR917517:WVR917531 J983053:J983067 JF983053:JF983067 TB983053:TB983067 ACX983053:ACX983067 AMT983053:AMT983067 AWP983053:AWP983067 BGL983053:BGL983067 BQH983053:BQH983067 CAD983053:CAD983067 CJZ983053:CJZ983067 CTV983053:CTV983067 DDR983053:DDR983067 DNN983053:DNN983067 DXJ983053:DXJ983067 EHF983053:EHF983067 ERB983053:ERB983067 FAX983053:FAX983067 FKT983053:FKT983067 FUP983053:FUP983067 GEL983053:GEL983067 GOH983053:GOH983067 GYD983053:GYD983067 HHZ983053:HHZ983067 HRV983053:HRV983067 IBR983053:IBR983067 ILN983053:ILN983067 IVJ983053:IVJ983067 JFF983053:JFF983067 JPB983053:JPB983067 JYX983053:JYX983067 KIT983053:KIT983067 KSP983053:KSP983067 LCL983053:LCL983067 LMH983053:LMH983067 LWD983053:LWD983067 MFZ983053:MFZ983067 MPV983053:MPV983067 MZR983053:MZR983067 NJN983053:NJN983067 NTJ983053:NTJ983067 ODF983053:ODF983067 ONB983053:ONB983067 OWX983053:OWX983067 PGT983053:PGT983067 PQP983053:PQP983067 QAL983053:QAL983067 QKH983053:QKH983067 QUD983053:QUD983067 RDZ983053:RDZ983067 RNV983053:RNV983067 RXR983053:RXR983067 SHN983053:SHN983067 SRJ983053:SRJ983067 TBF983053:TBF983067 TLB983053:TLB983067 TUX983053:TUX983067 UET983053:UET983067 UOP983053:UOP983067 UYL983053:UYL983067 VIH983053:VIH983067 VSD983053:VSD983067 WBZ983053:WBZ983067 WLV983053:WLV983067 J13:J27 B13:B27" xr:uid="{00000000-0002-0000-2E00-000000000000}">
      <formula1>4</formula1>
    </dataValidation>
    <dataValidation type="textLength" operator="equal" allowBlank="1" showInputMessage="1" showErrorMessage="1" errorTitle="Invalid data!" error="GASB number must be 4 digits." sqref="IZ13:IZ27 SV13:SV27 ACR13:ACR27 AMN13:AMN27 AWJ13:AWJ27 BGF13:BGF27 BQB13:BQB27 BZX13:BZX27 CJT13:CJT27 CTP13:CTP27 DDL13:DDL27 DNH13:DNH27 DXD13:DXD27 EGZ13:EGZ27 EQV13:EQV27 FAR13:FAR27 FKN13:FKN27 FUJ13:FUJ27 GEF13:GEF27 GOB13:GOB27 GXX13:GXX27 HHT13:HHT27 HRP13:HRP27 IBL13:IBL27 ILH13:ILH27 IVD13:IVD27 JEZ13:JEZ27 JOV13:JOV27 JYR13:JYR27 KIN13:KIN27 KSJ13:KSJ27 LCF13:LCF27 LMB13:LMB27 LVX13:LVX27 MFT13:MFT27 MPP13:MPP27 MZL13:MZL27 NJH13:NJH27 NTD13:NTD27 OCZ13:OCZ27 OMV13:OMV27 OWR13:OWR27 PGN13:PGN27 PQJ13:PQJ27 QAF13:QAF27 QKB13:QKB27 QTX13:QTX27 RDT13:RDT27 RNP13:RNP27 RXL13:RXL27 SHH13:SHH27 SRD13:SRD27 TAZ13:TAZ27 TKV13:TKV27 TUR13:TUR27 UEN13:UEN27 UOJ13:UOJ27 UYF13:UYF27 VIB13:VIB27 VRX13:VRX27 WBT13:WBT27 WLP13:WLP27 WVL13:WVL27 D65549:D65563 IZ65549:IZ65563 SV65549:SV65563 ACR65549:ACR65563 AMN65549:AMN65563 AWJ65549:AWJ65563 BGF65549:BGF65563 BQB65549:BQB65563 BZX65549:BZX65563 CJT65549:CJT65563 CTP65549:CTP65563 DDL65549:DDL65563 DNH65549:DNH65563 DXD65549:DXD65563 EGZ65549:EGZ65563 EQV65549:EQV65563 FAR65549:FAR65563 FKN65549:FKN65563 FUJ65549:FUJ65563 GEF65549:GEF65563 GOB65549:GOB65563 GXX65549:GXX65563 HHT65549:HHT65563 HRP65549:HRP65563 IBL65549:IBL65563 ILH65549:ILH65563 IVD65549:IVD65563 JEZ65549:JEZ65563 JOV65549:JOV65563 JYR65549:JYR65563 KIN65549:KIN65563 KSJ65549:KSJ65563 LCF65549:LCF65563 LMB65549:LMB65563 LVX65549:LVX65563 MFT65549:MFT65563 MPP65549:MPP65563 MZL65549:MZL65563 NJH65549:NJH65563 NTD65549:NTD65563 OCZ65549:OCZ65563 OMV65549:OMV65563 OWR65549:OWR65563 PGN65549:PGN65563 PQJ65549:PQJ65563 QAF65549:QAF65563 QKB65549:QKB65563 QTX65549:QTX65563 RDT65549:RDT65563 RNP65549:RNP65563 RXL65549:RXL65563 SHH65549:SHH65563 SRD65549:SRD65563 TAZ65549:TAZ65563 TKV65549:TKV65563 TUR65549:TUR65563 UEN65549:UEN65563 UOJ65549:UOJ65563 UYF65549:UYF65563 VIB65549:VIB65563 VRX65549:VRX65563 WBT65549:WBT65563 WLP65549:WLP65563 WVL65549:WVL65563 D131085:D131099 IZ131085:IZ131099 SV131085:SV131099 ACR131085:ACR131099 AMN131085:AMN131099 AWJ131085:AWJ131099 BGF131085:BGF131099 BQB131085:BQB131099 BZX131085:BZX131099 CJT131085:CJT131099 CTP131085:CTP131099 DDL131085:DDL131099 DNH131085:DNH131099 DXD131085:DXD131099 EGZ131085:EGZ131099 EQV131085:EQV131099 FAR131085:FAR131099 FKN131085:FKN131099 FUJ131085:FUJ131099 GEF131085:GEF131099 GOB131085:GOB131099 GXX131085:GXX131099 HHT131085:HHT131099 HRP131085:HRP131099 IBL131085:IBL131099 ILH131085:ILH131099 IVD131085:IVD131099 JEZ131085:JEZ131099 JOV131085:JOV131099 JYR131085:JYR131099 KIN131085:KIN131099 KSJ131085:KSJ131099 LCF131085:LCF131099 LMB131085:LMB131099 LVX131085:LVX131099 MFT131085:MFT131099 MPP131085:MPP131099 MZL131085:MZL131099 NJH131085:NJH131099 NTD131085:NTD131099 OCZ131085:OCZ131099 OMV131085:OMV131099 OWR131085:OWR131099 PGN131085:PGN131099 PQJ131085:PQJ131099 QAF131085:QAF131099 QKB131085:QKB131099 QTX131085:QTX131099 RDT131085:RDT131099 RNP131085:RNP131099 RXL131085:RXL131099 SHH131085:SHH131099 SRD131085:SRD131099 TAZ131085:TAZ131099 TKV131085:TKV131099 TUR131085:TUR131099 UEN131085:UEN131099 UOJ131085:UOJ131099 UYF131085:UYF131099 VIB131085:VIB131099 VRX131085:VRX131099 WBT131085:WBT131099 WLP131085:WLP131099 WVL131085:WVL131099 D196621:D196635 IZ196621:IZ196635 SV196621:SV196635 ACR196621:ACR196635 AMN196621:AMN196635 AWJ196621:AWJ196635 BGF196621:BGF196635 BQB196621:BQB196635 BZX196621:BZX196635 CJT196621:CJT196635 CTP196621:CTP196635 DDL196621:DDL196635 DNH196621:DNH196635 DXD196621:DXD196635 EGZ196621:EGZ196635 EQV196621:EQV196635 FAR196621:FAR196635 FKN196621:FKN196635 FUJ196621:FUJ196635 GEF196621:GEF196635 GOB196621:GOB196635 GXX196621:GXX196635 HHT196621:HHT196635 HRP196621:HRP196635 IBL196621:IBL196635 ILH196621:ILH196635 IVD196621:IVD196635 JEZ196621:JEZ196635 JOV196621:JOV196635 JYR196621:JYR196635 KIN196621:KIN196635 KSJ196621:KSJ196635 LCF196621:LCF196635 LMB196621:LMB196635 LVX196621:LVX196635 MFT196621:MFT196635 MPP196621:MPP196635 MZL196621:MZL196635 NJH196621:NJH196635 NTD196621:NTD196635 OCZ196621:OCZ196635 OMV196621:OMV196635 OWR196621:OWR196635 PGN196621:PGN196635 PQJ196621:PQJ196635 QAF196621:QAF196635 QKB196621:QKB196635 QTX196621:QTX196635 RDT196621:RDT196635 RNP196621:RNP196635 RXL196621:RXL196635 SHH196621:SHH196635 SRD196621:SRD196635 TAZ196621:TAZ196635 TKV196621:TKV196635 TUR196621:TUR196635 UEN196621:UEN196635 UOJ196621:UOJ196635 UYF196621:UYF196635 VIB196621:VIB196635 VRX196621:VRX196635 WBT196621:WBT196635 WLP196621:WLP196635 WVL196621:WVL196635 D262157:D262171 IZ262157:IZ262171 SV262157:SV262171 ACR262157:ACR262171 AMN262157:AMN262171 AWJ262157:AWJ262171 BGF262157:BGF262171 BQB262157:BQB262171 BZX262157:BZX262171 CJT262157:CJT262171 CTP262157:CTP262171 DDL262157:DDL262171 DNH262157:DNH262171 DXD262157:DXD262171 EGZ262157:EGZ262171 EQV262157:EQV262171 FAR262157:FAR262171 FKN262157:FKN262171 FUJ262157:FUJ262171 GEF262157:GEF262171 GOB262157:GOB262171 GXX262157:GXX262171 HHT262157:HHT262171 HRP262157:HRP262171 IBL262157:IBL262171 ILH262157:ILH262171 IVD262157:IVD262171 JEZ262157:JEZ262171 JOV262157:JOV262171 JYR262157:JYR262171 KIN262157:KIN262171 KSJ262157:KSJ262171 LCF262157:LCF262171 LMB262157:LMB262171 LVX262157:LVX262171 MFT262157:MFT262171 MPP262157:MPP262171 MZL262157:MZL262171 NJH262157:NJH262171 NTD262157:NTD262171 OCZ262157:OCZ262171 OMV262157:OMV262171 OWR262157:OWR262171 PGN262157:PGN262171 PQJ262157:PQJ262171 QAF262157:QAF262171 QKB262157:QKB262171 QTX262157:QTX262171 RDT262157:RDT262171 RNP262157:RNP262171 RXL262157:RXL262171 SHH262157:SHH262171 SRD262157:SRD262171 TAZ262157:TAZ262171 TKV262157:TKV262171 TUR262157:TUR262171 UEN262157:UEN262171 UOJ262157:UOJ262171 UYF262157:UYF262171 VIB262157:VIB262171 VRX262157:VRX262171 WBT262157:WBT262171 WLP262157:WLP262171 WVL262157:WVL262171 D327693:D327707 IZ327693:IZ327707 SV327693:SV327707 ACR327693:ACR327707 AMN327693:AMN327707 AWJ327693:AWJ327707 BGF327693:BGF327707 BQB327693:BQB327707 BZX327693:BZX327707 CJT327693:CJT327707 CTP327693:CTP327707 DDL327693:DDL327707 DNH327693:DNH327707 DXD327693:DXD327707 EGZ327693:EGZ327707 EQV327693:EQV327707 FAR327693:FAR327707 FKN327693:FKN327707 FUJ327693:FUJ327707 GEF327693:GEF327707 GOB327693:GOB327707 GXX327693:GXX327707 HHT327693:HHT327707 HRP327693:HRP327707 IBL327693:IBL327707 ILH327693:ILH327707 IVD327693:IVD327707 JEZ327693:JEZ327707 JOV327693:JOV327707 JYR327693:JYR327707 KIN327693:KIN327707 KSJ327693:KSJ327707 LCF327693:LCF327707 LMB327693:LMB327707 LVX327693:LVX327707 MFT327693:MFT327707 MPP327693:MPP327707 MZL327693:MZL327707 NJH327693:NJH327707 NTD327693:NTD327707 OCZ327693:OCZ327707 OMV327693:OMV327707 OWR327693:OWR327707 PGN327693:PGN327707 PQJ327693:PQJ327707 QAF327693:QAF327707 QKB327693:QKB327707 QTX327693:QTX327707 RDT327693:RDT327707 RNP327693:RNP327707 RXL327693:RXL327707 SHH327693:SHH327707 SRD327693:SRD327707 TAZ327693:TAZ327707 TKV327693:TKV327707 TUR327693:TUR327707 UEN327693:UEN327707 UOJ327693:UOJ327707 UYF327693:UYF327707 VIB327693:VIB327707 VRX327693:VRX327707 WBT327693:WBT327707 WLP327693:WLP327707 WVL327693:WVL327707 D393229:D393243 IZ393229:IZ393243 SV393229:SV393243 ACR393229:ACR393243 AMN393229:AMN393243 AWJ393229:AWJ393243 BGF393229:BGF393243 BQB393229:BQB393243 BZX393229:BZX393243 CJT393229:CJT393243 CTP393229:CTP393243 DDL393229:DDL393243 DNH393229:DNH393243 DXD393229:DXD393243 EGZ393229:EGZ393243 EQV393229:EQV393243 FAR393229:FAR393243 FKN393229:FKN393243 FUJ393229:FUJ393243 GEF393229:GEF393243 GOB393229:GOB393243 GXX393229:GXX393243 HHT393229:HHT393243 HRP393229:HRP393243 IBL393229:IBL393243 ILH393229:ILH393243 IVD393229:IVD393243 JEZ393229:JEZ393243 JOV393229:JOV393243 JYR393229:JYR393243 KIN393229:KIN393243 KSJ393229:KSJ393243 LCF393229:LCF393243 LMB393229:LMB393243 LVX393229:LVX393243 MFT393229:MFT393243 MPP393229:MPP393243 MZL393229:MZL393243 NJH393229:NJH393243 NTD393229:NTD393243 OCZ393229:OCZ393243 OMV393229:OMV393243 OWR393229:OWR393243 PGN393229:PGN393243 PQJ393229:PQJ393243 QAF393229:QAF393243 QKB393229:QKB393243 QTX393229:QTX393243 RDT393229:RDT393243 RNP393229:RNP393243 RXL393229:RXL393243 SHH393229:SHH393243 SRD393229:SRD393243 TAZ393229:TAZ393243 TKV393229:TKV393243 TUR393229:TUR393243 UEN393229:UEN393243 UOJ393229:UOJ393243 UYF393229:UYF393243 VIB393229:VIB393243 VRX393229:VRX393243 WBT393229:WBT393243 WLP393229:WLP393243 WVL393229:WVL393243 D458765:D458779 IZ458765:IZ458779 SV458765:SV458779 ACR458765:ACR458779 AMN458765:AMN458779 AWJ458765:AWJ458779 BGF458765:BGF458779 BQB458765:BQB458779 BZX458765:BZX458779 CJT458765:CJT458779 CTP458765:CTP458779 DDL458765:DDL458779 DNH458765:DNH458779 DXD458765:DXD458779 EGZ458765:EGZ458779 EQV458765:EQV458779 FAR458765:FAR458779 FKN458765:FKN458779 FUJ458765:FUJ458779 GEF458765:GEF458779 GOB458765:GOB458779 GXX458765:GXX458779 HHT458765:HHT458779 HRP458765:HRP458779 IBL458765:IBL458779 ILH458765:ILH458779 IVD458765:IVD458779 JEZ458765:JEZ458779 JOV458765:JOV458779 JYR458765:JYR458779 KIN458765:KIN458779 KSJ458765:KSJ458779 LCF458765:LCF458779 LMB458765:LMB458779 LVX458765:LVX458779 MFT458765:MFT458779 MPP458765:MPP458779 MZL458765:MZL458779 NJH458765:NJH458779 NTD458765:NTD458779 OCZ458765:OCZ458779 OMV458765:OMV458779 OWR458765:OWR458779 PGN458765:PGN458779 PQJ458765:PQJ458779 QAF458765:QAF458779 QKB458765:QKB458779 QTX458765:QTX458779 RDT458765:RDT458779 RNP458765:RNP458779 RXL458765:RXL458779 SHH458765:SHH458779 SRD458765:SRD458779 TAZ458765:TAZ458779 TKV458765:TKV458779 TUR458765:TUR458779 UEN458765:UEN458779 UOJ458765:UOJ458779 UYF458765:UYF458779 VIB458765:VIB458779 VRX458765:VRX458779 WBT458765:WBT458779 WLP458765:WLP458779 WVL458765:WVL458779 D524301:D524315 IZ524301:IZ524315 SV524301:SV524315 ACR524301:ACR524315 AMN524301:AMN524315 AWJ524301:AWJ524315 BGF524301:BGF524315 BQB524301:BQB524315 BZX524301:BZX524315 CJT524301:CJT524315 CTP524301:CTP524315 DDL524301:DDL524315 DNH524301:DNH524315 DXD524301:DXD524315 EGZ524301:EGZ524315 EQV524301:EQV524315 FAR524301:FAR524315 FKN524301:FKN524315 FUJ524301:FUJ524315 GEF524301:GEF524315 GOB524301:GOB524315 GXX524301:GXX524315 HHT524301:HHT524315 HRP524301:HRP524315 IBL524301:IBL524315 ILH524301:ILH524315 IVD524301:IVD524315 JEZ524301:JEZ524315 JOV524301:JOV524315 JYR524301:JYR524315 KIN524301:KIN524315 KSJ524301:KSJ524315 LCF524301:LCF524315 LMB524301:LMB524315 LVX524301:LVX524315 MFT524301:MFT524315 MPP524301:MPP524315 MZL524301:MZL524315 NJH524301:NJH524315 NTD524301:NTD524315 OCZ524301:OCZ524315 OMV524301:OMV524315 OWR524301:OWR524315 PGN524301:PGN524315 PQJ524301:PQJ524315 QAF524301:QAF524315 QKB524301:QKB524315 QTX524301:QTX524315 RDT524301:RDT524315 RNP524301:RNP524315 RXL524301:RXL524315 SHH524301:SHH524315 SRD524301:SRD524315 TAZ524301:TAZ524315 TKV524301:TKV524315 TUR524301:TUR524315 UEN524301:UEN524315 UOJ524301:UOJ524315 UYF524301:UYF524315 VIB524301:VIB524315 VRX524301:VRX524315 WBT524301:WBT524315 WLP524301:WLP524315 WVL524301:WVL524315 D589837:D589851 IZ589837:IZ589851 SV589837:SV589851 ACR589837:ACR589851 AMN589837:AMN589851 AWJ589837:AWJ589851 BGF589837:BGF589851 BQB589837:BQB589851 BZX589837:BZX589851 CJT589837:CJT589851 CTP589837:CTP589851 DDL589837:DDL589851 DNH589837:DNH589851 DXD589837:DXD589851 EGZ589837:EGZ589851 EQV589837:EQV589851 FAR589837:FAR589851 FKN589837:FKN589851 FUJ589837:FUJ589851 GEF589837:GEF589851 GOB589837:GOB589851 GXX589837:GXX589851 HHT589837:HHT589851 HRP589837:HRP589851 IBL589837:IBL589851 ILH589837:ILH589851 IVD589837:IVD589851 JEZ589837:JEZ589851 JOV589837:JOV589851 JYR589837:JYR589851 KIN589837:KIN589851 KSJ589837:KSJ589851 LCF589837:LCF589851 LMB589837:LMB589851 LVX589837:LVX589851 MFT589837:MFT589851 MPP589837:MPP589851 MZL589837:MZL589851 NJH589837:NJH589851 NTD589837:NTD589851 OCZ589837:OCZ589851 OMV589837:OMV589851 OWR589837:OWR589851 PGN589837:PGN589851 PQJ589837:PQJ589851 QAF589837:QAF589851 QKB589837:QKB589851 QTX589837:QTX589851 RDT589837:RDT589851 RNP589837:RNP589851 RXL589837:RXL589851 SHH589837:SHH589851 SRD589837:SRD589851 TAZ589837:TAZ589851 TKV589837:TKV589851 TUR589837:TUR589851 UEN589837:UEN589851 UOJ589837:UOJ589851 UYF589837:UYF589851 VIB589837:VIB589851 VRX589837:VRX589851 WBT589837:WBT589851 WLP589837:WLP589851 WVL589837:WVL589851 D655373:D655387 IZ655373:IZ655387 SV655373:SV655387 ACR655373:ACR655387 AMN655373:AMN655387 AWJ655373:AWJ655387 BGF655373:BGF655387 BQB655373:BQB655387 BZX655373:BZX655387 CJT655373:CJT655387 CTP655373:CTP655387 DDL655373:DDL655387 DNH655373:DNH655387 DXD655373:DXD655387 EGZ655373:EGZ655387 EQV655373:EQV655387 FAR655373:FAR655387 FKN655373:FKN655387 FUJ655373:FUJ655387 GEF655373:GEF655387 GOB655373:GOB655387 GXX655373:GXX655387 HHT655373:HHT655387 HRP655373:HRP655387 IBL655373:IBL655387 ILH655373:ILH655387 IVD655373:IVD655387 JEZ655373:JEZ655387 JOV655373:JOV655387 JYR655373:JYR655387 KIN655373:KIN655387 KSJ655373:KSJ655387 LCF655373:LCF655387 LMB655373:LMB655387 LVX655373:LVX655387 MFT655373:MFT655387 MPP655373:MPP655387 MZL655373:MZL655387 NJH655373:NJH655387 NTD655373:NTD655387 OCZ655373:OCZ655387 OMV655373:OMV655387 OWR655373:OWR655387 PGN655373:PGN655387 PQJ655373:PQJ655387 QAF655373:QAF655387 QKB655373:QKB655387 QTX655373:QTX655387 RDT655373:RDT655387 RNP655373:RNP655387 RXL655373:RXL655387 SHH655373:SHH655387 SRD655373:SRD655387 TAZ655373:TAZ655387 TKV655373:TKV655387 TUR655373:TUR655387 UEN655373:UEN655387 UOJ655373:UOJ655387 UYF655373:UYF655387 VIB655373:VIB655387 VRX655373:VRX655387 WBT655373:WBT655387 WLP655373:WLP655387 WVL655373:WVL655387 D720909:D720923 IZ720909:IZ720923 SV720909:SV720923 ACR720909:ACR720923 AMN720909:AMN720923 AWJ720909:AWJ720923 BGF720909:BGF720923 BQB720909:BQB720923 BZX720909:BZX720923 CJT720909:CJT720923 CTP720909:CTP720923 DDL720909:DDL720923 DNH720909:DNH720923 DXD720909:DXD720923 EGZ720909:EGZ720923 EQV720909:EQV720923 FAR720909:FAR720923 FKN720909:FKN720923 FUJ720909:FUJ720923 GEF720909:GEF720923 GOB720909:GOB720923 GXX720909:GXX720923 HHT720909:HHT720923 HRP720909:HRP720923 IBL720909:IBL720923 ILH720909:ILH720923 IVD720909:IVD720923 JEZ720909:JEZ720923 JOV720909:JOV720923 JYR720909:JYR720923 KIN720909:KIN720923 KSJ720909:KSJ720923 LCF720909:LCF720923 LMB720909:LMB720923 LVX720909:LVX720923 MFT720909:MFT720923 MPP720909:MPP720923 MZL720909:MZL720923 NJH720909:NJH720923 NTD720909:NTD720923 OCZ720909:OCZ720923 OMV720909:OMV720923 OWR720909:OWR720923 PGN720909:PGN720923 PQJ720909:PQJ720923 QAF720909:QAF720923 QKB720909:QKB720923 QTX720909:QTX720923 RDT720909:RDT720923 RNP720909:RNP720923 RXL720909:RXL720923 SHH720909:SHH720923 SRD720909:SRD720923 TAZ720909:TAZ720923 TKV720909:TKV720923 TUR720909:TUR720923 UEN720909:UEN720923 UOJ720909:UOJ720923 UYF720909:UYF720923 VIB720909:VIB720923 VRX720909:VRX720923 WBT720909:WBT720923 WLP720909:WLP720923 WVL720909:WVL720923 D786445:D786459 IZ786445:IZ786459 SV786445:SV786459 ACR786445:ACR786459 AMN786445:AMN786459 AWJ786445:AWJ786459 BGF786445:BGF786459 BQB786445:BQB786459 BZX786445:BZX786459 CJT786445:CJT786459 CTP786445:CTP786459 DDL786445:DDL786459 DNH786445:DNH786459 DXD786445:DXD786459 EGZ786445:EGZ786459 EQV786445:EQV786459 FAR786445:FAR786459 FKN786445:FKN786459 FUJ786445:FUJ786459 GEF786445:GEF786459 GOB786445:GOB786459 GXX786445:GXX786459 HHT786445:HHT786459 HRP786445:HRP786459 IBL786445:IBL786459 ILH786445:ILH786459 IVD786445:IVD786459 JEZ786445:JEZ786459 JOV786445:JOV786459 JYR786445:JYR786459 KIN786445:KIN786459 KSJ786445:KSJ786459 LCF786445:LCF786459 LMB786445:LMB786459 LVX786445:LVX786459 MFT786445:MFT786459 MPP786445:MPP786459 MZL786445:MZL786459 NJH786445:NJH786459 NTD786445:NTD786459 OCZ786445:OCZ786459 OMV786445:OMV786459 OWR786445:OWR786459 PGN786445:PGN786459 PQJ786445:PQJ786459 QAF786445:QAF786459 QKB786445:QKB786459 QTX786445:QTX786459 RDT786445:RDT786459 RNP786445:RNP786459 RXL786445:RXL786459 SHH786445:SHH786459 SRD786445:SRD786459 TAZ786445:TAZ786459 TKV786445:TKV786459 TUR786445:TUR786459 UEN786445:UEN786459 UOJ786445:UOJ786459 UYF786445:UYF786459 VIB786445:VIB786459 VRX786445:VRX786459 WBT786445:WBT786459 WLP786445:WLP786459 WVL786445:WVL786459 D851981:D851995 IZ851981:IZ851995 SV851981:SV851995 ACR851981:ACR851995 AMN851981:AMN851995 AWJ851981:AWJ851995 BGF851981:BGF851995 BQB851981:BQB851995 BZX851981:BZX851995 CJT851981:CJT851995 CTP851981:CTP851995 DDL851981:DDL851995 DNH851981:DNH851995 DXD851981:DXD851995 EGZ851981:EGZ851995 EQV851981:EQV851995 FAR851981:FAR851995 FKN851981:FKN851995 FUJ851981:FUJ851995 GEF851981:GEF851995 GOB851981:GOB851995 GXX851981:GXX851995 HHT851981:HHT851995 HRP851981:HRP851995 IBL851981:IBL851995 ILH851981:ILH851995 IVD851981:IVD851995 JEZ851981:JEZ851995 JOV851981:JOV851995 JYR851981:JYR851995 KIN851981:KIN851995 KSJ851981:KSJ851995 LCF851981:LCF851995 LMB851981:LMB851995 LVX851981:LVX851995 MFT851981:MFT851995 MPP851981:MPP851995 MZL851981:MZL851995 NJH851981:NJH851995 NTD851981:NTD851995 OCZ851981:OCZ851995 OMV851981:OMV851995 OWR851981:OWR851995 PGN851981:PGN851995 PQJ851981:PQJ851995 QAF851981:QAF851995 QKB851981:QKB851995 QTX851981:QTX851995 RDT851981:RDT851995 RNP851981:RNP851995 RXL851981:RXL851995 SHH851981:SHH851995 SRD851981:SRD851995 TAZ851981:TAZ851995 TKV851981:TKV851995 TUR851981:TUR851995 UEN851981:UEN851995 UOJ851981:UOJ851995 UYF851981:UYF851995 VIB851981:VIB851995 VRX851981:VRX851995 WBT851981:WBT851995 WLP851981:WLP851995 WVL851981:WVL851995 D917517:D917531 IZ917517:IZ917531 SV917517:SV917531 ACR917517:ACR917531 AMN917517:AMN917531 AWJ917517:AWJ917531 BGF917517:BGF917531 BQB917517:BQB917531 BZX917517:BZX917531 CJT917517:CJT917531 CTP917517:CTP917531 DDL917517:DDL917531 DNH917517:DNH917531 DXD917517:DXD917531 EGZ917517:EGZ917531 EQV917517:EQV917531 FAR917517:FAR917531 FKN917517:FKN917531 FUJ917517:FUJ917531 GEF917517:GEF917531 GOB917517:GOB917531 GXX917517:GXX917531 HHT917517:HHT917531 HRP917517:HRP917531 IBL917517:IBL917531 ILH917517:ILH917531 IVD917517:IVD917531 JEZ917517:JEZ917531 JOV917517:JOV917531 JYR917517:JYR917531 KIN917517:KIN917531 KSJ917517:KSJ917531 LCF917517:LCF917531 LMB917517:LMB917531 LVX917517:LVX917531 MFT917517:MFT917531 MPP917517:MPP917531 MZL917517:MZL917531 NJH917517:NJH917531 NTD917517:NTD917531 OCZ917517:OCZ917531 OMV917517:OMV917531 OWR917517:OWR917531 PGN917517:PGN917531 PQJ917517:PQJ917531 QAF917517:QAF917531 QKB917517:QKB917531 QTX917517:QTX917531 RDT917517:RDT917531 RNP917517:RNP917531 RXL917517:RXL917531 SHH917517:SHH917531 SRD917517:SRD917531 TAZ917517:TAZ917531 TKV917517:TKV917531 TUR917517:TUR917531 UEN917517:UEN917531 UOJ917517:UOJ917531 UYF917517:UYF917531 VIB917517:VIB917531 VRX917517:VRX917531 WBT917517:WBT917531 WLP917517:WLP917531 WVL917517:WVL917531 D983053:D983067 IZ983053:IZ983067 SV983053:SV983067 ACR983053:ACR983067 AMN983053:AMN983067 AWJ983053:AWJ983067 BGF983053:BGF983067 BQB983053:BQB983067 BZX983053:BZX983067 CJT983053:CJT983067 CTP983053:CTP983067 DDL983053:DDL983067 DNH983053:DNH983067 DXD983053:DXD983067 EGZ983053:EGZ983067 EQV983053:EQV983067 FAR983053:FAR983067 FKN983053:FKN983067 FUJ983053:FUJ983067 GEF983053:GEF983067 GOB983053:GOB983067 GXX983053:GXX983067 HHT983053:HHT983067 HRP983053:HRP983067 IBL983053:IBL983067 ILH983053:ILH983067 IVD983053:IVD983067 JEZ983053:JEZ983067 JOV983053:JOV983067 JYR983053:JYR983067 KIN983053:KIN983067 KSJ983053:KSJ983067 LCF983053:LCF983067 LMB983053:LMB983067 LVX983053:LVX983067 MFT983053:MFT983067 MPP983053:MPP983067 MZL983053:MZL983067 NJH983053:NJH983067 NTD983053:NTD983067 OCZ983053:OCZ983067 OMV983053:OMV983067 OWR983053:OWR983067 PGN983053:PGN983067 PQJ983053:PQJ983067 QAF983053:QAF983067 QKB983053:QKB983067 QTX983053:QTX983067 RDT983053:RDT983067 RNP983053:RNP983067 RXL983053:RXL983067 SHH983053:SHH983067 SRD983053:SRD983067 TAZ983053:TAZ983067 TKV983053:TKV983067 TUR983053:TUR983067 UEN983053:UEN983067 UOJ983053:UOJ983067 UYF983053:UYF983067 VIB983053:VIB983067 VRX983053:VRX983067 WBT983053:WBT983067 WLP983053:WLP983067 WVL983053:WVL983067 WVS983053:WVT983067 JG13:JH27 TC13:TD27 ACY13:ACZ27 AMU13:AMV27 AWQ13:AWR27 BGM13:BGN27 BQI13:BQJ27 CAE13:CAF27 CKA13:CKB27 CTW13:CTX27 DDS13:DDT27 DNO13:DNP27 DXK13:DXL27 EHG13:EHH27 ERC13:ERD27 FAY13:FAZ27 FKU13:FKV27 FUQ13:FUR27 GEM13:GEN27 GOI13:GOJ27 GYE13:GYF27 HIA13:HIB27 HRW13:HRX27 IBS13:IBT27 ILO13:ILP27 IVK13:IVL27 JFG13:JFH27 JPC13:JPD27 JYY13:JYZ27 KIU13:KIV27 KSQ13:KSR27 LCM13:LCN27 LMI13:LMJ27 LWE13:LWF27 MGA13:MGB27 MPW13:MPX27 MZS13:MZT27 NJO13:NJP27 NTK13:NTL27 ODG13:ODH27 ONC13:OND27 OWY13:OWZ27 PGU13:PGV27 PQQ13:PQR27 QAM13:QAN27 QKI13:QKJ27 QUE13:QUF27 REA13:REB27 RNW13:RNX27 RXS13:RXT27 SHO13:SHP27 SRK13:SRL27 TBG13:TBH27 TLC13:TLD27 TUY13:TUZ27 UEU13:UEV27 UOQ13:UOR27 UYM13:UYN27 VII13:VIJ27 VSE13:VSF27 WCA13:WCB27 WLW13:WLX27 WVS13:WVT27 K65549:L65563 JG65549:JH65563 TC65549:TD65563 ACY65549:ACZ65563 AMU65549:AMV65563 AWQ65549:AWR65563 BGM65549:BGN65563 BQI65549:BQJ65563 CAE65549:CAF65563 CKA65549:CKB65563 CTW65549:CTX65563 DDS65549:DDT65563 DNO65549:DNP65563 DXK65549:DXL65563 EHG65549:EHH65563 ERC65549:ERD65563 FAY65549:FAZ65563 FKU65549:FKV65563 FUQ65549:FUR65563 GEM65549:GEN65563 GOI65549:GOJ65563 GYE65549:GYF65563 HIA65549:HIB65563 HRW65549:HRX65563 IBS65549:IBT65563 ILO65549:ILP65563 IVK65549:IVL65563 JFG65549:JFH65563 JPC65549:JPD65563 JYY65549:JYZ65563 KIU65549:KIV65563 KSQ65549:KSR65563 LCM65549:LCN65563 LMI65549:LMJ65563 LWE65549:LWF65563 MGA65549:MGB65563 MPW65549:MPX65563 MZS65549:MZT65563 NJO65549:NJP65563 NTK65549:NTL65563 ODG65549:ODH65563 ONC65549:OND65563 OWY65549:OWZ65563 PGU65549:PGV65563 PQQ65549:PQR65563 QAM65549:QAN65563 QKI65549:QKJ65563 QUE65549:QUF65563 REA65549:REB65563 RNW65549:RNX65563 RXS65549:RXT65563 SHO65549:SHP65563 SRK65549:SRL65563 TBG65549:TBH65563 TLC65549:TLD65563 TUY65549:TUZ65563 UEU65549:UEV65563 UOQ65549:UOR65563 UYM65549:UYN65563 VII65549:VIJ65563 VSE65549:VSF65563 WCA65549:WCB65563 WLW65549:WLX65563 WVS65549:WVT65563 K131085:L131099 JG131085:JH131099 TC131085:TD131099 ACY131085:ACZ131099 AMU131085:AMV131099 AWQ131085:AWR131099 BGM131085:BGN131099 BQI131085:BQJ131099 CAE131085:CAF131099 CKA131085:CKB131099 CTW131085:CTX131099 DDS131085:DDT131099 DNO131085:DNP131099 DXK131085:DXL131099 EHG131085:EHH131099 ERC131085:ERD131099 FAY131085:FAZ131099 FKU131085:FKV131099 FUQ131085:FUR131099 GEM131085:GEN131099 GOI131085:GOJ131099 GYE131085:GYF131099 HIA131085:HIB131099 HRW131085:HRX131099 IBS131085:IBT131099 ILO131085:ILP131099 IVK131085:IVL131099 JFG131085:JFH131099 JPC131085:JPD131099 JYY131085:JYZ131099 KIU131085:KIV131099 KSQ131085:KSR131099 LCM131085:LCN131099 LMI131085:LMJ131099 LWE131085:LWF131099 MGA131085:MGB131099 MPW131085:MPX131099 MZS131085:MZT131099 NJO131085:NJP131099 NTK131085:NTL131099 ODG131085:ODH131099 ONC131085:OND131099 OWY131085:OWZ131099 PGU131085:PGV131099 PQQ131085:PQR131099 QAM131085:QAN131099 QKI131085:QKJ131099 QUE131085:QUF131099 REA131085:REB131099 RNW131085:RNX131099 RXS131085:RXT131099 SHO131085:SHP131099 SRK131085:SRL131099 TBG131085:TBH131099 TLC131085:TLD131099 TUY131085:TUZ131099 UEU131085:UEV131099 UOQ131085:UOR131099 UYM131085:UYN131099 VII131085:VIJ131099 VSE131085:VSF131099 WCA131085:WCB131099 WLW131085:WLX131099 WVS131085:WVT131099 K196621:L196635 JG196621:JH196635 TC196621:TD196635 ACY196621:ACZ196635 AMU196621:AMV196635 AWQ196621:AWR196635 BGM196621:BGN196635 BQI196621:BQJ196635 CAE196621:CAF196635 CKA196621:CKB196635 CTW196621:CTX196635 DDS196621:DDT196635 DNO196621:DNP196635 DXK196621:DXL196635 EHG196621:EHH196635 ERC196621:ERD196635 FAY196621:FAZ196635 FKU196621:FKV196635 FUQ196621:FUR196635 GEM196621:GEN196635 GOI196621:GOJ196635 GYE196621:GYF196635 HIA196621:HIB196635 HRW196621:HRX196635 IBS196621:IBT196635 ILO196621:ILP196635 IVK196621:IVL196635 JFG196621:JFH196635 JPC196621:JPD196635 JYY196621:JYZ196635 KIU196621:KIV196635 KSQ196621:KSR196635 LCM196621:LCN196635 LMI196621:LMJ196635 LWE196621:LWF196635 MGA196621:MGB196635 MPW196621:MPX196635 MZS196621:MZT196635 NJO196621:NJP196635 NTK196621:NTL196635 ODG196621:ODH196635 ONC196621:OND196635 OWY196621:OWZ196635 PGU196621:PGV196635 PQQ196621:PQR196635 QAM196621:QAN196635 QKI196621:QKJ196635 QUE196621:QUF196635 REA196621:REB196635 RNW196621:RNX196635 RXS196621:RXT196635 SHO196621:SHP196635 SRK196621:SRL196635 TBG196621:TBH196635 TLC196621:TLD196635 TUY196621:TUZ196635 UEU196621:UEV196635 UOQ196621:UOR196635 UYM196621:UYN196635 VII196621:VIJ196635 VSE196621:VSF196635 WCA196621:WCB196635 WLW196621:WLX196635 WVS196621:WVT196635 K262157:L262171 JG262157:JH262171 TC262157:TD262171 ACY262157:ACZ262171 AMU262157:AMV262171 AWQ262157:AWR262171 BGM262157:BGN262171 BQI262157:BQJ262171 CAE262157:CAF262171 CKA262157:CKB262171 CTW262157:CTX262171 DDS262157:DDT262171 DNO262157:DNP262171 DXK262157:DXL262171 EHG262157:EHH262171 ERC262157:ERD262171 FAY262157:FAZ262171 FKU262157:FKV262171 FUQ262157:FUR262171 GEM262157:GEN262171 GOI262157:GOJ262171 GYE262157:GYF262171 HIA262157:HIB262171 HRW262157:HRX262171 IBS262157:IBT262171 ILO262157:ILP262171 IVK262157:IVL262171 JFG262157:JFH262171 JPC262157:JPD262171 JYY262157:JYZ262171 KIU262157:KIV262171 KSQ262157:KSR262171 LCM262157:LCN262171 LMI262157:LMJ262171 LWE262157:LWF262171 MGA262157:MGB262171 MPW262157:MPX262171 MZS262157:MZT262171 NJO262157:NJP262171 NTK262157:NTL262171 ODG262157:ODH262171 ONC262157:OND262171 OWY262157:OWZ262171 PGU262157:PGV262171 PQQ262157:PQR262171 QAM262157:QAN262171 QKI262157:QKJ262171 QUE262157:QUF262171 REA262157:REB262171 RNW262157:RNX262171 RXS262157:RXT262171 SHO262157:SHP262171 SRK262157:SRL262171 TBG262157:TBH262171 TLC262157:TLD262171 TUY262157:TUZ262171 UEU262157:UEV262171 UOQ262157:UOR262171 UYM262157:UYN262171 VII262157:VIJ262171 VSE262157:VSF262171 WCA262157:WCB262171 WLW262157:WLX262171 WVS262157:WVT262171 K327693:L327707 JG327693:JH327707 TC327693:TD327707 ACY327693:ACZ327707 AMU327693:AMV327707 AWQ327693:AWR327707 BGM327693:BGN327707 BQI327693:BQJ327707 CAE327693:CAF327707 CKA327693:CKB327707 CTW327693:CTX327707 DDS327693:DDT327707 DNO327693:DNP327707 DXK327693:DXL327707 EHG327693:EHH327707 ERC327693:ERD327707 FAY327693:FAZ327707 FKU327693:FKV327707 FUQ327693:FUR327707 GEM327693:GEN327707 GOI327693:GOJ327707 GYE327693:GYF327707 HIA327693:HIB327707 HRW327693:HRX327707 IBS327693:IBT327707 ILO327693:ILP327707 IVK327693:IVL327707 JFG327693:JFH327707 JPC327693:JPD327707 JYY327693:JYZ327707 KIU327693:KIV327707 KSQ327693:KSR327707 LCM327693:LCN327707 LMI327693:LMJ327707 LWE327693:LWF327707 MGA327693:MGB327707 MPW327693:MPX327707 MZS327693:MZT327707 NJO327693:NJP327707 NTK327693:NTL327707 ODG327693:ODH327707 ONC327693:OND327707 OWY327693:OWZ327707 PGU327693:PGV327707 PQQ327693:PQR327707 QAM327693:QAN327707 QKI327693:QKJ327707 QUE327693:QUF327707 REA327693:REB327707 RNW327693:RNX327707 RXS327693:RXT327707 SHO327693:SHP327707 SRK327693:SRL327707 TBG327693:TBH327707 TLC327693:TLD327707 TUY327693:TUZ327707 UEU327693:UEV327707 UOQ327693:UOR327707 UYM327693:UYN327707 VII327693:VIJ327707 VSE327693:VSF327707 WCA327693:WCB327707 WLW327693:WLX327707 WVS327693:WVT327707 K393229:L393243 JG393229:JH393243 TC393229:TD393243 ACY393229:ACZ393243 AMU393229:AMV393243 AWQ393229:AWR393243 BGM393229:BGN393243 BQI393229:BQJ393243 CAE393229:CAF393243 CKA393229:CKB393243 CTW393229:CTX393243 DDS393229:DDT393243 DNO393229:DNP393243 DXK393229:DXL393243 EHG393229:EHH393243 ERC393229:ERD393243 FAY393229:FAZ393243 FKU393229:FKV393243 FUQ393229:FUR393243 GEM393229:GEN393243 GOI393229:GOJ393243 GYE393229:GYF393243 HIA393229:HIB393243 HRW393229:HRX393243 IBS393229:IBT393243 ILO393229:ILP393243 IVK393229:IVL393243 JFG393229:JFH393243 JPC393229:JPD393243 JYY393229:JYZ393243 KIU393229:KIV393243 KSQ393229:KSR393243 LCM393229:LCN393243 LMI393229:LMJ393243 LWE393229:LWF393243 MGA393229:MGB393243 MPW393229:MPX393243 MZS393229:MZT393243 NJO393229:NJP393243 NTK393229:NTL393243 ODG393229:ODH393243 ONC393229:OND393243 OWY393229:OWZ393243 PGU393229:PGV393243 PQQ393229:PQR393243 QAM393229:QAN393243 QKI393229:QKJ393243 QUE393229:QUF393243 REA393229:REB393243 RNW393229:RNX393243 RXS393229:RXT393243 SHO393229:SHP393243 SRK393229:SRL393243 TBG393229:TBH393243 TLC393229:TLD393243 TUY393229:TUZ393243 UEU393229:UEV393243 UOQ393229:UOR393243 UYM393229:UYN393243 VII393229:VIJ393243 VSE393229:VSF393243 WCA393229:WCB393243 WLW393229:WLX393243 WVS393229:WVT393243 K458765:L458779 JG458765:JH458779 TC458765:TD458779 ACY458765:ACZ458779 AMU458765:AMV458779 AWQ458765:AWR458779 BGM458765:BGN458779 BQI458765:BQJ458779 CAE458765:CAF458779 CKA458765:CKB458779 CTW458765:CTX458779 DDS458765:DDT458779 DNO458765:DNP458779 DXK458765:DXL458779 EHG458765:EHH458779 ERC458765:ERD458779 FAY458765:FAZ458779 FKU458765:FKV458779 FUQ458765:FUR458779 GEM458765:GEN458779 GOI458765:GOJ458779 GYE458765:GYF458779 HIA458765:HIB458779 HRW458765:HRX458779 IBS458765:IBT458779 ILO458765:ILP458779 IVK458765:IVL458779 JFG458765:JFH458779 JPC458765:JPD458779 JYY458765:JYZ458779 KIU458765:KIV458779 KSQ458765:KSR458779 LCM458765:LCN458779 LMI458765:LMJ458779 LWE458765:LWF458779 MGA458765:MGB458779 MPW458765:MPX458779 MZS458765:MZT458779 NJO458765:NJP458779 NTK458765:NTL458779 ODG458765:ODH458779 ONC458765:OND458779 OWY458765:OWZ458779 PGU458765:PGV458779 PQQ458765:PQR458779 QAM458765:QAN458779 QKI458765:QKJ458779 QUE458765:QUF458779 REA458765:REB458779 RNW458765:RNX458779 RXS458765:RXT458779 SHO458765:SHP458779 SRK458765:SRL458779 TBG458765:TBH458779 TLC458765:TLD458779 TUY458765:TUZ458779 UEU458765:UEV458779 UOQ458765:UOR458779 UYM458765:UYN458779 VII458765:VIJ458779 VSE458765:VSF458779 WCA458765:WCB458779 WLW458765:WLX458779 WVS458765:WVT458779 K524301:L524315 JG524301:JH524315 TC524301:TD524315 ACY524301:ACZ524315 AMU524301:AMV524315 AWQ524301:AWR524315 BGM524301:BGN524315 BQI524301:BQJ524315 CAE524301:CAF524315 CKA524301:CKB524315 CTW524301:CTX524315 DDS524301:DDT524315 DNO524301:DNP524315 DXK524301:DXL524315 EHG524301:EHH524315 ERC524301:ERD524315 FAY524301:FAZ524315 FKU524301:FKV524315 FUQ524301:FUR524315 GEM524301:GEN524315 GOI524301:GOJ524315 GYE524301:GYF524315 HIA524301:HIB524315 HRW524301:HRX524315 IBS524301:IBT524315 ILO524301:ILP524315 IVK524301:IVL524315 JFG524301:JFH524315 JPC524301:JPD524315 JYY524301:JYZ524315 KIU524301:KIV524315 KSQ524301:KSR524315 LCM524301:LCN524315 LMI524301:LMJ524315 LWE524301:LWF524315 MGA524301:MGB524315 MPW524301:MPX524315 MZS524301:MZT524315 NJO524301:NJP524315 NTK524301:NTL524315 ODG524301:ODH524315 ONC524301:OND524315 OWY524301:OWZ524315 PGU524301:PGV524315 PQQ524301:PQR524315 QAM524301:QAN524315 QKI524301:QKJ524315 QUE524301:QUF524315 REA524301:REB524315 RNW524301:RNX524315 RXS524301:RXT524315 SHO524301:SHP524315 SRK524301:SRL524315 TBG524301:TBH524315 TLC524301:TLD524315 TUY524301:TUZ524315 UEU524301:UEV524315 UOQ524301:UOR524315 UYM524301:UYN524315 VII524301:VIJ524315 VSE524301:VSF524315 WCA524301:WCB524315 WLW524301:WLX524315 WVS524301:WVT524315 K589837:L589851 JG589837:JH589851 TC589837:TD589851 ACY589837:ACZ589851 AMU589837:AMV589851 AWQ589837:AWR589851 BGM589837:BGN589851 BQI589837:BQJ589851 CAE589837:CAF589851 CKA589837:CKB589851 CTW589837:CTX589851 DDS589837:DDT589851 DNO589837:DNP589851 DXK589837:DXL589851 EHG589837:EHH589851 ERC589837:ERD589851 FAY589837:FAZ589851 FKU589837:FKV589851 FUQ589837:FUR589851 GEM589837:GEN589851 GOI589837:GOJ589851 GYE589837:GYF589851 HIA589837:HIB589851 HRW589837:HRX589851 IBS589837:IBT589851 ILO589837:ILP589851 IVK589837:IVL589851 JFG589837:JFH589851 JPC589837:JPD589851 JYY589837:JYZ589851 KIU589837:KIV589851 KSQ589837:KSR589851 LCM589837:LCN589851 LMI589837:LMJ589851 LWE589837:LWF589851 MGA589837:MGB589851 MPW589837:MPX589851 MZS589837:MZT589851 NJO589837:NJP589851 NTK589837:NTL589851 ODG589837:ODH589851 ONC589837:OND589851 OWY589837:OWZ589851 PGU589837:PGV589851 PQQ589837:PQR589851 QAM589837:QAN589851 QKI589837:QKJ589851 QUE589837:QUF589851 REA589837:REB589851 RNW589837:RNX589851 RXS589837:RXT589851 SHO589837:SHP589851 SRK589837:SRL589851 TBG589837:TBH589851 TLC589837:TLD589851 TUY589837:TUZ589851 UEU589837:UEV589851 UOQ589837:UOR589851 UYM589837:UYN589851 VII589837:VIJ589851 VSE589837:VSF589851 WCA589837:WCB589851 WLW589837:WLX589851 WVS589837:WVT589851 K655373:L655387 JG655373:JH655387 TC655373:TD655387 ACY655373:ACZ655387 AMU655373:AMV655387 AWQ655373:AWR655387 BGM655373:BGN655387 BQI655373:BQJ655387 CAE655373:CAF655387 CKA655373:CKB655387 CTW655373:CTX655387 DDS655373:DDT655387 DNO655373:DNP655387 DXK655373:DXL655387 EHG655373:EHH655387 ERC655373:ERD655387 FAY655373:FAZ655387 FKU655373:FKV655387 FUQ655373:FUR655387 GEM655373:GEN655387 GOI655373:GOJ655387 GYE655373:GYF655387 HIA655373:HIB655387 HRW655373:HRX655387 IBS655373:IBT655387 ILO655373:ILP655387 IVK655373:IVL655387 JFG655373:JFH655387 JPC655373:JPD655387 JYY655373:JYZ655387 KIU655373:KIV655387 KSQ655373:KSR655387 LCM655373:LCN655387 LMI655373:LMJ655387 LWE655373:LWF655387 MGA655373:MGB655387 MPW655373:MPX655387 MZS655373:MZT655387 NJO655373:NJP655387 NTK655373:NTL655387 ODG655373:ODH655387 ONC655373:OND655387 OWY655373:OWZ655387 PGU655373:PGV655387 PQQ655373:PQR655387 QAM655373:QAN655387 QKI655373:QKJ655387 QUE655373:QUF655387 REA655373:REB655387 RNW655373:RNX655387 RXS655373:RXT655387 SHO655373:SHP655387 SRK655373:SRL655387 TBG655373:TBH655387 TLC655373:TLD655387 TUY655373:TUZ655387 UEU655373:UEV655387 UOQ655373:UOR655387 UYM655373:UYN655387 VII655373:VIJ655387 VSE655373:VSF655387 WCA655373:WCB655387 WLW655373:WLX655387 WVS655373:WVT655387 K720909:L720923 JG720909:JH720923 TC720909:TD720923 ACY720909:ACZ720923 AMU720909:AMV720923 AWQ720909:AWR720923 BGM720909:BGN720923 BQI720909:BQJ720923 CAE720909:CAF720923 CKA720909:CKB720923 CTW720909:CTX720923 DDS720909:DDT720923 DNO720909:DNP720923 DXK720909:DXL720923 EHG720909:EHH720923 ERC720909:ERD720923 FAY720909:FAZ720923 FKU720909:FKV720923 FUQ720909:FUR720923 GEM720909:GEN720923 GOI720909:GOJ720923 GYE720909:GYF720923 HIA720909:HIB720923 HRW720909:HRX720923 IBS720909:IBT720923 ILO720909:ILP720923 IVK720909:IVL720923 JFG720909:JFH720923 JPC720909:JPD720923 JYY720909:JYZ720923 KIU720909:KIV720923 KSQ720909:KSR720923 LCM720909:LCN720923 LMI720909:LMJ720923 LWE720909:LWF720923 MGA720909:MGB720923 MPW720909:MPX720923 MZS720909:MZT720923 NJO720909:NJP720923 NTK720909:NTL720923 ODG720909:ODH720923 ONC720909:OND720923 OWY720909:OWZ720923 PGU720909:PGV720923 PQQ720909:PQR720923 QAM720909:QAN720923 QKI720909:QKJ720923 QUE720909:QUF720923 REA720909:REB720923 RNW720909:RNX720923 RXS720909:RXT720923 SHO720909:SHP720923 SRK720909:SRL720923 TBG720909:TBH720923 TLC720909:TLD720923 TUY720909:TUZ720923 UEU720909:UEV720923 UOQ720909:UOR720923 UYM720909:UYN720923 VII720909:VIJ720923 VSE720909:VSF720923 WCA720909:WCB720923 WLW720909:WLX720923 WVS720909:WVT720923 K786445:L786459 JG786445:JH786459 TC786445:TD786459 ACY786445:ACZ786459 AMU786445:AMV786459 AWQ786445:AWR786459 BGM786445:BGN786459 BQI786445:BQJ786459 CAE786445:CAF786459 CKA786445:CKB786459 CTW786445:CTX786459 DDS786445:DDT786459 DNO786445:DNP786459 DXK786445:DXL786459 EHG786445:EHH786459 ERC786445:ERD786459 FAY786445:FAZ786459 FKU786445:FKV786459 FUQ786445:FUR786459 GEM786445:GEN786459 GOI786445:GOJ786459 GYE786445:GYF786459 HIA786445:HIB786459 HRW786445:HRX786459 IBS786445:IBT786459 ILO786445:ILP786459 IVK786445:IVL786459 JFG786445:JFH786459 JPC786445:JPD786459 JYY786445:JYZ786459 KIU786445:KIV786459 KSQ786445:KSR786459 LCM786445:LCN786459 LMI786445:LMJ786459 LWE786445:LWF786459 MGA786445:MGB786459 MPW786445:MPX786459 MZS786445:MZT786459 NJO786445:NJP786459 NTK786445:NTL786459 ODG786445:ODH786459 ONC786445:OND786459 OWY786445:OWZ786459 PGU786445:PGV786459 PQQ786445:PQR786459 QAM786445:QAN786459 QKI786445:QKJ786459 QUE786445:QUF786459 REA786445:REB786459 RNW786445:RNX786459 RXS786445:RXT786459 SHO786445:SHP786459 SRK786445:SRL786459 TBG786445:TBH786459 TLC786445:TLD786459 TUY786445:TUZ786459 UEU786445:UEV786459 UOQ786445:UOR786459 UYM786445:UYN786459 VII786445:VIJ786459 VSE786445:VSF786459 WCA786445:WCB786459 WLW786445:WLX786459 WVS786445:WVT786459 K851981:L851995 JG851981:JH851995 TC851981:TD851995 ACY851981:ACZ851995 AMU851981:AMV851995 AWQ851981:AWR851995 BGM851981:BGN851995 BQI851981:BQJ851995 CAE851981:CAF851995 CKA851981:CKB851995 CTW851981:CTX851995 DDS851981:DDT851995 DNO851981:DNP851995 DXK851981:DXL851995 EHG851981:EHH851995 ERC851981:ERD851995 FAY851981:FAZ851995 FKU851981:FKV851995 FUQ851981:FUR851995 GEM851981:GEN851995 GOI851981:GOJ851995 GYE851981:GYF851995 HIA851981:HIB851995 HRW851981:HRX851995 IBS851981:IBT851995 ILO851981:ILP851995 IVK851981:IVL851995 JFG851981:JFH851995 JPC851981:JPD851995 JYY851981:JYZ851995 KIU851981:KIV851995 KSQ851981:KSR851995 LCM851981:LCN851995 LMI851981:LMJ851995 LWE851981:LWF851995 MGA851981:MGB851995 MPW851981:MPX851995 MZS851981:MZT851995 NJO851981:NJP851995 NTK851981:NTL851995 ODG851981:ODH851995 ONC851981:OND851995 OWY851981:OWZ851995 PGU851981:PGV851995 PQQ851981:PQR851995 QAM851981:QAN851995 QKI851981:QKJ851995 QUE851981:QUF851995 REA851981:REB851995 RNW851981:RNX851995 RXS851981:RXT851995 SHO851981:SHP851995 SRK851981:SRL851995 TBG851981:TBH851995 TLC851981:TLD851995 TUY851981:TUZ851995 UEU851981:UEV851995 UOQ851981:UOR851995 UYM851981:UYN851995 VII851981:VIJ851995 VSE851981:VSF851995 WCA851981:WCB851995 WLW851981:WLX851995 WVS851981:WVT851995 K917517:L917531 JG917517:JH917531 TC917517:TD917531 ACY917517:ACZ917531 AMU917517:AMV917531 AWQ917517:AWR917531 BGM917517:BGN917531 BQI917517:BQJ917531 CAE917517:CAF917531 CKA917517:CKB917531 CTW917517:CTX917531 DDS917517:DDT917531 DNO917517:DNP917531 DXK917517:DXL917531 EHG917517:EHH917531 ERC917517:ERD917531 FAY917517:FAZ917531 FKU917517:FKV917531 FUQ917517:FUR917531 GEM917517:GEN917531 GOI917517:GOJ917531 GYE917517:GYF917531 HIA917517:HIB917531 HRW917517:HRX917531 IBS917517:IBT917531 ILO917517:ILP917531 IVK917517:IVL917531 JFG917517:JFH917531 JPC917517:JPD917531 JYY917517:JYZ917531 KIU917517:KIV917531 KSQ917517:KSR917531 LCM917517:LCN917531 LMI917517:LMJ917531 LWE917517:LWF917531 MGA917517:MGB917531 MPW917517:MPX917531 MZS917517:MZT917531 NJO917517:NJP917531 NTK917517:NTL917531 ODG917517:ODH917531 ONC917517:OND917531 OWY917517:OWZ917531 PGU917517:PGV917531 PQQ917517:PQR917531 QAM917517:QAN917531 QKI917517:QKJ917531 QUE917517:QUF917531 REA917517:REB917531 RNW917517:RNX917531 RXS917517:RXT917531 SHO917517:SHP917531 SRK917517:SRL917531 TBG917517:TBH917531 TLC917517:TLD917531 TUY917517:TUZ917531 UEU917517:UEV917531 UOQ917517:UOR917531 UYM917517:UYN917531 VII917517:VIJ917531 VSE917517:VSF917531 WCA917517:WCB917531 WLW917517:WLX917531 WVS917517:WVT917531 K983053:L983067 JG983053:JH983067 TC983053:TD983067 ACY983053:ACZ983067 AMU983053:AMV983067 AWQ983053:AWR983067 BGM983053:BGN983067 BQI983053:BQJ983067 CAE983053:CAF983067 CKA983053:CKB983067 CTW983053:CTX983067 DDS983053:DDT983067 DNO983053:DNP983067 DXK983053:DXL983067 EHG983053:EHH983067 ERC983053:ERD983067 FAY983053:FAZ983067 FKU983053:FKV983067 FUQ983053:FUR983067 GEM983053:GEN983067 GOI983053:GOJ983067 GYE983053:GYF983067 HIA983053:HIB983067 HRW983053:HRX983067 IBS983053:IBT983067 ILO983053:ILP983067 IVK983053:IVL983067 JFG983053:JFH983067 JPC983053:JPD983067 JYY983053:JYZ983067 KIU983053:KIV983067 KSQ983053:KSR983067 LCM983053:LCN983067 LMI983053:LMJ983067 LWE983053:LWF983067 MGA983053:MGB983067 MPW983053:MPX983067 MZS983053:MZT983067 NJO983053:NJP983067 NTK983053:NTL983067 ODG983053:ODH983067 ONC983053:OND983067 OWY983053:OWZ983067 PGU983053:PGV983067 PQQ983053:PQR983067 QAM983053:QAN983067 QKI983053:QKJ983067 QUE983053:QUF983067 REA983053:REB983067 RNW983053:RNX983067 RXS983053:RXT983067 SHO983053:SHP983067 SRK983053:SRL983067 TBG983053:TBH983067 TLC983053:TLD983067 TUY983053:TUZ983067 UEU983053:UEV983067 UOQ983053:UOR983067 UYM983053:UYN983067 VII983053:VIJ983067 VSE983053:VSF983067 WCA983053:WCB983067 WLW983053:WLX983067 K13:L27 D13:D27" xr:uid="{00000000-0002-0000-2E00-000001000000}">
      <formula1>4</formula1>
    </dataValidation>
    <dataValidation type="whole" operator="notEqual" allowBlank="1" showInputMessage="1" showErrorMessage="1" errorTitle="Wrong Account" error="NCAS Accounts 438030 and 538030 are NOT transfer accounts. Please contact your OSC analyst before proceeding." sqref="N14:N27" xr:uid="{A5E0F620-47AC-41F8-A512-1A8D9EC1A449}">
      <formula1>538030</formula1>
    </dataValidation>
    <dataValidation type="whole" operator="notEqual" allowBlank="1" showInputMessage="1" showErrorMessage="1" errorTitle="Wrong Account" error="NCAS Accounts 438030 and 538030 are NOT transfer accounts. Please contact your OSC analyst before proceeding." sqref="F14:F27" xr:uid="{773A84A4-8831-4070-A3EC-FF55D47A8520}">
      <formula1>438030</formula1>
    </dataValidation>
  </dataValidations>
  <hyperlinks>
    <hyperlink ref="B1:P1" location="Index!A1" display="Index!A1" xr:uid="{00000000-0004-0000-2E00-000000000000}"/>
  </hyperlinks>
  <printOptions horizontalCentered="1"/>
  <pageMargins left="0.5" right="0.5" top="0.75" bottom="0.5" header="0.5" footer="0.5"/>
  <pageSetup scale="96" orientation="landscape" blackAndWhite="1" r:id="rId1"/>
  <headerFooter alignWithMargins="0">
    <oddFooter>&amp;R&amp;A</oddFooter>
  </headerFooter>
  <ignoredErrors>
    <ignoredError sqref="B13 J13" numberStoredAsText="1"/>
    <ignoredError sqref="H28 P28" formulaRange="1"/>
    <ignoredError sqref="L5:P6"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7"/>
  <dimension ref="A1:AF127"/>
  <sheetViews>
    <sheetView showGridLines="0" topLeftCell="B1" zoomScaleNormal="100" workbookViewId="0">
      <selection activeCell="AJ22" sqref="AJ22"/>
    </sheetView>
  </sheetViews>
  <sheetFormatPr defaultRowHeight="15.75" x14ac:dyDescent="0.25"/>
  <cols>
    <col min="1" max="1" width="0" style="1768" hidden="1" customWidth="1"/>
    <col min="2" max="2" width="11.5703125" style="1768" customWidth="1"/>
    <col min="3" max="3" width="1.5703125" style="1768" customWidth="1"/>
    <col min="4" max="4" width="7" style="1768" customWidth="1"/>
    <col min="5" max="5" width="1.5703125" style="1768" customWidth="1"/>
    <col min="6" max="6" width="12.5703125" style="1768" customWidth="1"/>
    <col min="7" max="7" width="1.5703125" style="1768" customWidth="1"/>
    <col min="8" max="8" width="19.5703125" style="1768" customWidth="1"/>
    <col min="9" max="9" width="2.5703125" style="1768" customWidth="1"/>
    <col min="10" max="10" width="11.5703125" style="1768" customWidth="1"/>
    <col min="11" max="11" width="1.5703125" style="1768" customWidth="1"/>
    <col min="12" max="12" width="6.42578125" style="1768" customWidth="1"/>
    <col min="13" max="13" width="1.5703125" style="1768" customWidth="1"/>
    <col min="14" max="14" width="12.5703125" style="1768" customWidth="1"/>
    <col min="15" max="15" width="1.5703125" style="1768" customWidth="1"/>
    <col min="16" max="16" width="21.42578125" style="1768" customWidth="1"/>
    <col min="17" max="17" width="3" style="1768" customWidth="1"/>
    <col min="18" max="18" width="5.5703125" style="1768" hidden="1" customWidth="1"/>
    <col min="19" max="19" width="2" style="1768" hidden="1" customWidth="1"/>
    <col min="20" max="24" width="5.5703125" style="1768" hidden="1" customWidth="1"/>
    <col min="25" max="25" width="2" style="1768" hidden="1" customWidth="1"/>
    <col min="26" max="29" width="5.5703125" style="1768" hidden="1" customWidth="1"/>
    <col min="30" max="31" width="6.42578125" style="1768" hidden="1" customWidth="1"/>
    <col min="32" max="256" width="9.42578125" style="1768"/>
    <col min="257" max="257" width="0" style="1768" hidden="1" customWidth="1"/>
    <col min="258" max="258" width="10.42578125" style="1768" customWidth="1"/>
    <col min="259" max="259" width="1.42578125" style="1768" customWidth="1"/>
    <col min="260" max="260" width="6.5703125" style="1768" customWidth="1"/>
    <col min="261" max="261" width="1.5703125" style="1768" customWidth="1"/>
    <col min="262" max="262" width="12.5703125" style="1768" customWidth="1"/>
    <col min="263" max="263" width="1.5703125" style="1768" customWidth="1"/>
    <col min="264" max="264" width="19.5703125" style="1768" customWidth="1"/>
    <col min="265" max="265" width="2.5703125" style="1768" customWidth="1"/>
    <col min="266" max="266" width="10.5703125" style="1768" customWidth="1"/>
    <col min="267" max="267" width="0.5703125" style="1768" customWidth="1"/>
    <col min="268" max="268" width="6.42578125" style="1768" customWidth="1"/>
    <col min="269" max="269" width="1.5703125" style="1768" customWidth="1"/>
    <col min="270" max="270" width="12.5703125" style="1768" customWidth="1"/>
    <col min="271" max="271" width="1.5703125" style="1768" customWidth="1"/>
    <col min="272" max="272" width="21" style="1768" customWidth="1"/>
    <col min="273" max="273" width="4.5703125" style="1768" customWidth="1"/>
    <col min="274" max="287" width="0" style="1768" hidden="1" customWidth="1"/>
    <col min="288" max="512" width="9.42578125" style="1768"/>
    <col min="513" max="513" width="0" style="1768" hidden="1" customWidth="1"/>
    <col min="514" max="514" width="10.42578125" style="1768" customWidth="1"/>
    <col min="515" max="515" width="1.42578125" style="1768" customWidth="1"/>
    <col min="516" max="516" width="6.5703125" style="1768" customWidth="1"/>
    <col min="517" max="517" width="1.5703125" style="1768" customWidth="1"/>
    <col min="518" max="518" width="12.5703125" style="1768" customWidth="1"/>
    <col min="519" max="519" width="1.5703125" style="1768" customWidth="1"/>
    <col min="520" max="520" width="19.5703125" style="1768" customWidth="1"/>
    <col min="521" max="521" width="2.5703125" style="1768" customWidth="1"/>
    <col min="522" max="522" width="10.5703125" style="1768" customWidth="1"/>
    <col min="523" max="523" width="0.5703125" style="1768" customWidth="1"/>
    <col min="524" max="524" width="6.42578125" style="1768" customWidth="1"/>
    <col min="525" max="525" width="1.5703125" style="1768" customWidth="1"/>
    <col min="526" max="526" width="12.5703125" style="1768" customWidth="1"/>
    <col min="527" max="527" width="1.5703125" style="1768" customWidth="1"/>
    <col min="528" max="528" width="21" style="1768" customWidth="1"/>
    <col min="529" max="529" width="4.5703125" style="1768" customWidth="1"/>
    <col min="530" max="543" width="0" style="1768" hidden="1" customWidth="1"/>
    <col min="544" max="768" width="9.42578125" style="1768"/>
    <col min="769" max="769" width="0" style="1768" hidden="1" customWidth="1"/>
    <col min="770" max="770" width="10.42578125" style="1768" customWidth="1"/>
    <col min="771" max="771" width="1.42578125" style="1768" customWidth="1"/>
    <col min="772" max="772" width="6.5703125" style="1768" customWidth="1"/>
    <col min="773" max="773" width="1.5703125" style="1768" customWidth="1"/>
    <col min="774" max="774" width="12.5703125" style="1768" customWidth="1"/>
    <col min="775" max="775" width="1.5703125" style="1768" customWidth="1"/>
    <col min="776" max="776" width="19.5703125" style="1768" customWidth="1"/>
    <col min="777" max="777" width="2.5703125" style="1768" customWidth="1"/>
    <col min="778" max="778" width="10.5703125" style="1768" customWidth="1"/>
    <col min="779" max="779" width="0.5703125" style="1768" customWidth="1"/>
    <col min="780" max="780" width="6.42578125" style="1768" customWidth="1"/>
    <col min="781" max="781" width="1.5703125" style="1768" customWidth="1"/>
    <col min="782" max="782" width="12.5703125" style="1768" customWidth="1"/>
    <col min="783" max="783" width="1.5703125" style="1768" customWidth="1"/>
    <col min="784" max="784" width="21" style="1768" customWidth="1"/>
    <col min="785" max="785" width="4.5703125" style="1768" customWidth="1"/>
    <col min="786" max="799" width="0" style="1768" hidden="1" customWidth="1"/>
    <col min="800" max="1024" width="9.42578125" style="1768"/>
    <col min="1025" max="1025" width="0" style="1768" hidden="1" customWidth="1"/>
    <col min="1026" max="1026" width="10.42578125" style="1768" customWidth="1"/>
    <col min="1027" max="1027" width="1.42578125" style="1768" customWidth="1"/>
    <col min="1028" max="1028" width="6.5703125" style="1768" customWidth="1"/>
    <col min="1029" max="1029" width="1.5703125" style="1768" customWidth="1"/>
    <col min="1030" max="1030" width="12.5703125" style="1768" customWidth="1"/>
    <col min="1031" max="1031" width="1.5703125" style="1768" customWidth="1"/>
    <col min="1032" max="1032" width="19.5703125" style="1768" customWidth="1"/>
    <col min="1033" max="1033" width="2.5703125" style="1768" customWidth="1"/>
    <col min="1034" max="1034" width="10.5703125" style="1768" customWidth="1"/>
    <col min="1035" max="1035" width="0.5703125" style="1768" customWidth="1"/>
    <col min="1036" max="1036" width="6.42578125" style="1768" customWidth="1"/>
    <col min="1037" max="1037" width="1.5703125" style="1768" customWidth="1"/>
    <col min="1038" max="1038" width="12.5703125" style="1768" customWidth="1"/>
    <col min="1039" max="1039" width="1.5703125" style="1768" customWidth="1"/>
    <col min="1040" max="1040" width="21" style="1768" customWidth="1"/>
    <col min="1041" max="1041" width="4.5703125" style="1768" customWidth="1"/>
    <col min="1042" max="1055" width="0" style="1768" hidden="1" customWidth="1"/>
    <col min="1056" max="1280" width="9.42578125" style="1768"/>
    <col min="1281" max="1281" width="0" style="1768" hidden="1" customWidth="1"/>
    <col min="1282" max="1282" width="10.42578125" style="1768" customWidth="1"/>
    <col min="1283" max="1283" width="1.42578125" style="1768" customWidth="1"/>
    <col min="1284" max="1284" width="6.5703125" style="1768" customWidth="1"/>
    <col min="1285" max="1285" width="1.5703125" style="1768" customWidth="1"/>
    <col min="1286" max="1286" width="12.5703125" style="1768" customWidth="1"/>
    <col min="1287" max="1287" width="1.5703125" style="1768" customWidth="1"/>
    <col min="1288" max="1288" width="19.5703125" style="1768" customWidth="1"/>
    <col min="1289" max="1289" width="2.5703125" style="1768" customWidth="1"/>
    <col min="1290" max="1290" width="10.5703125" style="1768" customWidth="1"/>
    <col min="1291" max="1291" width="0.5703125" style="1768" customWidth="1"/>
    <col min="1292" max="1292" width="6.42578125" style="1768" customWidth="1"/>
    <col min="1293" max="1293" width="1.5703125" style="1768" customWidth="1"/>
    <col min="1294" max="1294" width="12.5703125" style="1768" customWidth="1"/>
    <col min="1295" max="1295" width="1.5703125" style="1768" customWidth="1"/>
    <col min="1296" max="1296" width="21" style="1768" customWidth="1"/>
    <col min="1297" max="1297" width="4.5703125" style="1768" customWidth="1"/>
    <col min="1298" max="1311" width="0" style="1768" hidden="1" customWidth="1"/>
    <col min="1312" max="1536" width="9.42578125" style="1768"/>
    <col min="1537" max="1537" width="0" style="1768" hidden="1" customWidth="1"/>
    <col min="1538" max="1538" width="10.42578125" style="1768" customWidth="1"/>
    <col min="1539" max="1539" width="1.42578125" style="1768" customWidth="1"/>
    <col min="1540" max="1540" width="6.5703125" style="1768" customWidth="1"/>
    <col min="1541" max="1541" width="1.5703125" style="1768" customWidth="1"/>
    <col min="1542" max="1542" width="12.5703125" style="1768" customWidth="1"/>
    <col min="1543" max="1543" width="1.5703125" style="1768" customWidth="1"/>
    <col min="1544" max="1544" width="19.5703125" style="1768" customWidth="1"/>
    <col min="1545" max="1545" width="2.5703125" style="1768" customWidth="1"/>
    <col min="1546" max="1546" width="10.5703125" style="1768" customWidth="1"/>
    <col min="1547" max="1547" width="0.5703125" style="1768" customWidth="1"/>
    <col min="1548" max="1548" width="6.42578125" style="1768" customWidth="1"/>
    <col min="1549" max="1549" width="1.5703125" style="1768" customWidth="1"/>
    <col min="1550" max="1550" width="12.5703125" style="1768" customWidth="1"/>
    <col min="1551" max="1551" width="1.5703125" style="1768" customWidth="1"/>
    <col min="1552" max="1552" width="21" style="1768" customWidth="1"/>
    <col min="1553" max="1553" width="4.5703125" style="1768" customWidth="1"/>
    <col min="1554" max="1567" width="0" style="1768" hidden="1" customWidth="1"/>
    <col min="1568" max="1792" width="9.42578125" style="1768"/>
    <col min="1793" max="1793" width="0" style="1768" hidden="1" customWidth="1"/>
    <col min="1794" max="1794" width="10.42578125" style="1768" customWidth="1"/>
    <col min="1795" max="1795" width="1.42578125" style="1768" customWidth="1"/>
    <col min="1796" max="1796" width="6.5703125" style="1768" customWidth="1"/>
    <col min="1797" max="1797" width="1.5703125" style="1768" customWidth="1"/>
    <col min="1798" max="1798" width="12.5703125" style="1768" customWidth="1"/>
    <col min="1799" max="1799" width="1.5703125" style="1768" customWidth="1"/>
    <col min="1800" max="1800" width="19.5703125" style="1768" customWidth="1"/>
    <col min="1801" max="1801" width="2.5703125" style="1768" customWidth="1"/>
    <col min="1802" max="1802" width="10.5703125" style="1768" customWidth="1"/>
    <col min="1803" max="1803" width="0.5703125" style="1768" customWidth="1"/>
    <col min="1804" max="1804" width="6.42578125" style="1768" customWidth="1"/>
    <col min="1805" max="1805" width="1.5703125" style="1768" customWidth="1"/>
    <col min="1806" max="1806" width="12.5703125" style="1768" customWidth="1"/>
    <col min="1807" max="1807" width="1.5703125" style="1768" customWidth="1"/>
    <col min="1808" max="1808" width="21" style="1768" customWidth="1"/>
    <col min="1809" max="1809" width="4.5703125" style="1768" customWidth="1"/>
    <col min="1810" max="1823" width="0" style="1768" hidden="1" customWidth="1"/>
    <col min="1824" max="2048" width="9.42578125" style="1768"/>
    <col min="2049" max="2049" width="0" style="1768" hidden="1" customWidth="1"/>
    <col min="2050" max="2050" width="10.42578125" style="1768" customWidth="1"/>
    <col min="2051" max="2051" width="1.42578125" style="1768" customWidth="1"/>
    <col min="2052" max="2052" width="6.5703125" style="1768" customWidth="1"/>
    <col min="2053" max="2053" width="1.5703125" style="1768" customWidth="1"/>
    <col min="2054" max="2054" width="12.5703125" style="1768" customWidth="1"/>
    <col min="2055" max="2055" width="1.5703125" style="1768" customWidth="1"/>
    <col min="2056" max="2056" width="19.5703125" style="1768" customWidth="1"/>
    <col min="2057" max="2057" width="2.5703125" style="1768" customWidth="1"/>
    <col min="2058" max="2058" width="10.5703125" style="1768" customWidth="1"/>
    <col min="2059" max="2059" width="0.5703125" style="1768" customWidth="1"/>
    <col min="2060" max="2060" width="6.42578125" style="1768" customWidth="1"/>
    <col min="2061" max="2061" width="1.5703125" style="1768" customWidth="1"/>
    <col min="2062" max="2062" width="12.5703125" style="1768" customWidth="1"/>
    <col min="2063" max="2063" width="1.5703125" style="1768" customWidth="1"/>
    <col min="2064" max="2064" width="21" style="1768" customWidth="1"/>
    <col min="2065" max="2065" width="4.5703125" style="1768" customWidth="1"/>
    <col min="2066" max="2079" width="0" style="1768" hidden="1" customWidth="1"/>
    <col min="2080" max="2304" width="9.42578125" style="1768"/>
    <col min="2305" max="2305" width="0" style="1768" hidden="1" customWidth="1"/>
    <col min="2306" max="2306" width="10.42578125" style="1768" customWidth="1"/>
    <col min="2307" max="2307" width="1.42578125" style="1768" customWidth="1"/>
    <col min="2308" max="2308" width="6.5703125" style="1768" customWidth="1"/>
    <col min="2309" max="2309" width="1.5703125" style="1768" customWidth="1"/>
    <col min="2310" max="2310" width="12.5703125" style="1768" customWidth="1"/>
    <col min="2311" max="2311" width="1.5703125" style="1768" customWidth="1"/>
    <col min="2312" max="2312" width="19.5703125" style="1768" customWidth="1"/>
    <col min="2313" max="2313" width="2.5703125" style="1768" customWidth="1"/>
    <col min="2314" max="2314" width="10.5703125" style="1768" customWidth="1"/>
    <col min="2315" max="2315" width="0.5703125" style="1768" customWidth="1"/>
    <col min="2316" max="2316" width="6.42578125" style="1768" customWidth="1"/>
    <col min="2317" max="2317" width="1.5703125" style="1768" customWidth="1"/>
    <col min="2318" max="2318" width="12.5703125" style="1768" customWidth="1"/>
    <col min="2319" max="2319" width="1.5703125" style="1768" customWidth="1"/>
    <col min="2320" max="2320" width="21" style="1768" customWidth="1"/>
    <col min="2321" max="2321" width="4.5703125" style="1768" customWidth="1"/>
    <col min="2322" max="2335" width="0" style="1768" hidden="1" customWidth="1"/>
    <col min="2336" max="2560" width="9.42578125" style="1768"/>
    <col min="2561" max="2561" width="0" style="1768" hidden="1" customWidth="1"/>
    <col min="2562" max="2562" width="10.42578125" style="1768" customWidth="1"/>
    <col min="2563" max="2563" width="1.42578125" style="1768" customWidth="1"/>
    <col min="2564" max="2564" width="6.5703125" style="1768" customWidth="1"/>
    <col min="2565" max="2565" width="1.5703125" style="1768" customWidth="1"/>
    <col min="2566" max="2566" width="12.5703125" style="1768" customWidth="1"/>
    <col min="2567" max="2567" width="1.5703125" style="1768" customWidth="1"/>
    <col min="2568" max="2568" width="19.5703125" style="1768" customWidth="1"/>
    <col min="2569" max="2569" width="2.5703125" style="1768" customWidth="1"/>
    <col min="2570" max="2570" width="10.5703125" style="1768" customWidth="1"/>
    <col min="2571" max="2571" width="0.5703125" style="1768" customWidth="1"/>
    <col min="2572" max="2572" width="6.42578125" style="1768" customWidth="1"/>
    <col min="2573" max="2573" width="1.5703125" style="1768" customWidth="1"/>
    <col min="2574" max="2574" width="12.5703125" style="1768" customWidth="1"/>
    <col min="2575" max="2575" width="1.5703125" style="1768" customWidth="1"/>
    <col min="2576" max="2576" width="21" style="1768" customWidth="1"/>
    <col min="2577" max="2577" width="4.5703125" style="1768" customWidth="1"/>
    <col min="2578" max="2591" width="0" style="1768" hidden="1" customWidth="1"/>
    <col min="2592" max="2816" width="9.42578125" style="1768"/>
    <col min="2817" max="2817" width="0" style="1768" hidden="1" customWidth="1"/>
    <col min="2818" max="2818" width="10.42578125" style="1768" customWidth="1"/>
    <col min="2819" max="2819" width="1.42578125" style="1768" customWidth="1"/>
    <col min="2820" max="2820" width="6.5703125" style="1768" customWidth="1"/>
    <col min="2821" max="2821" width="1.5703125" style="1768" customWidth="1"/>
    <col min="2822" max="2822" width="12.5703125" style="1768" customWidth="1"/>
    <col min="2823" max="2823" width="1.5703125" style="1768" customWidth="1"/>
    <col min="2824" max="2824" width="19.5703125" style="1768" customWidth="1"/>
    <col min="2825" max="2825" width="2.5703125" style="1768" customWidth="1"/>
    <col min="2826" max="2826" width="10.5703125" style="1768" customWidth="1"/>
    <col min="2827" max="2827" width="0.5703125" style="1768" customWidth="1"/>
    <col min="2828" max="2828" width="6.42578125" style="1768" customWidth="1"/>
    <col min="2829" max="2829" width="1.5703125" style="1768" customWidth="1"/>
    <col min="2830" max="2830" width="12.5703125" style="1768" customWidth="1"/>
    <col min="2831" max="2831" width="1.5703125" style="1768" customWidth="1"/>
    <col min="2832" max="2832" width="21" style="1768" customWidth="1"/>
    <col min="2833" max="2833" width="4.5703125" style="1768" customWidth="1"/>
    <col min="2834" max="2847" width="0" style="1768" hidden="1" customWidth="1"/>
    <col min="2848" max="3072" width="9.42578125" style="1768"/>
    <col min="3073" max="3073" width="0" style="1768" hidden="1" customWidth="1"/>
    <col min="3074" max="3074" width="10.42578125" style="1768" customWidth="1"/>
    <col min="3075" max="3075" width="1.42578125" style="1768" customWidth="1"/>
    <col min="3076" max="3076" width="6.5703125" style="1768" customWidth="1"/>
    <col min="3077" max="3077" width="1.5703125" style="1768" customWidth="1"/>
    <col min="3078" max="3078" width="12.5703125" style="1768" customWidth="1"/>
    <col min="3079" max="3079" width="1.5703125" style="1768" customWidth="1"/>
    <col min="3080" max="3080" width="19.5703125" style="1768" customWidth="1"/>
    <col min="3081" max="3081" width="2.5703125" style="1768" customWidth="1"/>
    <col min="3082" max="3082" width="10.5703125" style="1768" customWidth="1"/>
    <col min="3083" max="3083" width="0.5703125" style="1768" customWidth="1"/>
    <col min="3084" max="3084" width="6.42578125" style="1768" customWidth="1"/>
    <col min="3085" max="3085" width="1.5703125" style="1768" customWidth="1"/>
    <col min="3086" max="3086" width="12.5703125" style="1768" customWidth="1"/>
    <col min="3087" max="3087" width="1.5703125" style="1768" customWidth="1"/>
    <col min="3088" max="3088" width="21" style="1768" customWidth="1"/>
    <col min="3089" max="3089" width="4.5703125" style="1768" customWidth="1"/>
    <col min="3090" max="3103" width="0" style="1768" hidden="1" customWidth="1"/>
    <col min="3104" max="3328" width="9.42578125" style="1768"/>
    <col min="3329" max="3329" width="0" style="1768" hidden="1" customWidth="1"/>
    <col min="3330" max="3330" width="10.42578125" style="1768" customWidth="1"/>
    <col min="3331" max="3331" width="1.42578125" style="1768" customWidth="1"/>
    <col min="3332" max="3332" width="6.5703125" style="1768" customWidth="1"/>
    <col min="3333" max="3333" width="1.5703125" style="1768" customWidth="1"/>
    <col min="3334" max="3334" width="12.5703125" style="1768" customWidth="1"/>
    <col min="3335" max="3335" width="1.5703125" style="1768" customWidth="1"/>
    <col min="3336" max="3336" width="19.5703125" style="1768" customWidth="1"/>
    <col min="3337" max="3337" width="2.5703125" style="1768" customWidth="1"/>
    <col min="3338" max="3338" width="10.5703125" style="1768" customWidth="1"/>
    <col min="3339" max="3339" width="0.5703125" style="1768" customWidth="1"/>
    <col min="3340" max="3340" width="6.42578125" style="1768" customWidth="1"/>
    <col min="3341" max="3341" width="1.5703125" style="1768" customWidth="1"/>
    <col min="3342" max="3342" width="12.5703125" style="1768" customWidth="1"/>
    <col min="3343" max="3343" width="1.5703125" style="1768" customWidth="1"/>
    <col min="3344" max="3344" width="21" style="1768" customWidth="1"/>
    <col min="3345" max="3345" width="4.5703125" style="1768" customWidth="1"/>
    <col min="3346" max="3359" width="0" style="1768" hidden="1" customWidth="1"/>
    <col min="3360" max="3584" width="9.42578125" style="1768"/>
    <col min="3585" max="3585" width="0" style="1768" hidden="1" customWidth="1"/>
    <col min="3586" max="3586" width="10.42578125" style="1768" customWidth="1"/>
    <col min="3587" max="3587" width="1.42578125" style="1768" customWidth="1"/>
    <col min="3588" max="3588" width="6.5703125" style="1768" customWidth="1"/>
    <col min="3589" max="3589" width="1.5703125" style="1768" customWidth="1"/>
    <col min="3590" max="3590" width="12.5703125" style="1768" customWidth="1"/>
    <col min="3591" max="3591" width="1.5703125" style="1768" customWidth="1"/>
    <col min="3592" max="3592" width="19.5703125" style="1768" customWidth="1"/>
    <col min="3593" max="3593" width="2.5703125" style="1768" customWidth="1"/>
    <col min="3594" max="3594" width="10.5703125" style="1768" customWidth="1"/>
    <col min="3595" max="3595" width="0.5703125" style="1768" customWidth="1"/>
    <col min="3596" max="3596" width="6.42578125" style="1768" customWidth="1"/>
    <col min="3597" max="3597" width="1.5703125" style="1768" customWidth="1"/>
    <col min="3598" max="3598" width="12.5703125" style="1768" customWidth="1"/>
    <col min="3599" max="3599" width="1.5703125" style="1768" customWidth="1"/>
    <col min="3600" max="3600" width="21" style="1768" customWidth="1"/>
    <col min="3601" max="3601" width="4.5703125" style="1768" customWidth="1"/>
    <col min="3602" max="3615" width="0" style="1768" hidden="1" customWidth="1"/>
    <col min="3616" max="3840" width="9.42578125" style="1768"/>
    <col min="3841" max="3841" width="0" style="1768" hidden="1" customWidth="1"/>
    <col min="3842" max="3842" width="10.42578125" style="1768" customWidth="1"/>
    <col min="3843" max="3843" width="1.42578125" style="1768" customWidth="1"/>
    <col min="3844" max="3844" width="6.5703125" style="1768" customWidth="1"/>
    <col min="3845" max="3845" width="1.5703125" style="1768" customWidth="1"/>
    <col min="3846" max="3846" width="12.5703125" style="1768" customWidth="1"/>
    <col min="3847" max="3847" width="1.5703125" style="1768" customWidth="1"/>
    <col min="3848" max="3848" width="19.5703125" style="1768" customWidth="1"/>
    <col min="3849" max="3849" width="2.5703125" style="1768" customWidth="1"/>
    <col min="3850" max="3850" width="10.5703125" style="1768" customWidth="1"/>
    <col min="3851" max="3851" width="0.5703125" style="1768" customWidth="1"/>
    <col min="3852" max="3852" width="6.42578125" style="1768" customWidth="1"/>
    <col min="3853" max="3853" width="1.5703125" style="1768" customWidth="1"/>
    <col min="3854" max="3854" width="12.5703125" style="1768" customWidth="1"/>
    <col min="3855" max="3855" width="1.5703125" style="1768" customWidth="1"/>
    <col min="3856" max="3856" width="21" style="1768" customWidth="1"/>
    <col min="3857" max="3857" width="4.5703125" style="1768" customWidth="1"/>
    <col min="3858" max="3871" width="0" style="1768" hidden="1" customWidth="1"/>
    <col min="3872" max="4096" width="9.42578125" style="1768"/>
    <col min="4097" max="4097" width="0" style="1768" hidden="1" customWidth="1"/>
    <col min="4098" max="4098" width="10.42578125" style="1768" customWidth="1"/>
    <col min="4099" max="4099" width="1.42578125" style="1768" customWidth="1"/>
    <col min="4100" max="4100" width="6.5703125" style="1768" customWidth="1"/>
    <col min="4101" max="4101" width="1.5703125" style="1768" customWidth="1"/>
    <col min="4102" max="4102" width="12.5703125" style="1768" customWidth="1"/>
    <col min="4103" max="4103" width="1.5703125" style="1768" customWidth="1"/>
    <col min="4104" max="4104" width="19.5703125" style="1768" customWidth="1"/>
    <col min="4105" max="4105" width="2.5703125" style="1768" customWidth="1"/>
    <col min="4106" max="4106" width="10.5703125" style="1768" customWidth="1"/>
    <col min="4107" max="4107" width="0.5703125" style="1768" customWidth="1"/>
    <col min="4108" max="4108" width="6.42578125" style="1768" customWidth="1"/>
    <col min="4109" max="4109" width="1.5703125" style="1768" customWidth="1"/>
    <col min="4110" max="4110" width="12.5703125" style="1768" customWidth="1"/>
    <col min="4111" max="4111" width="1.5703125" style="1768" customWidth="1"/>
    <col min="4112" max="4112" width="21" style="1768" customWidth="1"/>
    <col min="4113" max="4113" width="4.5703125" style="1768" customWidth="1"/>
    <col min="4114" max="4127" width="0" style="1768" hidden="1" customWidth="1"/>
    <col min="4128" max="4352" width="9.42578125" style="1768"/>
    <col min="4353" max="4353" width="0" style="1768" hidden="1" customWidth="1"/>
    <col min="4354" max="4354" width="10.42578125" style="1768" customWidth="1"/>
    <col min="4355" max="4355" width="1.42578125" style="1768" customWidth="1"/>
    <col min="4356" max="4356" width="6.5703125" style="1768" customWidth="1"/>
    <col min="4357" max="4357" width="1.5703125" style="1768" customWidth="1"/>
    <col min="4358" max="4358" width="12.5703125" style="1768" customWidth="1"/>
    <col min="4359" max="4359" width="1.5703125" style="1768" customWidth="1"/>
    <col min="4360" max="4360" width="19.5703125" style="1768" customWidth="1"/>
    <col min="4361" max="4361" width="2.5703125" style="1768" customWidth="1"/>
    <col min="4362" max="4362" width="10.5703125" style="1768" customWidth="1"/>
    <col min="4363" max="4363" width="0.5703125" style="1768" customWidth="1"/>
    <col min="4364" max="4364" width="6.42578125" style="1768" customWidth="1"/>
    <col min="4365" max="4365" width="1.5703125" style="1768" customWidth="1"/>
    <col min="4366" max="4366" width="12.5703125" style="1768" customWidth="1"/>
    <col min="4367" max="4367" width="1.5703125" style="1768" customWidth="1"/>
    <col min="4368" max="4368" width="21" style="1768" customWidth="1"/>
    <col min="4369" max="4369" width="4.5703125" style="1768" customWidth="1"/>
    <col min="4370" max="4383" width="0" style="1768" hidden="1" customWidth="1"/>
    <col min="4384" max="4608" width="9.42578125" style="1768"/>
    <col min="4609" max="4609" width="0" style="1768" hidden="1" customWidth="1"/>
    <col min="4610" max="4610" width="10.42578125" style="1768" customWidth="1"/>
    <col min="4611" max="4611" width="1.42578125" style="1768" customWidth="1"/>
    <col min="4612" max="4612" width="6.5703125" style="1768" customWidth="1"/>
    <col min="4613" max="4613" width="1.5703125" style="1768" customWidth="1"/>
    <col min="4614" max="4614" width="12.5703125" style="1768" customWidth="1"/>
    <col min="4615" max="4615" width="1.5703125" style="1768" customWidth="1"/>
    <col min="4616" max="4616" width="19.5703125" style="1768" customWidth="1"/>
    <col min="4617" max="4617" width="2.5703125" style="1768" customWidth="1"/>
    <col min="4618" max="4618" width="10.5703125" style="1768" customWidth="1"/>
    <col min="4619" max="4619" width="0.5703125" style="1768" customWidth="1"/>
    <col min="4620" max="4620" width="6.42578125" style="1768" customWidth="1"/>
    <col min="4621" max="4621" width="1.5703125" style="1768" customWidth="1"/>
    <col min="4622" max="4622" width="12.5703125" style="1768" customWidth="1"/>
    <col min="4623" max="4623" width="1.5703125" style="1768" customWidth="1"/>
    <col min="4624" max="4624" width="21" style="1768" customWidth="1"/>
    <col min="4625" max="4625" width="4.5703125" style="1768" customWidth="1"/>
    <col min="4626" max="4639" width="0" style="1768" hidden="1" customWidth="1"/>
    <col min="4640" max="4864" width="9.42578125" style="1768"/>
    <col min="4865" max="4865" width="0" style="1768" hidden="1" customWidth="1"/>
    <col min="4866" max="4866" width="10.42578125" style="1768" customWidth="1"/>
    <col min="4867" max="4867" width="1.42578125" style="1768" customWidth="1"/>
    <col min="4868" max="4868" width="6.5703125" style="1768" customWidth="1"/>
    <col min="4869" max="4869" width="1.5703125" style="1768" customWidth="1"/>
    <col min="4870" max="4870" width="12.5703125" style="1768" customWidth="1"/>
    <col min="4871" max="4871" width="1.5703125" style="1768" customWidth="1"/>
    <col min="4872" max="4872" width="19.5703125" style="1768" customWidth="1"/>
    <col min="4873" max="4873" width="2.5703125" style="1768" customWidth="1"/>
    <col min="4874" max="4874" width="10.5703125" style="1768" customWidth="1"/>
    <col min="4875" max="4875" width="0.5703125" style="1768" customWidth="1"/>
    <col min="4876" max="4876" width="6.42578125" style="1768" customWidth="1"/>
    <col min="4877" max="4877" width="1.5703125" style="1768" customWidth="1"/>
    <col min="4878" max="4878" width="12.5703125" style="1768" customWidth="1"/>
    <col min="4879" max="4879" width="1.5703125" style="1768" customWidth="1"/>
    <col min="4880" max="4880" width="21" style="1768" customWidth="1"/>
    <col min="4881" max="4881" width="4.5703125" style="1768" customWidth="1"/>
    <col min="4882" max="4895" width="0" style="1768" hidden="1" customWidth="1"/>
    <col min="4896" max="5120" width="9.42578125" style="1768"/>
    <col min="5121" max="5121" width="0" style="1768" hidden="1" customWidth="1"/>
    <col min="5122" max="5122" width="10.42578125" style="1768" customWidth="1"/>
    <col min="5123" max="5123" width="1.42578125" style="1768" customWidth="1"/>
    <col min="5124" max="5124" width="6.5703125" style="1768" customWidth="1"/>
    <col min="5125" max="5125" width="1.5703125" style="1768" customWidth="1"/>
    <col min="5126" max="5126" width="12.5703125" style="1768" customWidth="1"/>
    <col min="5127" max="5127" width="1.5703125" style="1768" customWidth="1"/>
    <col min="5128" max="5128" width="19.5703125" style="1768" customWidth="1"/>
    <col min="5129" max="5129" width="2.5703125" style="1768" customWidth="1"/>
    <col min="5130" max="5130" width="10.5703125" style="1768" customWidth="1"/>
    <col min="5131" max="5131" width="0.5703125" style="1768" customWidth="1"/>
    <col min="5132" max="5132" width="6.42578125" style="1768" customWidth="1"/>
    <col min="5133" max="5133" width="1.5703125" style="1768" customWidth="1"/>
    <col min="5134" max="5134" width="12.5703125" style="1768" customWidth="1"/>
    <col min="5135" max="5135" width="1.5703125" style="1768" customWidth="1"/>
    <col min="5136" max="5136" width="21" style="1768" customWidth="1"/>
    <col min="5137" max="5137" width="4.5703125" style="1768" customWidth="1"/>
    <col min="5138" max="5151" width="0" style="1768" hidden="1" customWidth="1"/>
    <col min="5152" max="5376" width="9.42578125" style="1768"/>
    <col min="5377" max="5377" width="0" style="1768" hidden="1" customWidth="1"/>
    <col min="5378" max="5378" width="10.42578125" style="1768" customWidth="1"/>
    <col min="5379" max="5379" width="1.42578125" style="1768" customWidth="1"/>
    <col min="5380" max="5380" width="6.5703125" style="1768" customWidth="1"/>
    <col min="5381" max="5381" width="1.5703125" style="1768" customWidth="1"/>
    <col min="5382" max="5382" width="12.5703125" style="1768" customWidth="1"/>
    <col min="5383" max="5383" width="1.5703125" style="1768" customWidth="1"/>
    <col min="5384" max="5384" width="19.5703125" style="1768" customWidth="1"/>
    <col min="5385" max="5385" width="2.5703125" style="1768" customWidth="1"/>
    <col min="5386" max="5386" width="10.5703125" style="1768" customWidth="1"/>
    <col min="5387" max="5387" width="0.5703125" style="1768" customWidth="1"/>
    <col min="5388" max="5388" width="6.42578125" style="1768" customWidth="1"/>
    <col min="5389" max="5389" width="1.5703125" style="1768" customWidth="1"/>
    <col min="5390" max="5390" width="12.5703125" style="1768" customWidth="1"/>
    <col min="5391" max="5391" width="1.5703125" style="1768" customWidth="1"/>
    <col min="5392" max="5392" width="21" style="1768" customWidth="1"/>
    <col min="5393" max="5393" width="4.5703125" style="1768" customWidth="1"/>
    <col min="5394" max="5407" width="0" style="1768" hidden="1" customWidth="1"/>
    <col min="5408" max="5632" width="9.42578125" style="1768"/>
    <col min="5633" max="5633" width="0" style="1768" hidden="1" customWidth="1"/>
    <col min="5634" max="5634" width="10.42578125" style="1768" customWidth="1"/>
    <col min="5635" max="5635" width="1.42578125" style="1768" customWidth="1"/>
    <col min="5636" max="5636" width="6.5703125" style="1768" customWidth="1"/>
    <col min="5637" max="5637" width="1.5703125" style="1768" customWidth="1"/>
    <col min="5638" max="5638" width="12.5703125" style="1768" customWidth="1"/>
    <col min="5639" max="5639" width="1.5703125" style="1768" customWidth="1"/>
    <col min="5640" max="5640" width="19.5703125" style="1768" customWidth="1"/>
    <col min="5641" max="5641" width="2.5703125" style="1768" customWidth="1"/>
    <col min="5642" max="5642" width="10.5703125" style="1768" customWidth="1"/>
    <col min="5643" max="5643" width="0.5703125" style="1768" customWidth="1"/>
    <col min="5644" max="5644" width="6.42578125" style="1768" customWidth="1"/>
    <col min="5645" max="5645" width="1.5703125" style="1768" customWidth="1"/>
    <col min="5646" max="5646" width="12.5703125" style="1768" customWidth="1"/>
    <col min="5647" max="5647" width="1.5703125" style="1768" customWidth="1"/>
    <col min="5648" max="5648" width="21" style="1768" customWidth="1"/>
    <col min="5649" max="5649" width="4.5703125" style="1768" customWidth="1"/>
    <col min="5650" max="5663" width="0" style="1768" hidden="1" customWidth="1"/>
    <col min="5664" max="5888" width="9.42578125" style="1768"/>
    <col min="5889" max="5889" width="0" style="1768" hidden="1" customWidth="1"/>
    <col min="5890" max="5890" width="10.42578125" style="1768" customWidth="1"/>
    <col min="5891" max="5891" width="1.42578125" style="1768" customWidth="1"/>
    <col min="5892" max="5892" width="6.5703125" style="1768" customWidth="1"/>
    <col min="5893" max="5893" width="1.5703125" style="1768" customWidth="1"/>
    <col min="5894" max="5894" width="12.5703125" style="1768" customWidth="1"/>
    <col min="5895" max="5895" width="1.5703125" style="1768" customWidth="1"/>
    <col min="5896" max="5896" width="19.5703125" style="1768" customWidth="1"/>
    <col min="5897" max="5897" width="2.5703125" style="1768" customWidth="1"/>
    <col min="5898" max="5898" width="10.5703125" style="1768" customWidth="1"/>
    <col min="5899" max="5899" width="0.5703125" style="1768" customWidth="1"/>
    <col min="5900" max="5900" width="6.42578125" style="1768" customWidth="1"/>
    <col min="5901" max="5901" width="1.5703125" style="1768" customWidth="1"/>
    <col min="5902" max="5902" width="12.5703125" style="1768" customWidth="1"/>
    <col min="5903" max="5903" width="1.5703125" style="1768" customWidth="1"/>
    <col min="5904" max="5904" width="21" style="1768" customWidth="1"/>
    <col min="5905" max="5905" width="4.5703125" style="1768" customWidth="1"/>
    <col min="5906" max="5919" width="0" style="1768" hidden="1" customWidth="1"/>
    <col min="5920" max="6144" width="9.42578125" style="1768"/>
    <col min="6145" max="6145" width="0" style="1768" hidden="1" customWidth="1"/>
    <col min="6146" max="6146" width="10.42578125" style="1768" customWidth="1"/>
    <col min="6147" max="6147" width="1.42578125" style="1768" customWidth="1"/>
    <col min="6148" max="6148" width="6.5703125" style="1768" customWidth="1"/>
    <col min="6149" max="6149" width="1.5703125" style="1768" customWidth="1"/>
    <col min="6150" max="6150" width="12.5703125" style="1768" customWidth="1"/>
    <col min="6151" max="6151" width="1.5703125" style="1768" customWidth="1"/>
    <col min="6152" max="6152" width="19.5703125" style="1768" customWidth="1"/>
    <col min="6153" max="6153" width="2.5703125" style="1768" customWidth="1"/>
    <col min="6154" max="6154" width="10.5703125" style="1768" customWidth="1"/>
    <col min="6155" max="6155" width="0.5703125" style="1768" customWidth="1"/>
    <col min="6156" max="6156" width="6.42578125" style="1768" customWidth="1"/>
    <col min="6157" max="6157" width="1.5703125" style="1768" customWidth="1"/>
    <col min="6158" max="6158" width="12.5703125" style="1768" customWidth="1"/>
    <col min="6159" max="6159" width="1.5703125" style="1768" customWidth="1"/>
    <col min="6160" max="6160" width="21" style="1768" customWidth="1"/>
    <col min="6161" max="6161" width="4.5703125" style="1768" customWidth="1"/>
    <col min="6162" max="6175" width="0" style="1768" hidden="1" customWidth="1"/>
    <col min="6176" max="6400" width="9.42578125" style="1768"/>
    <col min="6401" max="6401" width="0" style="1768" hidden="1" customWidth="1"/>
    <col min="6402" max="6402" width="10.42578125" style="1768" customWidth="1"/>
    <col min="6403" max="6403" width="1.42578125" style="1768" customWidth="1"/>
    <col min="6404" max="6404" width="6.5703125" style="1768" customWidth="1"/>
    <col min="6405" max="6405" width="1.5703125" style="1768" customWidth="1"/>
    <col min="6406" max="6406" width="12.5703125" style="1768" customWidth="1"/>
    <col min="6407" max="6407" width="1.5703125" style="1768" customWidth="1"/>
    <col min="6408" max="6408" width="19.5703125" style="1768" customWidth="1"/>
    <col min="6409" max="6409" width="2.5703125" style="1768" customWidth="1"/>
    <col min="6410" max="6410" width="10.5703125" style="1768" customWidth="1"/>
    <col min="6411" max="6411" width="0.5703125" style="1768" customWidth="1"/>
    <col min="6412" max="6412" width="6.42578125" style="1768" customWidth="1"/>
    <col min="6413" max="6413" width="1.5703125" style="1768" customWidth="1"/>
    <col min="6414" max="6414" width="12.5703125" style="1768" customWidth="1"/>
    <col min="6415" max="6415" width="1.5703125" style="1768" customWidth="1"/>
    <col min="6416" max="6416" width="21" style="1768" customWidth="1"/>
    <col min="6417" max="6417" width="4.5703125" style="1768" customWidth="1"/>
    <col min="6418" max="6431" width="0" style="1768" hidden="1" customWidth="1"/>
    <col min="6432" max="6656" width="9.42578125" style="1768"/>
    <col min="6657" max="6657" width="0" style="1768" hidden="1" customWidth="1"/>
    <col min="6658" max="6658" width="10.42578125" style="1768" customWidth="1"/>
    <col min="6659" max="6659" width="1.42578125" style="1768" customWidth="1"/>
    <col min="6660" max="6660" width="6.5703125" style="1768" customWidth="1"/>
    <col min="6661" max="6661" width="1.5703125" style="1768" customWidth="1"/>
    <col min="6662" max="6662" width="12.5703125" style="1768" customWidth="1"/>
    <col min="6663" max="6663" width="1.5703125" style="1768" customWidth="1"/>
    <col min="6664" max="6664" width="19.5703125" style="1768" customWidth="1"/>
    <col min="6665" max="6665" width="2.5703125" style="1768" customWidth="1"/>
    <col min="6666" max="6666" width="10.5703125" style="1768" customWidth="1"/>
    <col min="6667" max="6667" width="0.5703125" style="1768" customWidth="1"/>
    <col min="6668" max="6668" width="6.42578125" style="1768" customWidth="1"/>
    <col min="6669" max="6669" width="1.5703125" style="1768" customWidth="1"/>
    <col min="6670" max="6670" width="12.5703125" style="1768" customWidth="1"/>
    <col min="6671" max="6671" width="1.5703125" style="1768" customWidth="1"/>
    <col min="6672" max="6672" width="21" style="1768" customWidth="1"/>
    <col min="6673" max="6673" width="4.5703125" style="1768" customWidth="1"/>
    <col min="6674" max="6687" width="0" style="1768" hidden="1" customWidth="1"/>
    <col min="6688" max="6912" width="9.42578125" style="1768"/>
    <col min="6913" max="6913" width="0" style="1768" hidden="1" customWidth="1"/>
    <col min="6914" max="6914" width="10.42578125" style="1768" customWidth="1"/>
    <col min="6915" max="6915" width="1.42578125" style="1768" customWidth="1"/>
    <col min="6916" max="6916" width="6.5703125" style="1768" customWidth="1"/>
    <col min="6917" max="6917" width="1.5703125" style="1768" customWidth="1"/>
    <col min="6918" max="6918" width="12.5703125" style="1768" customWidth="1"/>
    <col min="6919" max="6919" width="1.5703125" style="1768" customWidth="1"/>
    <col min="6920" max="6920" width="19.5703125" style="1768" customWidth="1"/>
    <col min="6921" max="6921" width="2.5703125" style="1768" customWidth="1"/>
    <col min="6922" max="6922" width="10.5703125" style="1768" customWidth="1"/>
    <col min="6923" max="6923" width="0.5703125" style="1768" customWidth="1"/>
    <col min="6924" max="6924" width="6.42578125" style="1768" customWidth="1"/>
    <col min="6925" max="6925" width="1.5703125" style="1768" customWidth="1"/>
    <col min="6926" max="6926" width="12.5703125" style="1768" customWidth="1"/>
    <col min="6927" max="6927" width="1.5703125" style="1768" customWidth="1"/>
    <col min="6928" max="6928" width="21" style="1768" customWidth="1"/>
    <col min="6929" max="6929" width="4.5703125" style="1768" customWidth="1"/>
    <col min="6930" max="6943" width="0" style="1768" hidden="1" customWidth="1"/>
    <col min="6944" max="7168" width="9.42578125" style="1768"/>
    <col min="7169" max="7169" width="0" style="1768" hidden="1" customWidth="1"/>
    <col min="7170" max="7170" width="10.42578125" style="1768" customWidth="1"/>
    <col min="7171" max="7171" width="1.42578125" style="1768" customWidth="1"/>
    <col min="7172" max="7172" width="6.5703125" style="1768" customWidth="1"/>
    <col min="7173" max="7173" width="1.5703125" style="1768" customWidth="1"/>
    <col min="7174" max="7174" width="12.5703125" style="1768" customWidth="1"/>
    <col min="7175" max="7175" width="1.5703125" style="1768" customWidth="1"/>
    <col min="7176" max="7176" width="19.5703125" style="1768" customWidth="1"/>
    <col min="7177" max="7177" width="2.5703125" style="1768" customWidth="1"/>
    <col min="7178" max="7178" width="10.5703125" style="1768" customWidth="1"/>
    <col min="7179" max="7179" width="0.5703125" style="1768" customWidth="1"/>
    <col min="7180" max="7180" width="6.42578125" style="1768" customWidth="1"/>
    <col min="7181" max="7181" width="1.5703125" style="1768" customWidth="1"/>
    <col min="7182" max="7182" width="12.5703125" style="1768" customWidth="1"/>
    <col min="7183" max="7183" width="1.5703125" style="1768" customWidth="1"/>
    <col min="7184" max="7184" width="21" style="1768" customWidth="1"/>
    <col min="7185" max="7185" width="4.5703125" style="1768" customWidth="1"/>
    <col min="7186" max="7199" width="0" style="1768" hidden="1" customWidth="1"/>
    <col min="7200" max="7424" width="9.42578125" style="1768"/>
    <col min="7425" max="7425" width="0" style="1768" hidden="1" customWidth="1"/>
    <col min="7426" max="7426" width="10.42578125" style="1768" customWidth="1"/>
    <col min="7427" max="7427" width="1.42578125" style="1768" customWidth="1"/>
    <col min="7428" max="7428" width="6.5703125" style="1768" customWidth="1"/>
    <col min="7429" max="7429" width="1.5703125" style="1768" customWidth="1"/>
    <col min="7430" max="7430" width="12.5703125" style="1768" customWidth="1"/>
    <col min="7431" max="7431" width="1.5703125" style="1768" customWidth="1"/>
    <col min="7432" max="7432" width="19.5703125" style="1768" customWidth="1"/>
    <col min="7433" max="7433" width="2.5703125" style="1768" customWidth="1"/>
    <col min="7434" max="7434" width="10.5703125" style="1768" customWidth="1"/>
    <col min="7435" max="7435" width="0.5703125" style="1768" customWidth="1"/>
    <col min="7436" max="7436" width="6.42578125" style="1768" customWidth="1"/>
    <col min="7437" max="7437" width="1.5703125" style="1768" customWidth="1"/>
    <col min="7438" max="7438" width="12.5703125" style="1768" customWidth="1"/>
    <col min="7439" max="7439" width="1.5703125" style="1768" customWidth="1"/>
    <col min="7440" max="7440" width="21" style="1768" customWidth="1"/>
    <col min="7441" max="7441" width="4.5703125" style="1768" customWidth="1"/>
    <col min="7442" max="7455" width="0" style="1768" hidden="1" customWidth="1"/>
    <col min="7456" max="7680" width="9.42578125" style="1768"/>
    <col min="7681" max="7681" width="0" style="1768" hidden="1" customWidth="1"/>
    <col min="7682" max="7682" width="10.42578125" style="1768" customWidth="1"/>
    <col min="7683" max="7683" width="1.42578125" style="1768" customWidth="1"/>
    <col min="7684" max="7684" width="6.5703125" style="1768" customWidth="1"/>
    <col min="7685" max="7685" width="1.5703125" style="1768" customWidth="1"/>
    <col min="7686" max="7686" width="12.5703125" style="1768" customWidth="1"/>
    <col min="7687" max="7687" width="1.5703125" style="1768" customWidth="1"/>
    <col min="7688" max="7688" width="19.5703125" style="1768" customWidth="1"/>
    <col min="7689" max="7689" width="2.5703125" style="1768" customWidth="1"/>
    <col min="7690" max="7690" width="10.5703125" style="1768" customWidth="1"/>
    <col min="7691" max="7691" width="0.5703125" style="1768" customWidth="1"/>
    <col min="7692" max="7692" width="6.42578125" style="1768" customWidth="1"/>
    <col min="7693" max="7693" width="1.5703125" style="1768" customWidth="1"/>
    <col min="7694" max="7694" width="12.5703125" style="1768" customWidth="1"/>
    <col min="7695" max="7695" width="1.5703125" style="1768" customWidth="1"/>
    <col min="7696" max="7696" width="21" style="1768" customWidth="1"/>
    <col min="7697" max="7697" width="4.5703125" style="1768" customWidth="1"/>
    <col min="7698" max="7711" width="0" style="1768" hidden="1" customWidth="1"/>
    <col min="7712" max="7936" width="9.42578125" style="1768"/>
    <col min="7937" max="7937" width="0" style="1768" hidden="1" customWidth="1"/>
    <col min="7938" max="7938" width="10.42578125" style="1768" customWidth="1"/>
    <col min="7939" max="7939" width="1.42578125" style="1768" customWidth="1"/>
    <col min="7940" max="7940" width="6.5703125" style="1768" customWidth="1"/>
    <col min="7941" max="7941" width="1.5703125" style="1768" customWidth="1"/>
    <col min="7942" max="7942" width="12.5703125" style="1768" customWidth="1"/>
    <col min="7943" max="7943" width="1.5703125" style="1768" customWidth="1"/>
    <col min="7944" max="7944" width="19.5703125" style="1768" customWidth="1"/>
    <col min="7945" max="7945" width="2.5703125" style="1768" customWidth="1"/>
    <col min="7946" max="7946" width="10.5703125" style="1768" customWidth="1"/>
    <col min="7947" max="7947" width="0.5703125" style="1768" customWidth="1"/>
    <col min="7948" max="7948" width="6.42578125" style="1768" customWidth="1"/>
    <col min="7949" max="7949" width="1.5703125" style="1768" customWidth="1"/>
    <col min="7950" max="7950" width="12.5703125" style="1768" customWidth="1"/>
    <col min="7951" max="7951" width="1.5703125" style="1768" customWidth="1"/>
    <col min="7952" max="7952" width="21" style="1768" customWidth="1"/>
    <col min="7953" max="7953" width="4.5703125" style="1768" customWidth="1"/>
    <col min="7954" max="7967" width="0" style="1768" hidden="1" customWidth="1"/>
    <col min="7968" max="8192" width="9.42578125" style="1768"/>
    <col min="8193" max="8193" width="0" style="1768" hidden="1" customWidth="1"/>
    <col min="8194" max="8194" width="10.42578125" style="1768" customWidth="1"/>
    <col min="8195" max="8195" width="1.42578125" style="1768" customWidth="1"/>
    <col min="8196" max="8196" width="6.5703125" style="1768" customWidth="1"/>
    <col min="8197" max="8197" width="1.5703125" style="1768" customWidth="1"/>
    <col min="8198" max="8198" width="12.5703125" style="1768" customWidth="1"/>
    <col min="8199" max="8199" width="1.5703125" style="1768" customWidth="1"/>
    <col min="8200" max="8200" width="19.5703125" style="1768" customWidth="1"/>
    <col min="8201" max="8201" width="2.5703125" style="1768" customWidth="1"/>
    <col min="8202" max="8202" width="10.5703125" style="1768" customWidth="1"/>
    <col min="8203" max="8203" width="0.5703125" style="1768" customWidth="1"/>
    <col min="8204" max="8204" width="6.42578125" style="1768" customWidth="1"/>
    <col min="8205" max="8205" width="1.5703125" style="1768" customWidth="1"/>
    <col min="8206" max="8206" width="12.5703125" style="1768" customWidth="1"/>
    <col min="8207" max="8207" width="1.5703125" style="1768" customWidth="1"/>
    <col min="8208" max="8208" width="21" style="1768" customWidth="1"/>
    <col min="8209" max="8209" width="4.5703125" style="1768" customWidth="1"/>
    <col min="8210" max="8223" width="0" style="1768" hidden="1" customWidth="1"/>
    <col min="8224" max="8448" width="9.42578125" style="1768"/>
    <col min="8449" max="8449" width="0" style="1768" hidden="1" customWidth="1"/>
    <col min="8450" max="8450" width="10.42578125" style="1768" customWidth="1"/>
    <col min="8451" max="8451" width="1.42578125" style="1768" customWidth="1"/>
    <col min="8452" max="8452" width="6.5703125" style="1768" customWidth="1"/>
    <col min="8453" max="8453" width="1.5703125" style="1768" customWidth="1"/>
    <col min="8454" max="8454" width="12.5703125" style="1768" customWidth="1"/>
    <col min="8455" max="8455" width="1.5703125" style="1768" customWidth="1"/>
    <col min="8456" max="8456" width="19.5703125" style="1768" customWidth="1"/>
    <col min="8457" max="8457" width="2.5703125" style="1768" customWidth="1"/>
    <col min="8458" max="8458" width="10.5703125" style="1768" customWidth="1"/>
    <col min="8459" max="8459" width="0.5703125" style="1768" customWidth="1"/>
    <col min="8460" max="8460" width="6.42578125" style="1768" customWidth="1"/>
    <col min="8461" max="8461" width="1.5703125" style="1768" customWidth="1"/>
    <col min="8462" max="8462" width="12.5703125" style="1768" customWidth="1"/>
    <col min="8463" max="8463" width="1.5703125" style="1768" customWidth="1"/>
    <col min="8464" max="8464" width="21" style="1768" customWidth="1"/>
    <col min="8465" max="8465" width="4.5703125" style="1768" customWidth="1"/>
    <col min="8466" max="8479" width="0" style="1768" hidden="1" customWidth="1"/>
    <col min="8480" max="8704" width="9.42578125" style="1768"/>
    <col min="8705" max="8705" width="0" style="1768" hidden="1" customWidth="1"/>
    <col min="8706" max="8706" width="10.42578125" style="1768" customWidth="1"/>
    <col min="8707" max="8707" width="1.42578125" style="1768" customWidth="1"/>
    <col min="8708" max="8708" width="6.5703125" style="1768" customWidth="1"/>
    <col min="8709" max="8709" width="1.5703125" style="1768" customWidth="1"/>
    <col min="8710" max="8710" width="12.5703125" style="1768" customWidth="1"/>
    <col min="8711" max="8711" width="1.5703125" style="1768" customWidth="1"/>
    <col min="8712" max="8712" width="19.5703125" style="1768" customWidth="1"/>
    <col min="8713" max="8713" width="2.5703125" style="1768" customWidth="1"/>
    <col min="8714" max="8714" width="10.5703125" style="1768" customWidth="1"/>
    <col min="8715" max="8715" width="0.5703125" style="1768" customWidth="1"/>
    <col min="8716" max="8716" width="6.42578125" style="1768" customWidth="1"/>
    <col min="8717" max="8717" width="1.5703125" style="1768" customWidth="1"/>
    <col min="8718" max="8718" width="12.5703125" style="1768" customWidth="1"/>
    <col min="8719" max="8719" width="1.5703125" style="1768" customWidth="1"/>
    <col min="8720" max="8720" width="21" style="1768" customWidth="1"/>
    <col min="8721" max="8721" width="4.5703125" style="1768" customWidth="1"/>
    <col min="8722" max="8735" width="0" style="1768" hidden="1" customWidth="1"/>
    <col min="8736" max="8960" width="9.42578125" style="1768"/>
    <col min="8961" max="8961" width="0" style="1768" hidden="1" customWidth="1"/>
    <col min="8962" max="8962" width="10.42578125" style="1768" customWidth="1"/>
    <col min="8963" max="8963" width="1.42578125" style="1768" customWidth="1"/>
    <col min="8964" max="8964" width="6.5703125" style="1768" customWidth="1"/>
    <col min="8965" max="8965" width="1.5703125" style="1768" customWidth="1"/>
    <col min="8966" max="8966" width="12.5703125" style="1768" customWidth="1"/>
    <col min="8967" max="8967" width="1.5703125" style="1768" customWidth="1"/>
    <col min="8968" max="8968" width="19.5703125" style="1768" customWidth="1"/>
    <col min="8969" max="8969" width="2.5703125" style="1768" customWidth="1"/>
    <col min="8970" max="8970" width="10.5703125" style="1768" customWidth="1"/>
    <col min="8971" max="8971" width="0.5703125" style="1768" customWidth="1"/>
    <col min="8972" max="8972" width="6.42578125" style="1768" customWidth="1"/>
    <col min="8973" max="8973" width="1.5703125" style="1768" customWidth="1"/>
    <col min="8974" max="8974" width="12.5703125" style="1768" customWidth="1"/>
    <col min="8975" max="8975" width="1.5703125" style="1768" customWidth="1"/>
    <col min="8976" max="8976" width="21" style="1768" customWidth="1"/>
    <col min="8977" max="8977" width="4.5703125" style="1768" customWidth="1"/>
    <col min="8978" max="8991" width="0" style="1768" hidden="1" customWidth="1"/>
    <col min="8992" max="9216" width="9.42578125" style="1768"/>
    <col min="9217" max="9217" width="0" style="1768" hidden="1" customWidth="1"/>
    <col min="9218" max="9218" width="10.42578125" style="1768" customWidth="1"/>
    <col min="9219" max="9219" width="1.42578125" style="1768" customWidth="1"/>
    <col min="9220" max="9220" width="6.5703125" style="1768" customWidth="1"/>
    <col min="9221" max="9221" width="1.5703125" style="1768" customWidth="1"/>
    <col min="9222" max="9222" width="12.5703125" style="1768" customWidth="1"/>
    <col min="9223" max="9223" width="1.5703125" style="1768" customWidth="1"/>
    <col min="9224" max="9224" width="19.5703125" style="1768" customWidth="1"/>
    <col min="9225" max="9225" width="2.5703125" style="1768" customWidth="1"/>
    <col min="9226" max="9226" width="10.5703125" style="1768" customWidth="1"/>
    <col min="9227" max="9227" width="0.5703125" style="1768" customWidth="1"/>
    <col min="9228" max="9228" width="6.42578125" style="1768" customWidth="1"/>
    <col min="9229" max="9229" width="1.5703125" style="1768" customWidth="1"/>
    <col min="9230" max="9230" width="12.5703125" style="1768" customWidth="1"/>
    <col min="9231" max="9231" width="1.5703125" style="1768" customWidth="1"/>
    <col min="9232" max="9232" width="21" style="1768" customWidth="1"/>
    <col min="9233" max="9233" width="4.5703125" style="1768" customWidth="1"/>
    <col min="9234" max="9247" width="0" style="1768" hidden="1" customWidth="1"/>
    <col min="9248" max="9472" width="9.42578125" style="1768"/>
    <col min="9473" max="9473" width="0" style="1768" hidden="1" customWidth="1"/>
    <col min="9474" max="9474" width="10.42578125" style="1768" customWidth="1"/>
    <col min="9475" max="9475" width="1.42578125" style="1768" customWidth="1"/>
    <col min="9476" max="9476" width="6.5703125" style="1768" customWidth="1"/>
    <col min="9477" max="9477" width="1.5703125" style="1768" customWidth="1"/>
    <col min="9478" max="9478" width="12.5703125" style="1768" customWidth="1"/>
    <col min="9479" max="9479" width="1.5703125" style="1768" customWidth="1"/>
    <col min="9480" max="9480" width="19.5703125" style="1768" customWidth="1"/>
    <col min="9481" max="9481" width="2.5703125" style="1768" customWidth="1"/>
    <col min="9482" max="9482" width="10.5703125" style="1768" customWidth="1"/>
    <col min="9483" max="9483" width="0.5703125" style="1768" customWidth="1"/>
    <col min="9484" max="9484" width="6.42578125" style="1768" customWidth="1"/>
    <col min="9485" max="9485" width="1.5703125" style="1768" customWidth="1"/>
    <col min="9486" max="9486" width="12.5703125" style="1768" customWidth="1"/>
    <col min="9487" max="9487" width="1.5703125" style="1768" customWidth="1"/>
    <col min="9488" max="9488" width="21" style="1768" customWidth="1"/>
    <col min="9489" max="9489" width="4.5703125" style="1768" customWidth="1"/>
    <col min="9490" max="9503" width="0" style="1768" hidden="1" customWidth="1"/>
    <col min="9504" max="9728" width="9.42578125" style="1768"/>
    <col min="9729" max="9729" width="0" style="1768" hidden="1" customWidth="1"/>
    <col min="9730" max="9730" width="10.42578125" style="1768" customWidth="1"/>
    <col min="9731" max="9731" width="1.42578125" style="1768" customWidth="1"/>
    <col min="9732" max="9732" width="6.5703125" style="1768" customWidth="1"/>
    <col min="9733" max="9733" width="1.5703125" style="1768" customWidth="1"/>
    <col min="9734" max="9734" width="12.5703125" style="1768" customWidth="1"/>
    <col min="9735" max="9735" width="1.5703125" style="1768" customWidth="1"/>
    <col min="9736" max="9736" width="19.5703125" style="1768" customWidth="1"/>
    <col min="9737" max="9737" width="2.5703125" style="1768" customWidth="1"/>
    <col min="9738" max="9738" width="10.5703125" style="1768" customWidth="1"/>
    <col min="9739" max="9739" width="0.5703125" style="1768" customWidth="1"/>
    <col min="9740" max="9740" width="6.42578125" style="1768" customWidth="1"/>
    <col min="9741" max="9741" width="1.5703125" style="1768" customWidth="1"/>
    <col min="9742" max="9742" width="12.5703125" style="1768" customWidth="1"/>
    <col min="9743" max="9743" width="1.5703125" style="1768" customWidth="1"/>
    <col min="9744" max="9744" width="21" style="1768" customWidth="1"/>
    <col min="9745" max="9745" width="4.5703125" style="1768" customWidth="1"/>
    <col min="9746" max="9759" width="0" style="1768" hidden="1" customWidth="1"/>
    <col min="9760" max="9984" width="9.42578125" style="1768"/>
    <col min="9985" max="9985" width="0" style="1768" hidden="1" customWidth="1"/>
    <col min="9986" max="9986" width="10.42578125" style="1768" customWidth="1"/>
    <col min="9987" max="9987" width="1.42578125" style="1768" customWidth="1"/>
    <col min="9988" max="9988" width="6.5703125" style="1768" customWidth="1"/>
    <col min="9989" max="9989" width="1.5703125" style="1768" customWidth="1"/>
    <col min="9990" max="9990" width="12.5703125" style="1768" customWidth="1"/>
    <col min="9991" max="9991" width="1.5703125" style="1768" customWidth="1"/>
    <col min="9992" max="9992" width="19.5703125" style="1768" customWidth="1"/>
    <col min="9993" max="9993" width="2.5703125" style="1768" customWidth="1"/>
    <col min="9994" max="9994" width="10.5703125" style="1768" customWidth="1"/>
    <col min="9995" max="9995" width="0.5703125" style="1768" customWidth="1"/>
    <col min="9996" max="9996" width="6.42578125" style="1768" customWidth="1"/>
    <col min="9997" max="9997" width="1.5703125" style="1768" customWidth="1"/>
    <col min="9998" max="9998" width="12.5703125" style="1768" customWidth="1"/>
    <col min="9999" max="9999" width="1.5703125" style="1768" customWidth="1"/>
    <col min="10000" max="10000" width="21" style="1768" customWidth="1"/>
    <col min="10001" max="10001" width="4.5703125" style="1768" customWidth="1"/>
    <col min="10002" max="10015" width="0" style="1768" hidden="1" customWidth="1"/>
    <col min="10016" max="10240" width="9.42578125" style="1768"/>
    <col min="10241" max="10241" width="0" style="1768" hidden="1" customWidth="1"/>
    <col min="10242" max="10242" width="10.42578125" style="1768" customWidth="1"/>
    <col min="10243" max="10243" width="1.42578125" style="1768" customWidth="1"/>
    <col min="10244" max="10244" width="6.5703125" style="1768" customWidth="1"/>
    <col min="10245" max="10245" width="1.5703125" style="1768" customWidth="1"/>
    <col min="10246" max="10246" width="12.5703125" style="1768" customWidth="1"/>
    <col min="10247" max="10247" width="1.5703125" style="1768" customWidth="1"/>
    <col min="10248" max="10248" width="19.5703125" style="1768" customWidth="1"/>
    <col min="10249" max="10249" width="2.5703125" style="1768" customWidth="1"/>
    <col min="10250" max="10250" width="10.5703125" style="1768" customWidth="1"/>
    <col min="10251" max="10251" width="0.5703125" style="1768" customWidth="1"/>
    <col min="10252" max="10252" width="6.42578125" style="1768" customWidth="1"/>
    <col min="10253" max="10253" width="1.5703125" style="1768" customWidth="1"/>
    <col min="10254" max="10254" width="12.5703125" style="1768" customWidth="1"/>
    <col min="10255" max="10255" width="1.5703125" style="1768" customWidth="1"/>
    <col min="10256" max="10256" width="21" style="1768" customWidth="1"/>
    <col min="10257" max="10257" width="4.5703125" style="1768" customWidth="1"/>
    <col min="10258" max="10271" width="0" style="1768" hidden="1" customWidth="1"/>
    <col min="10272" max="10496" width="9.42578125" style="1768"/>
    <col min="10497" max="10497" width="0" style="1768" hidden="1" customWidth="1"/>
    <col min="10498" max="10498" width="10.42578125" style="1768" customWidth="1"/>
    <col min="10499" max="10499" width="1.42578125" style="1768" customWidth="1"/>
    <col min="10500" max="10500" width="6.5703125" style="1768" customWidth="1"/>
    <col min="10501" max="10501" width="1.5703125" style="1768" customWidth="1"/>
    <col min="10502" max="10502" width="12.5703125" style="1768" customWidth="1"/>
    <col min="10503" max="10503" width="1.5703125" style="1768" customWidth="1"/>
    <col min="10504" max="10504" width="19.5703125" style="1768" customWidth="1"/>
    <col min="10505" max="10505" width="2.5703125" style="1768" customWidth="1"/>
    <col min="10506" max="10506" width="10.5703125" style="1768" customWidth="1"/>
    <col min="10507" max="10507" width="0.5703125" style="1768" customWidth="1"/>
    <col min="10508" max="10508" width="6.42578125" style="1768" customWidth="1"/>
    <col min="10509" max="10509" width="1.5703125" style="1768" customWidth="1"/>
    <col min="10510" max="10510" width="12.5703125" style="1768" customWidth="1"/>
    <col min="10511" max="10511" width="1.5703125" style="1768" customWidth="1"/>
    <col min="10512" max="10512" width="21" style="1768" customWidth="1"/>
    <col min="10513" max="10513" width="4.5703125" style="1768" customWidth="1"/>
    <col min="10514" max="10527" width="0" style="1768" hidden="1" customWidth="1"/>
    <col min="10528" max="10752" width="9.42578125" style="1768"/>
    <col min="10753" max="10753" width="0" style="1768" hidden="1" customWidth="1"/>
    <col min="10754" max="10754" width="10.42578125" style="1768" customWidth="1"/>
    <col min="10755" max="10755" width="1.42578125" style="1768" customWidth="1"/>
    <col min="10756" max="10756" width="6.5703125" style="1768" customWidth="1"/>
    <col min="10757" max="10757" width="1.5703125" style="1768" customWidth="1"/>
    <col min="10758" max="10758" width="12.5703125" style="1768" customWidth="1"/>
    <col min="10759" max="10759" width="1.5703125" style="1768" customWidth="1"/>
    <col min="10760" max="10760" width="19.5703125" style="1768" customWidth="1"/>
    <col min="10761" max="10761" width="2.5703125" style="1768" customWidth="1"/>
    <col min="10762" max="10762" width="10.5703125" style="1768" customWidth="1"/>
    <col min="10763" max="10763" width="0.5703125" style="1768" customWidth="1"/>
    <col min="10764" max="10764" width="6.42578125" style="1768" customWidth="1"/>
    <col min="10765" max="10765" width="1.5703125" style="1768" customWidth="1"/>
    <col min="10766" max="10766" width="12.5703125" style="1768" customWidth="1"/>
    <col min="10767" max="10767" width="1.5703125" style="1768" customWidth="1"/>
    <col min="10768" max="10768" width="21" style="1768" customWidth="1"/>
    <col min="10769" max="10769" width="4.5703125" style="1768" customWidth="1"/>
    <col min="10770" max="10783" width="0" style="1768" hidden="1" customWidth="1"/>
    <col min="10784" max="11008" width="9.42578125" style="1768"/>
    <col min="11009" max="11009" width="0" style="1768" hidden="1" customWidth="1"/>
    <col min="11010" max="11010" width="10.42578125" style="1768" customWidth="1"/>
    <col min="11011" max="11011" width="1.42578125" style="1768" customWidth="1"/>
    <col min="11012" max="11012" width="6.5703125" style="1768" customWidth="1"/>
    <col min="11013" max="11013" width="1.5703125" style="1768" customWidth="1"/>
    <col min="11014" max="11014" width="12.5703125" style="1768" customWidth="1"/>
    <col min="11015" max="11015" width="1.5703125" style="1768" customWidth="1"/>
    <col min="11016" max="11016" width="19.5703125" style="1768" customWidth="1"/>
    <col min="11017" max="11017" width="2.5703125" style="1768" customWidth="1"/>
    <col min="11018" max="11018" width="10.5703125" style="1768" customWidth="1"/>
    <col min="11019" max="11019" width="0.5703125" style="1768" customWidth="1"/>
    <col min="11020" max="11020" width="6.42578125" style="1768" customWidth="1"/>
    <col min="11021" max="11021" width="1.5703125" style="1768" customWidth="1"/>
    <col min="11022" max="11022" width="12.5703125" style="1768" customWidth="1"/>
    <col min="11023" max="11023" width="1.5703125" style="1768" customWidth="1"/>
    <col min="11024" max="11024" width="21" style="1768" customWidth="1"/>
    <col min="11025" max="11025" width="4.5703125" style="1768" customWidth="1"/>
    <col min="11026" max="11039" width="0" style="1768" hidden="1" customWidth="1"/>
    <col min="11040" max="11264" width="9.42578125" style="1768"/>
    <col min="11265" max="11265" width="0" style="1768" hidden="1" customWidth="1"/>
    <col min="11266" max="11266" width="10.42578125" style="1768" customWidth="1"/>
    <col min="11267" max="11267" width="1.42578125" style="1768" customWidth="1"/>
    <col min="11268" max="11268" width="6.5703125" style="1768" customWidth="1"/>
    <col min="11269" max="11269" width="1.5703125" style="1768" customWidth="1"/>
    <col min="11270" max="11270" width="12.5703125" style="1768" customWidth="1"/>
    <col min="11271" max="11271" width="1.5703125" style="1768" customWidth="1"/>
    <col min="11272" max="11272" width="19.5703125" style="1768" customWidth="1"/>
    <col min="11273" max="11273" width="2.5703125" style="1768" customWidth="1"/>
    <col min="11274" max="11274" width="10.5703125" style="1768" customWidth="1"/>
    <col min="11275" max="11275" width="0.5703125" style="1768" customWidth="1"/>
    <col min="11276" max="11276" width="6.42578125" style="1768" customWidth="1"/>
    <col min="11277" max="11277" width="1.5703125" style="1768" customWidth="1"/>
    <col min="11278" max="11278" width="12.5703125" style="1768" customWidth="1"/>
    <col min="11279" max="11279" width="1.5703125" style="1768" customWidth="1"/>
    <col min="11280" max="11280" width="21" style="1768" customWidth="1"/>
    <col min="11281" max="11281" width="4.5703125" style="1768" customWidth="1"/>
    <col min="11282" max="11295" width="0" style="1768" hidden="1" customWidth="1"/>
    <col min="11296" max="11520" width="9.42578125" style="1768"/>
    <col min="11521" max="11521" width="0" style="1768" hidden="1" customWidth="1"/>
    <col min="11522" max="11522" width="10.42578125" style="1768" customWidth="1"/>
    <col min="11523" max="11523" width="1.42578125" style="1768" customWidth="1"/>
    <col min="11524" max="11524" width="6.5703125" style="1768" customWidth="1"/>
    <col min="11525" max="11525" width="1.5703125" style="1768" customWidth="1"/>
    <col min="11526" max="11526" width="12.5703125" style="1768" customWidth="1"/>
    <col min="11527" max="11527" width="1.5703125" style="1768" customWidth="1"/>
    <col min="11528" max="11528" width="19.5703125" style="1768" customWidth="1"/>
    <col min="11529" max="11529" width="2.5703125" style="1768" customWidth="1"/>
    <col min="11530" max="11530" width="10.5703125" style="1768" customWidth="1"/>
    <col min="11531" max="11531" width="0.5703125" style="1768" customWidth="1"/>
    <col min="11532" max="11532" width="6.42578125" style="1768" customWidth="1"/>
    <col min="11533" max="11533" width="1.5703125" style="1768" customWidth="1"/>
    <col min="11534" max="11534" width="12.5703125" style="1768" customWidth="1"/>
    <col min="11535" max="11535" width="1.5703125" style="1768" customWidth="1"/>
    <col min="11536" max="11536" width="21" style="1768" customWidth="1"/>
    <col min="11537" max="11537" width="4.5703125" style="1768" customWidth="1"/>
    <col min="11538" max="11551" width="0" style="1768" hidden="1" customWidth="1"/>
    <col min="11552" max="11776" width="9.42578125" style="1768"/>
    <col min="11777" max="11777" width="0" style="1768" hidden="1" customWidth="1"/>
    <col min="11778" max="11778" width="10.42578125" style="1768" customWidth="1"/>
    <col min="11779" max="11779" width="1.42578125" style="1768" customWidth="1"/>
    <col min="11780" max="11780" width="6.5703125" style="1768" customWidth="1"/>
    <col min="11781" max="11781" width="1.5703125" style="1768" customWidth="1"/>
    <col min="11782" max="11782" width="12.5703125" style="1768" customWidth="1"/>
    <col min="11783" max="11783" width="1.5703125" style="1768" customWidth="1"/>
    <col min="11784" max="11784" width="19.5703125" style="1768" customWidth="1"/>
    <col min="11785" max="11785" width="2.5703125" style="1768" customWidth="1"/>
    <col min="11786" max="11786" width="10.5703125" style="1768" customWidth="1"/>
    <col min="11787" max="11787" width="0.5703125" style="1768" customWidth="1"/>
    <col min="11788" max="11788" width="6.42578125" style="1768" customWidth="1"/>
    <col min="11789" max="11789" width="1.5703125" style="1768" customWidth="1"/>
    <col min="11790" max="11790" width="12.5703125" style="1768" customWidth="1"/>
    <col min="11791" max="11791" width="1.5703125" style="1768" customWidth="1"/>
    <col min="11792" max="11792" width="21" style="1768" customWidth="1"/>
    <col min="11793" max="11793" width="4.5703125" style="1768" customWidth="1"/>
    <col min="11794" max="11807" width="0" style="1768" hidden="1" customWidth="1"/>
    <col min="11808" max="12032" width="9.42578125" style="1768"/>
    <col min="12033" max="12033" width="0" style="1768" hidden="1" customWidth="1"/>
    <col min="12034" max="12034" width="10.42578125" style="1768" customWidth="1"/>
    <col min="12035" max="12035" width="1.42578125" style="1768" customWidth="1"/>
    <col min="12036" max="12036" width="6.5703125" style="1768" customWidth="1"/>
    <col min="12037" max="12037" width="1.5703125" style="1768" customWidth="1"/>
    <col min="12038" max="12038" width="12.5703125" style="1768" customWidth="1"/>
    <col min="12039" max="12039" width="1.5703125" style="1768" customWidth="1"/>
    <col min="12040" max="12040" width="19.5703125" style="1768" customWidth="1"/>
    <col min="12041" max="12041" width="2.5703125" style="1768" customWidth="1"/>
    <col min="12042" max="12042" width="10.5703125" style="1768" customWidth="1"/>
    <col min="12043" max="12043" width="0.5703125" style="1768" customWidth="1"/>
    <col min="12044" max="12044" width="6.42578125" style="1768" customWidth="1"/>
    <col min="12045" max="12045" width="1.5703125" style="1768" customWidth="1"/>
    <col min="12046" max="12046" width="12.5703125" style="1768" customWidth="1"/>
    <col min="12047" max="12047" width="1.5703125" style="1768" customWidth="1"/>
    <col min="12048" max="12048" width="21" style="1768" customWidth="1"/>
    <col min="12049" max="12049" width="4.5703125" style="1768" customWidth="1"/>
    <col min="12050" max="12063" width="0" style="1768" hidden="1" customWidth="1"/>
    <col min="12064" max="12288" width="9.42578125" style="1768"/>
    <col min="12289" max="12289" width="0" style="1768" hidden="1" customWidth="1"/>
    <col min="12290" max="12290" width="10.42578125" style="1768" customWidth="1"/>
    <col min="12291" max="12291" width="1.42578125" style="1768" customWidth="1"/>
    <col min="12292" max="12292" width="6.5703125" style="1768" customWidth="1"/>
    <col min="12293" max="12293" width="1.5703125" style="1768" customWidth="1"/>
    <col min="12294" max="12294" width="12.5703125" style="1768" customWidth="1"/>
    <col min="12295" max="12295" width="1.5703125" style="1768" customWidth="1"/>
    <col min="12296" max="12296" width="19.5703125" style="1768" customWidth="1"/>
    <col min="12297" max="12297" width="2.5703125" style="1768" customWidth="1"/>
    <col min="12298" max="12298" width="10.5703125" style="1768" customWidth="1"/>
    <col min="12299" max="12299" width="0.5703125" style="1768" customWidth="1"/>
    <col min="12300" max="12300" width="6.42578125" style="1768" customWidth="1"/>
    <col min="12301" max="12301" width="1.5703125" style="1768" customWidth="1"/>
    <col min="12302" max="12302" width="12.5703125" style="1768" customWidth="1"/>
    <col min="12303" max="12303" width="1.5703125" style="1768" customWidth="1"/>
    <col min="12304" max="12304" width="21" style="1768" customWidth="1"/>
    <col min="12305" max="12305" width="4.5703125" style="1768" customWidth="1"/>
    <col min="12306" max="12319" width="0" style="1768" hidden="1" customWidth="1"/>
    <col min="12320" max="12544" width="9.42578125" style="1768"/>
    <col min="12545" max="12545" width="0" style="1768" hidden="1" customWidth="1"/>
    <col min="12546" max="12546" width="10.42578125" style="1768" customWidth="1"/>
    <col min="12547" max="12547" width="1.42578125" style="1768" customWidth="1"/>
    <col min="12548" max="12548" width="6.5703125" style="1768" customWidth="1"/>
    <col min="12549" max="12549" width="1.5703125" style="1768" customWidth="1"/>
    <col min="12550" max="12550" width="12.5703125" style="1768" customWidth="1"/>
    <col min="12551" max="12551" width="1.5703125" style="1768" customWidth="1"/>
    <col min="12552" max="12552" width="19.5703125" style="1768" customWidth="1"/>
    <col min="12553" max="12553" width="2.5703125" style="1768" customWidth="1"/>
    <col min="12554" max="12554" width="10.5703125" style="1768" customWidth="1"/>
    <col min="12555" max="12555" width="0.5703125" style="1768" customWidth="1"/>
    <col min="12556" max="12556" width="6.42578125" style="1768" customWidth="1"/>
    <col min="12557" max="12557" width="1.5703125" style="1768" customWidth="1"/>
    <col min="12558" max="12558" width="12.5703125" style="1768" customWidth="1"/>
    <col min="12559" max="12559" width="1.5703125" style="1768" customWidth="1"/>
    <col min="12560" max="12560" width="21" style="1768" customWidth="1"/>
    <col min="12561" max="12561" width="4.5703125" style="1768" customWidth="1"/>
    <col min="12562" max="12575" width="0" style="1768" hidden="1" customWidth="1"/>
    <col min="12576" max="12800" width="9.42578125" style="1768"/>
    <col min="12801" max="12801" width="0" style="1768" hidden="1" customWidth="1"/>
    <col min="12802" max="12802" width="10.42578125" style="1768" customWidth="1"/>
    <col min="12803" max="12803" width="1.42578125" style="1768" customWidth="1"/>
    <col min="12804" max="12804" width="6.5703125" style="1768" customWidth="1"/>
    <col min="12805" max="12805" width="1.5703125" style="1768" customWidth="1"/>
    <col min="12806" max="12806" width="12.5703125" style="1768" customWidth="1"/>
    <col min="12807" max="12807" width="1.5703125" style="1768" customWidth="1"/>
    <col min="12808" max="12808" width="19.5703125" style="1768" customWidth="1"/>
    <col min="12809" max="12809" width="2.5703125" style="1768" customWidth="1"/>
    <col min="12810" max="12810" width="10.5703125" style="1768" customWidth="1"/>
    <col min="12811" max="12811" width="0.5703125" style="1768" customWidth="1"/>
    <col min="12812" max="12812" width="6.42578125" style="1768" customWidth="1"/>
    <col min="12813" max="12813" width="1.5703125" style="1768" customWidth="1"/>
    <col min="12814" max="12814" width="12.5703125" style="1768" customWidth="1"/>
    <col min="12815" max="12815" width="1.5703125" style="1768" customWidth="1"/>
    <col min="12816" max="12816" width="21" style="1768" customWidth="1"/>
    <col min="12817" max="12817" width="4.5703125" style="1768" customWidth="1"/>
    <col min="12818" max="12831" width="0" style="1768" hidden="1" customWidth="1"/>
    <col min="12832" max="13056" width="9.42578125" style="1768"/>
    <col min="13057" max="13057" width="0" style="1768" hidden="1" customWidth="1"/>
    <col min="13058" max="13058" width="10.42578125" style="1768" customWidth="1"/>
    <col min="13059" max="13059" width="1.42578125" style="1768" customWidth="1"/>
    <col min="13060" max="13060" width="6.5703125" style="1768" customWidth="1"/>
    <col min="13061" max="13061" width="1.5703125" style="1768" customWidth="1"/>
    <col min="13062" max="13062" width="12.5703125" style="1768" customWidth="1"/>
    <col min="13063" max="13063" width="1.5703125" style="1768" customWidth="1"/>
    <col min="13064" max="13064" width="19.5703125" style="1768" customWidth="1"/>
    <col min="13065" max="13065" width="2.5703125" style="1768" customWidth="1"/>
    <col min="13066" max="13066" width="10.5703125" style="1768" customWidth="1"/>
    <col min="13067" max="13067" width="0.5703125" style="1768" customWidth="1"/>
    <col min="13068" max="13068" width="6.42578125" style="1768" customWidth="1"/>
    <col min="13069" max="13069" width="1.5703125" style="1768" customWidth="1"/>
    <col min="13070" max="13070" width="12.5703125" style="1768" customWidth="1"/>
    <col min="13071" max="13071" width="1.5703125" style="1768" customWidth="1"/>
    <col min="13072" max="13072" width="21" style="1768" customWidth="1"/>
    <col min="13073" max="13073" width="4.5703125" style="1768" customWidth="1"/>
    <col min="13074" max="13087" width="0" style="1768" hidden="1" customWidth="1"/>
    <col min="13088" max="13312" width="9.42578125" style="1768"/>
    <col min="13313" max="13313" width="0" style="1768" hidden="1" customWidth="1"/>
    <col min="13314" max="13314" width="10.42578125" style="1768" customWidth="1"/>
    <col min="13315" max="13315" width="1.42578125" style="1768" customWidth="1"/>
    <col min="13316" max="13316" width="6.5703125" style="1768" customWidth="1"/>
    <col min="13317" max="13317" width="1.5703125" style="1768" customWidth="1"/>
    <col min="13318" max="13318" width="12.5703125" style="1768" customWidth="1"/>
    <col min="13319" max="13319" width="1.5703125" style="1768" customWidth="1"/>
    <col min="13320" max="13320" width="19.5703125" style="1768" customWidth="1"/>
    <col min="13321" max="13321" width="2.5703125" style="1768" customWidth="1"/>
    <col min="13322" max="13322" width="10.5703125" style="1768" customWidth="1"/>
    <col min="13323" max="13323" width="0.5703125" style="1768" customWidth="1"/>
    <col min="13324" max="13324" width="6.42578125" style="1768" customWidth="1"/>
    <col min="13325" max="13325" width="1.5703125" style="1768" customWidth="1"/>
    <col min="13326" max="13326" width="12.5703125" style="1768" customWidth="1"/>
    <col min="13327" max="13327" width="1.5703125" style="1768" customWidth="1"/>
    <col min="13328" max="13328" width="21" style="1768" customWidth="1"/>
    <col min="13329" max="13329" width="4.5703125" style="1768" customWidth="1"/>
    <col min="13330" max="13343" width="0" style="1768" hidden="1" customWidth="1"/>
    <col min="13344" max="13568" width="9.42578125" style="1768"/>
    <col min="13569" max="13569" width="0" style="1768" hidden="1" customWidth="1"/>
    <col min="13570" max="13570" width="10.42578125" style="1768" customWidth="1"/>
    <col min="13571" max="13571" width="1.42578125" style="1768" customWidth="1"/>
    <col min="13572" max="13572" width="6.5703125" style="1768" customWidth="1"/>
    <col min="13573" max="13573" width="1.5703125" style="1768" customWidth="1"/>
    <col min="13574" max="13574" width="12.5703125" style="1768" customWidth="1"/>
    <col min="13575" max="13575" width="1.5703125" style="1768" customWidth="1"/>
    <col min="13576" max="13576" width="19.5703125" style="1768" customWidth="1"/>
    <col min="13577" max="13577" width="2.5703125" style="1768" customWidth="1"/>
    <col min="13578" max="13578" width="10.5703125" style="1768" customWidth="1"/>
    <col min="13579" max="13579" width="0.5703125" style="1768" customWidth="1"/>
    <col min="13580" max="13580" width="6.42578125" style="1768" customWidth="1"/>
    <col min="13581" max="13581" width="1.5703125" style="1768" customWidth="1"/>
    <col min="13582" max="13582" width="12.5703125" style="1768" customWidth="1"/>
    <col min="13583" max="13583" width="1.5703125" style="1768" customWidth="1"/>
    <col min="13584" max="13584" width="21" style="1768" customWidth="1"/>
    <col min="13585" max="13585" width="4.5703125" style="1768" customWidth="1"/>
    <col min="13586" max="13599" width="0" style="1768" hidden="1" customWidth="1"/>
    <col min="13600" max="13824" width="9.42578125" style="1768"/>
    <col min="13825" max="13825" width="0" style="1768" hidden="1" customWidth="1"/>
    <col min="13826" max="13826" width="10.42578125" style="1768" customWidth="1"/>
    <col min="13827" max="13827" width="1.42578125" style="1768" customWidth="1"/>
    <col min="13828" max="13828" width="6.5703125" style="1768" customWidth="1"/>
    <col min="13829" max="13829" width="1.5703125" style="1768" customWidth="1"/>
    <col min="13830" max="13830" width="12.5703125" style="1768" customWidth="1"/>
    <col min="13831" max="13831" width="1.5703125" style="1768" customWidth="1"/>
    <col min="13832" max="13832" width="19.5703125" style="1768" customWidth="1"/>
    <col min="13833" max="13833" width="2.5703125" style="1768" customWidth="1"/>
    <col min="13834" max="13834" width="10.5703125" style="1768" customWidth="1"/>
    <col min="13835" max="13835" width="0.5703125" style="1768" customWidth="1"/>
    <col min="13836" max="13836" width="6.42578125" style="1768" customWidth="1"/>
    <col min="13837" max="13837" width="1.5703125" style="1768" customWidth="1"/>
    <col min="13838" max="13838" width="12.5703125" style="1768" customWidth="1"/>
    <col min="13839" max="13839" width="1.5703125" style="1768" customWidth="1"/>
    <col min="13840" max="13840" width="21" style="1768" customWidth="1"/>
    <col min="13841" max="13841" width="4.5703125" style="1768" customWidth="1"/>
    <col min="13842" max="13855" width="0" style="1768" hidden="1" customWidth="1"/>
    <col min="13856" max="14080" width="9.42578125" style="1768"/>
    <col min="14081" max="14081" width="0" style="1768" hidden="1" customWidth="1"/>
    <col min="14082" max="14082" width="10.42578125" style="1768" customWidth="1"/>
    <col min="14083" max="14083" width="1.42578125" style="1768" customWidth="1"/>
    <col min="14084" max="14084" width="6.5703125" style="1768" customWidth="1"/>
    <col min="14085" max="14085" width="1.5703125" style="1768" customWidth="1"/>
    <col min="14086" max="14086" width="12.5703125" style="1768" customWidth="1"/>
    <col min="14087" max="14087" width="1.5703125" style="1768" customWidth="1"/>
    <col min="14088" max="14088" width="19.5703125" style="1768" customWidth="1"/>
    <col min="14089" max="14089" width="2.5703125" style="1768" customWidth="1"/>
    <col min="14090" max="14090" width="10.5703125" style="1768" customWidth="1"/>
    <col min="14091" max="14091" width="0.5703125" style="1768" customWidth="1"/>
    <col min="14092" max="14092" width="6.42578125" style="1768" customWidth="1"/>
    <col min="14093" max="14093" width="1.5703125" style="1768" customWidth="1"/>
    <col min="14094" max="14094" width="12.5703125" style="1768" customWidth="1"/>
    <col min="14095" max="14095" width="1.5703125" style="1768" customWidth="1"/>
    <col min="14096" max="14096" width="21" style="1768" customWidth="1"/>
    <col min="14097" max="14097" width="4.5703125" style="1768" customWidth="1"/>
    <col min="14098" max="14111" width="0" style="1768" hidden="1" customWidth="1"/>
    <col min="14112" max="14336" width="9.42578125" style="1768"/>
    <col min="14337" max="14337" width="0" style="1768" hidden="1" customWidth="1"/>
    <col min="14338" max="14338" width="10.42578125" style="1768" customWidth="1"/>
    <col min="14339" max="14339" width="1.42578125" style="1768" customWidth="1"/>
    <col min="14340" max="14340" width="6.5703125" style="1768" customWidth="1"/>
    <col min="14341" max="14341" width="1.5703125" style="1768" customWidth="1"/>
    <col min="14342" max="14342" width="12.5703125" style="1768" customWidth="1"/>
    <col min="14343" max="14343" width="1.5703125" style="1768" customWidth="1"/>
    <col min="14344" max="14344" width="19.5703125" style="1768" customWidth="1"/>
    <col min="14345" max="14345" width="2.5703125" style="1768" customWidth="1"/>
    <col min="14346" max="14346" width="10.5703125" style="1768" customWidth="1"/>
    <col min="14347" max="14347" width="0.5703125" style="1768" customWidth="1"/>
    <col min="14348" max="14348" width="6.42578125" style="1768" customWidth="1"/>
    <col min="14349" max="14349" width="1.5703125" style="1768" customWidth="1"/>
    <col min="14350" max="14350" width="12.5703125" style="1768" customWidth="1"/>
    <col min="14351" max="14351" width="1.5703125" style="1768" customWidth="1"/>
    <col min="14352" max="14352" width="21" style="1768" customWidth="1"/>
    <col min="14353" max="14353" width="4.5703125" style="1768" customWidth="1"/>
    <col min="14354" max="14367" width="0" style="1768" hidden="1" customWidth="1"/>
    <col min="14368" max="14592" width="9.42578125" style="1768"/>
    <col min="14593" max="14593" width="0" style="1768" hidden="1" customWidth="1"/>
    <col min="14594" max="14594" width="10.42578125" style="1768" customWidth="1"/>
    <col min="14595" max="14595" width="1.42578125" style="1768" customWidth="1"/>
    <col min="14596" max="14596" width="6.5703125" style="1768" customWidth="1"/>
    <col min="14597" max="14597" width="1.5703125" style="1768" customWidth="1"/>
    <col min="14598" max="14598" width="12.5703125" style="1768" customWidth="1"/>
    <col min="14599" max="14599" width="1.5703125" style="1768" customWidth="1"/>
    <col min="14600" max="14600" width="19.5703125" style="1768" customWidth="1"/>
    <col min="14601" max="14601" width="2.5703125" style="1768" customWidth="1"/>
    <col min="14602" max="14602" width="10.5703125" style="1768" customWidth="1"/>
    <col min="14603" max="14603" width="0.5703125" style="1768" customWidth="1"/>
    <col min="14604" max="14604" width="6.42578125" style="1768" customWidth="1"/>
    <col min="14605" max="14605" width="1.5703125" style="1768" customWidth="1"/>
    <col min="14606" max="14606" width="12.5703125" style="1768" customWidth="1"/>
    <col min="14607" max="14607" width="1.5703125" style="1768" customWidth="1"/>
    <col min="14608" max="14608" width="21" style="1768" customWidth="1"/>
    <col min="14609" max="14609" width="4.5703125" style="1768" customWidth="1"/>
    <col min="14610" max="14623" width="0" style="1768" hidden="1" customWidth="1"/>
    <col min="14624" max="14848" width="9.42578125" style="1768"/>
    <col min="14849" max="14849" width="0" style="1768" hidden="1" customWidth="1"/>
    <col min="14850" max="14850" width="10.42578125" style="1768" customWidth="1"/>
    <col min="14851" max="14851" width="1.42578125" style="1768" customWidth="1"/>
    <col min="14852" max="14852" width="6.5703125" style="1768" customWidth="1"/>
    <col min="14853" max="14853" width="1.5703125" style="1768" customWidth="1"/>
    <col min="14854" max="14854" width="12.5703125" style="1768" customWidth="1"/>
    <col min="14855" max="14855" width="1.5703125" style="1768" customWidth="1"/>
    <col min="14856" max="14856" width="19.5703125" style="1768" customWidth="1"/>
    <col min="14857" max="14857" width="2.5703125" style="1768" customWidth="1"/>
    <col min="14858" max="14858" width="10.5703125" style="1768" customWidth="1"/>
    <col min="14859" max="14859" width="0.5703125" style="1768" customWidth="1"/>
    <col min="14860" max="14860" width="6.42578125" style="1768" customWidth="1"/>
    <col min="14861" max="14861" width="1.5703125" style="1768" customWidth="1"/>
    <col min="14862" max="14862" width="12.5703125" style="1768" customWidth="1"/>
    <col min="14863" max="14863" width="1.5703125" style="1768" customWidth="1"/>
    <col min="14864" max="14864" width="21" style="1768" customWidth="1"/>
    <col min="14865" max="14865" width="4.5703125" style="1768" customWidth="1"/>
    <col min="14866" max="14879" width="0" style="1768" hidden="1" customWidth="1"/>
    <col min="14880" max="15104" width="9.42578125" style="1768"/>
    <col min="15105" max="15105" width="0" style="1768" hidden="1" customWidth="1"/>
    <col min="15106" max="15106" width="10.42578125" style="1768" customWidth="1"/>
    <col min="15107" max="15107" width="1.42578125" style="1768" customWidth="1"/>
    <col min="15108" max="15108" width="6.5703125" style="1768" customWidth="1"/>
    <col min="15109" max="15109" width="1.5703125" style="1768" customWidth="1"/>
    <col min="15110" max="15110" width="12.5703125" style="1768" customWidth="1"/>
    <col min="15111" max="15111" width="1.5703125" style="1768" customWidth="1"/>
    <col min="15112" max="15112" width="19.5703125" style="1768" customWidth="1"/>
    <col min="15113" max="15113" width="2.5703125" style="1768" customWidth="1"/>
    <col min="15114" max="15114" width="10.5703125" style="1768" customWidth="1"/>
    <col min="15115" max="15115" width="0.5703125" style="1768" customWidth="1"/>
    <col min="15116" max="15116" width="6.42578125" style="1768" customWidth="1"/>
    <col min="15117" max="15117" width="1.5703125" style="1768" customWidth="1"/>
    <col min="15118" max="15118" width="12.5703125" style="1768" customWidth="1"/>
    <col min="15119" max="15119" width="1.5703125" style="1768" customWidth="1"/>
    <col min="15120" max="15120" width="21" style="1768" customWidth="1"/>
    <col min="15121" max="15121" width="4.5703125" style="1768" customWidth="1"/>
    <col min="15122" max="15135" width="0" style="1768" hidden="1" customWidth="1"/>
    <col min="15136" max="15360" width="9.42578125" style="1768"/>
    <col min="15361" max="15361" width="0" style="1768" hidden="1" customWidth="1"/>
    <col min="15362" max="15362" width="10.42578125" style="1768" customWidth="1"/>
    <col min="15363" max="15363" width="1.42578125" style="1768" customWidth="1"/>
    <col min="15364" max="15364" width="6.5703125" style="1768" customWidth="1"/>
    <col min="15365" max="15365" width="1.5703125" style="1768" customWidth="1"/>
    <col min="15366" max="15366" width="12.5703125" style="1768" customWidth="1"/>
    <col min="15367" max="15367" width="1.5703125" style="1768" customWidth="1"/>
    <col min="15368" max="15368" width="19.5703125" style="1768" customWidth="1"/>
    <col min="15369" max="15369" width="2.5703125" style="1768" customWidth="1"/>
    <col min="15370" max="15370" width="10.5703125" style="1768" customWidth="1"/>
    <col min="15371" max="15371" width="0.5703125" style="1768" customWidth="1"/>
    <col min="15372" max="15372" width="6.42578125" style="1768" customWidth="1"/>
    <col min="15373" max="15373" width="1.5703125" style="1768" customWidth="1"/>
    <col min="15374" max="15374" width="12.5703125" style="1768" customWidth="1"/>
    <col min="15375" max="15375" width="1.5703125" style="1768" customWidth="1"/>
    <col min="15376" max="15376" width="21" style="1768" customWidth="1"/>
    <col min="15377" max="15377" width="4.5703125" style="1768" customWidth="1"/>
    <col min="15378" max="15391" width="0" style="1768" hidden="1" customWidth="1"/>
    <col min="15392" max="15616" width="9.42578125" style="1768"/>
    <col min="15617" max="15617" width="0" style="1768" hidden="1" customWidth="1"/>
    <col min="15618" max="15618" width="10.42578125" style="1768" customWidth="1"/>
    <col min="15619" max="15619" width="1.42578125" style="1768" customWidth="1"/>
    <col min="15620" max="15620" width="6.5703125" style="1768" customWidth="1"/>
    <col min="15621" max="15621" width="1.5703125" style="1768" customWidth="1"/>
    <col min="15622" max="15622" width="12.5703125" style="1768" customWidth="1"/>
    <col min="15623" max="15623" width="1.5703125" style="1768" customWidth="1"/>
    <col min="15624" max="15624" width="19.5703125" style="1768" customWidth="1"/>
    <col min="15625" max="15625" width="2.5703125" style="1768" customWidth="1"/>
    <col min="15626" max="15626" width="10.5703125" style="1768" customWidth="1"/>
    <col min="15627" max="15627" width="0.5703125" style="1768" customWidth="1"/>
    <col min="15628" max="15628" width="6.42578125" style="1768" customWidth="1"/>
    <col min="15629" max="15629" width="1.5703125" style="1768" customWidth="1"/>
    <col min="15630" max="15630" width="12.5703125" style="1768" customWidth="1"/>
    <col min="15631" max="15631" width="1.5703125" style="1768" customWidth="1"/>
    <col min="15632" max="15632" width="21" style="1768" customWidth="1"/>
    <col min="15633" max="15633" width="4.5703125" style="1768" customWidth="1"/>
    <col min="15634" max="15647" width="0" style="1768" hidden="1" customWidth="1"/>
    <col min="15648" max="15872" width="9.42578125" style="1768"/>
    <col min="15873" max="15873" width="0" style="1768" hidden="1" customWidth="1"/>
    <col min="15874" max="15874" width="10.42578125" style="1768" customWidth="1"/>
    <col min="15875" max="15875" width="1.42578125" style="1768" customWidth="1"/>
    <col min="15876" max="15876" width="6.5703125" style="1768" customWidth="1"/>
    <col min="15877" max="15877" width="1.5703125" style="1768" customWidth="1"/>
    <col min="15878" max="15878" width="12.5703125" style="1768" customWidth="1"/>
    <col min="15879" max="15879" width="1.5703125" style="1768" customWidth="1"/>
    <col min="15880" max="15880" width="19.5703125" style="1768" customWidth="1"/>
    <col min="15881" max="15881" width="2.5703125" style="1768" customWidth="1"/>
    <col min="15882" max="15882" width="10.5703125" style="1768" customWidth="1"/>
    <col min="15883" max="15883" width="0.5703125" style="1768" customWidth="1"/>
    <col min="15884" max="15884" width="6.42578125" style="1768" customWidth="1"/>
    <col min="15885" max="15885" width="1.5703125" style="1768" customWidth="1"/>
    <col min="15886" max="15886" width="12.5703125" style="1768" customWidth="1"/>
    <col min="15887" max="15887" width="1.5703125" style="1768" customWidth="1"/>
    <col min="15888" max="15888" width="21" style="1768" customWidth="1"/>
    <col min="15889" max="15889" width="4.5703125" style="1768" customWidth="1"/>
    <col min="15890" max="15903" width="0" style="1768" hidden="1" customWidth="1"/>
    <col min="15904" max="16128" width="9.42578125" style="1768"/>
    <col min="16129" max="16129" width="0" style="1768" hidden="1" customWidth="1"/>
    <col min="16130" max="16130" width="10.42578125" style="1768" customWidth="1"/>
    <col min="16131" max="16131" width="1.42578125" style="1768" customWidth="1"/>
    <col min="16132" max="16132" width="6.5703125" style="1768" customWidth="1"/>
    <col min="16133" max="16133" width="1.5703125" style="1768" customWidth="1"/>
    <col min="16134" max="16134" width="12.5703125" style="1768" customWidth="1"/>
    <col min="16135" max="16135" width="1.5703125" style="1768" customWidth="1"/>
    <col min="16136" max="16136" width="19.5703125" style="1768" customWidth="1"/>
    <col min="16137" max="16137" width="2.5703125" style="1768" customWidth="1"/>
    <col min="16138" max="16138" width="10.5703125" style="1768" customWidth="1"/>
    <col min="16139" max="16139" width="0.5703125" style="1768" customWidth="1"/>
    <col min="16140" max="16140" width="6.42578125" style="1768" customWidth="1"/>
    <col min="16141" max="16141" width="1.5703125" style="1768" customWidth="1"/>
    <col min="16142" max="16142" width="12.5703125" style="1768" customWidth="1"/>
    <col min="16143" max="16143" width="1.5703125" style="1768" customWidth="1"/>
    <col min="16144" max="16144" width="21" style="1768" customWidth="1"/>
    <col min="16145" max="16145" width="4.5703125" style="1768" customWidth="1"/>
    <col min="16146" max="16159" width="0" style="1768" hidden="1" customWidth="1"/>
    <col min="16160" max="16384" width="9.42578125" style="1768"/>
  </cols>
  <sheetData>
    <row r="1" spans="2:32" ht="25.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829" t="s">
        <v>4128</v>
      </c>
      <c r="AF1" s="2652" t="str">
        <f>IF(Index!$B$72="na","NA","")</f>
        <v/>
      </c>
    </row>
    <row r="2" spans="2:32" ht="15" customHeight="1" x14ac:dyDescent="0.25">
      <c r="B2" s="3091" t="str">
        <f>Index!A2</f>
        <v>2022 ACFR Worksheets</v>
      </c>
      <c r="C2" s="3091"/>
      <c r="D2" s="3091"/>
      <c r="E2" s="3091"/>
      <c r="F2" s="3091"/>
      <c r="G2" s="3091"/>
      <c r="H2" s="3091"/>
      <c r="I2" s="3091"/>
      <c r="J2" s="3091"/>
      <c r="K2" s="3091"/>
      <c r="L2" s="3091"/>
      <c r="M2" s="3091"/>
      <c r="N2" s="3091"/>
      <c r="O2" s="3091"/>
      <c r="P2" s="3091"/>
      <c r="Q2" s="2829"/>
      <c r="AF2" s="2652"/>
    </row>
    <row r="3" spans="2:32" ht="15" customHeight="1" x14ac:dyDescent="0.25">
      <c r="B3" s="3092" t="s">
        <v>4483</v>
      </c>
      <c r="C3" s="3092"/>
      <c r="D3" s="3092"/>
      <c r="E3" s="3092"/>
      <c r="F3" s="3092"/>
      <c r="G3" s="3092"/>
      <c r="H3" s="3092"/>
      <c r="I3" s="3092"/>
      <c r="J3" s="3092"/>
      <c r="K3" s="3092"/>
      <c r="L3" s="3092"/>
      <c r="M3" s="3092"/>
      <c r="N3" s="3092"/>
      <c r="O3" s="3092"/>
      <c r="P3" s="3092"/>
      <c r="Q3" s="2829"/>
      <c r="AF3" s="2652"/>
    </row>
    <row r="4" spans="2:32" ht="15" customHeight="1" x14ac:dyDescent="0.25">
      <c r="B4" s="3092" t="s">
        <v>4908</v>
      </c>
      <c r="C4" s="3092"/>
      <c r="D4" s="3092"/>
      <c r="E4" s="3092"/>
      <c r="F4" s="3092"/>
      <c r="G4" s="3092"/>
      <c r="H4" s="3092"/>
      <c r="I4" s="3092"/>
      <c r="J4" s="3092"/>
      <c r="K4" s="3092"/>
      <c r="L4" s="3092"/>
      <c r="M4" s="3092"/>
      <c r="N4" s="3092"/>
      <c r="O4" s="3092"/>
      <c r="P4" s="3092"/>
      <c r="Q4" s="182"/>
    </row>
    <row r="5" spans="2:32" s="1763" customFormat="1" ht="15" customHeight="1" x14ac:dyDescent="0.25">
      <c r="B5" s="1811"/>
      <c r="C5" s="1811"/>
      <c r="D5" s="1811"/>
      <c r="E5" s="1812"/>
      <c r="F5" s="1812"/>
      <c r="G5" s="1812"/>
      <c r="H5" s="1812"/>
      <c r="I5" s="1774"/>
      <c r="J5" s="1812"/>
      <c r="K5" s="1812"/>
      <c r="L5" s="1812"/>
      <c r="M5" s="1812"/>
      <c r="N5" s="1812"/>
      <c r="O5" s="1812"/>
      <c r="P5" s="237" t="s">
        <v>1091</v>
      </c>
      <c r="Q5" s="1774"/>
    </row>
    <row r="6" spans="2:32" s="1763" customFormat="1" ht="15" customHeight="1" x14ac:dyDescent="0.2">
      <c r="B6" s="1773" t="s">
        <v>327</v>
      </c>
      <c r="C6" s="1774"/>
      <c r="D6" s="3086" t="str">
        <f>Index!E10</f>
        <v>01</v>
      </c>
      <c r="E6" s="3086"/>
      <c r="F6" s="3086"/>
      <c r="G6" s="3086"/>
      <c r="H6" s="3086"/>
      <c r="I6" s="1774"/>
      <c r="J6" s="3096" t="s">
        <v>972</v>
      </c>
      <c r="K6" s="3096"/>
      <c r="L6" s="3096"/>
      <c r="M6" s="3093" t="str">
        <f>CONCATENATE(Index!$E$12," ",Index!$E$14)</f>
        <v xml:space="preserve"> </v>
      </c>
      <c r="N6" s="3093"/>
      <c r="O6" s="3093"/>
      <c r="P6" s="3093"/>
      <c r="Q6" s="1774"/>
    </row>
    <row r="7" spans="2:32" s="1763" customFormat="1" ht="15" customHeight="1" x14ac:dyDescent="0.2">
      <c r="B7" s="1773" t="s">
        <v>1154</v>
      </c>
      <c r="C7" s="1774"/>
      <c r="D7" s="3097" t="str">
        <f>Index!E11</f>
        <v>North Carolina General Assembly</v>
      </c>
      <c r="E7" s="3097"/>
      <c r="F7" s="3097"/>
      <c r="G7" s="3097"/>
      <c r="H7" s="3097"/>
      <c r="I7" s="1774"/>
      <c r="J7" s="3096" t="s">
        <v>348</v>
      </c>
      <c r="K7" s="3096"/>
      <c r="L7" s="3096"/>
      <c r="M7" s="3098">
        <f>Index!E13</f>
        <v>0</v>
      </c>
      <c r="N7" s="3098"/>
      <c r="O7" s="3098"/>
      <c r="P7" s="3098"/>
      <c r="Q7" s="1774"/>
    </row>
    <row r="8" spans="2:32" s="1763" customFormat="1" ht="15" customHeight="1" thickBot="1" x14ac:dyDescent="0.25">
      <c r="B8" s="1779"/>
      <c r="C8" s="1779"/>
      <c r="D8" s="1779"/>
      <c r="E8" s="1779"/>
      <c r="F8" s="1779"/>
      <c r="G8" s="1779"/>
      <c r="H8" s="1779"/>
      <c r="I8" s="1780"/>
      <c r="J8" s="1779"/>
      <c r="K8" s="1779"/>
      <c r="L8" s="1779"/>
      <c r="M8" s="1779"/>
      <c r="N8" s="1779"/>
      <c r="O8" s="1779"/>
      <c r="P8" s="1779"/>
      <c r="Q8" s="1774"/>
    </row>
    <row r="9" spans="2:32" s="1763" customFormat="1" ht="15" customHeight="1" x14ac:dyDescent="0.2">
      <c r="B9" s="1774"/>
      <c r="C9" s="1774"/>
      <c r="D9" s="1774"/>
      <c r="E9" s="1774"/>
      <c r="F9" s="1774"/>
      <c r="G9" s="1774"/>
      <c r="H9" s="1774"/>
      <c r="I9" s="1781"/>
      <c r="J9" s="1774"/>
      <c r="K9" s="1774"/>
      <c r="L9" s="1774"/>
      <c r="M9" s="1774"/>
      <c r="N9" s="1774"/>
      <c r="O9" s="1774"/>
      <c r="P9" s="1774"/>
      <c r="Q9" s="1774"/>
    </row>
    <row r="10" spans="2:32" s="1763" customFormat="1" ht="15" customHeight="1" thickBot="1" x14ac:dyDescent="0.25">
      <c r="B10" s="3088" t="s">
        <v>4325</v>
      </c>
      <c r="C10" s="3088"/>
      <c r="D10" s="3088"/>
      <c r="E10" s="3088"/>
      <c r="F10" s="3088"/>
      <c r="G10" s="3088"/>
      <c r="H10" s="3088"/>
      <c r="I10" s="1781"/>
      <c r="J10" s="3088" t="s">
        <v>4326</v>
      </c>
      <c r="K10" s="3088"/>
      <c r="L10" s="3088"/>
      <c r="M10" s="3088"/>
      <c r="N10" s="3088"/>
      <c r="O10" s="3088"/>
      <c r="P10" s="3088"/>
      <c r="Q10" s="1774"/>
    </row>
    <row r="11" spans="2:32" s="1763" customFormat="1" ht="15" customHeight="1" x14ac:dyDescent="0.2">
      <c r="B11" s="1774"/>
      <c r="C11" s="1774"/>
      <c r="D11" s="1774"/>
      <c r="E11" s="1774"/>
      <c r="F11" s="1782" t="s">
        <v>1155</v>
      </c>
      <c r="G11" s="1774"/>
      <c r="H11" s="1774"/>
      <c r="I11" s="1782"/>
      <c r="J11" s="1774"/>
      <c r="K11" s="1774"/>
      <c r="L11" s="1774"/>
      <c r="M11" s="1774"/>
      <c r="N11" s="1782" t="s">
        <v>1064</v>
      </c>
      <c r="O11" s="1774"/>
      <c r="P11" s="1774"/>
      <c r="Q11" s="1774"/>
    </row>
    <row r="12" spans="2:32" s="1763" customFormat="1" ht="15" customHeight="1" x14ac:dyDescent="0.2">
      <c r="B12" s="1782" t="s">
        <v>4304</v>
      </c>
      <c r="C12" s="1774"/>
      <c r="D12" s="1782" t="s">
        <v>1157</v>
      </c>
      <c r="E12" s="1774"/>
      <c r="F12" s="1782" t="s">
        <v>684</v>
      </c>
      <c r="G12" s="1774"/>
      <c r="H12" s="1774"/>
      <c r="I12" s="1782"/>
      <c r="J12" s="1782" t="s">
        <v>4304</v>
      </c>
      <c r="K12" s="1774"/>
      <c r="L12" s="1782" t="s">
        <v>1157</v>
      </c>
      <c r="M12" s="1774"/>
      <c r="N12" s="1782" t="s">
        <v>684</v>
      </c>
      <c r="O12" s="1774"/>
      <c r="P12" s="1774"/>
      <c r="Q12" s="1774"/>
    </row>
    <row r="13" spans="2:32" s="1763" customFormat="1" ht="15" customHeight="1" thickBot="1" x14ac:dyDescent="0.25">
      <c r="B13" s="1784" t="s">
        <v>685</v>
      </c>
      <c r="C13" s="1782"/>
      <c r="D13" s="1784" t="s">
        <v>685</v>
      </c>
      <c r="E13" s="1782"/>
      <c r="F13" s="1784" t="s">
        <v>4308</v>
      </c>
      <c r="G13" s="1774"/>
      <c r="H13" s="1784" t="s">
        <v>1156</v>
      </c>
      <c r="I13" s="1782"/>
      <c r="J13" s="1784" t="s">
        <v>685</v>
      </c>
      <c r="K13" s="1782"/>
      <c r="L13" s="1784" t="s">
        <v>685</v>
      </c>
      <c r="M13" s="1782"/>
      <c r="N13" s="1784" t="s">
        <v>4311</v>
      </c>
      <c r="O13" s="1774"/>
      <c r="P13" s="1784" t="s">
        <v>1156</v>
      </c>
      <c r="Q13" s="1782" t="s">
        <v>973</v>
      </c>
    </row>
    <row r="14" spans="2:32" s="1763" customFormat="1" ht="15" customHeight="1" x14ac:dyDescent="0.2">
      <c r="B14" s="1881" t="s">
        <v>4462</v>
      </c>
      <c r="C14" s="1882"/>
      <c r="D14" s="1883">
        <v>1100</v>
      </c>
      <c r="E14" s="1882"/>
      <c r="F14" s="1883">
        <v>438101</v>
      </c>
      <c r="G14" s="1884"/>
      <c r="H14" s="1885">
        <v>200000</v>
      </c>
      <c r="I14" s="1886"/>
      <c r="J14" s="1887" t="s">
        <v>4463</v>
      </c>
      <c r="K14" s="1882"/>
      <c r="L14" s="1883">
        <v>1100</v>
      </c>
      <c r="M14" s="1882"/>
      <c r="N14" s="1883">
        <v>538101</v>
      </c>
      <c r="O14" s="1886"/>
      <c r="P14" s="1885">
        <v>200000</v>
      </c>
      <c r="Q14" s="552" t="str">
        <f>IF(AND(R14,X14,AD14,AE14),"","*")</f>
        <v/>
      </c>
      <c r="R14" s="1752" t="b">
        <f>IF(OR(S14=0,S14=4),TRUE, FALSE)</f>
        <v>1</v>
      </c>
      <c r="S14" s="1752">
        <f>COUNTIF(T14:W14,FALSE)</f>
        <v>4</v>
      </c>
      <c r="T14" s="1753" t="b">
        <f>ISBLANK(B14)</f>
        <v>0</v>
      </c>
      <c r="U14" s="1753" t="b">
        <f>ISBLANK(D14)</f>
        <v>0</v>
      </c>
      <c r="V14" s="1753" t="b">
        <f>ISBLANK(F14)</f>
        <v>0</v>
      </c>
      <c r="W14" s="1753" t="b">
        <f>ISBLANK(H14)</f>
        <v>0</v>
      </c>
      <c r="X14" s="1752" t="b">
        <f>IF(OR(Y14=0,Y14=4),TRUE, FALSE)</f>
        <v>1</v>
      </c>
      <c r="Y14" s="1752">
        <f>COUNTIF(Z14:AC14,FALSE)</f>
        <v>4</v>
      </c>
      <c r="Z14" s="1753" t="b">
        <f>ISBLANK(J14)</f>
        <v>0</v>
      </c>
      <c r="AA14" s="1753" t="b">
        <f>ISBLANK(L14)</f>
        <v>0</v>
      </c>
      <c r="AB14" s="1753" t="b">
        <f>ISBLANK(N14)</f>
        <v>0</v>
      </c>
      <c r="AC14" s="1753" t="b">
        <f>ISBLANK(P14)</f>
        <v>0</v>
      </c>
      <c r="AD14" s="1754" t="b">
        <f>IF(ISBLANK(F14),TRUE,VALUE(LEFT(F14,4))=4381)</f>
        <v>1</v>
      </c>
      <c r="AE14" s="1754" t="b">
        <f>IF(ISBLANK(N14),TRUE,VALUE(LEFT(N14,4))=5381)</f>
        <v>1</v>
      </c>
      <c r="AF14" s="1888" t="s">
        <v>4461</v>
      </c>
    </row>
    <row r="15" spans="2:32" s="1763" customFormat="1" ht="15" customHeight="1" x14ac:dyDescent="0.2">
      <c r="B15" s="1786"/>
      <c r="C15" s="1787"/>
      <c r="D15" s="1788"/>
      <c r="E15" s="1787"/>
      <c r="F15" s="1788"/>
      <c r="G15" s="1782"/>
      <c r="H15" s="1789"/>
      <c r="I15" s="1774"/>
      <c r="J15" s="1790"/>
      <c r="K15" s="1787"/>
      <c r="L15" s="1788"/>
      <c r="M15" s="1787"/>
      <c r="N15" s="1788"/>
      <c r="O15" s="1774"/>
      <c r="P15" s="1789"/>
      <c r="Q15" s="552" t="str">
        <f t="shared" ref="Q15:Q28" si="0">IF(AND(R15,X15,AD15,AE15),"","*")</f>
        <v/>
      </c>
      <c r="R15" s="1752" t="b">
        <f t="shared" ref="R15:R32" si="1">IF(OR(S15=0,S15=4),TRUE, FALSE)</f>
        <v>1</v>
      </c>
      <c r="S15" s="1752">
        <f t="shared" ref="S15:S28" si="2">COUNTIF(T15:W15,FALSE)</f>
        <v>0</v>
      </c>
      <c r="T15" s="1753" t="b">
        <f t="shared" ref="T15:T28" si="3">ISBLANK(B15)</f>
        <v>1</v>
      </c>
      <c r="U15" s="1753" t="b">
        <f t="shared" ref="U15:U28" si="4">ISBLANK(D15)</f>
        <v>1</v>
      </c>
      <c r="V15" s="1753" t="b">
        <f t="shared" ref="V15:V28" si="5">ISBLANK(F15)</f>
        <v>1</v>
      </c>
      <c r="W15" s="1753" t="b">
        <f t="shared" ref="W15:W28" si="6">ISBLANK(H15)</f>
        <v>1</v>
      </c>
      <c r="X15" s="1752" t="b">
        <f t="shared" ref="X15:X32" si="7">IF(OR(Y15=0,Y15=4),TRUE, FALSE)</f>
        <v>1</v>
      </c>
      <c r="Y15" s="1752">
        <f t="shared" ref="Y15:Y28" si="8">COUNTIF(Z15:AC15,FALSE)</f>
        <v>0</v>
      </c>
      <c r="Z15" s="1753" t="b">
        <f t="shared" ref="Z15:Z28" si="9">ISBLANK(J15)</f>
        <v>1</v>
      </c>
      <c r="AA15" s="1753" t="b">
        <f t="shared" ref="AA15:AA28" si="10">ISBLANK(L15)</f>
        <v>1</v>
      </c>
      <c r="AB15" s="1753" t="b">
        <f t="shared" ref="AB15:AB28" si="11">ISBLANK(N15)</f>
        <v>1</v>
      </c>
      <c r="AC15" s="1753" t="b">
        <f t="shared" ref="AC15:AC28" si="12">ISBLANK(P15)</f>
        <v>1</v>
      </c>
      <c r="AD15" s="1754" t="b">
        <f t="shared" ref="AD15:AD28" si="13">IF(ISBLANK(F15),TRUE,VALUE(LEFT(F15,4))=4381)</f>
        <v>1</v>
      </c>
      <c r="AE15" s="1754" t="b">
        <f t="shared" ref="AE15:AE28" si="14">IF(ISBLANK(N15),TRUE,VALUE(LEFT(N15,4))=5381)</f>
        <v>1</v>
      </c>
    </row>
    <row r="16" spans="2:32" s="1763" customFormat="1" ht="15" customHeight="1" x14ac:dyDescent="0.2">
      <c r="B16" s="1786"/>
      <c r="C16" s="1787"/>
      <c r="D16" s="1788"/>
      <c r="E16" s="1787"/>
      <c r="F16" s="1788"/>
      <c r="G16" s="1782"/>
      <c r="H16" s="1789"/>
      <c r="I16" s="1774"/>
      <c r="J16" s="1790"/>
      <c r="K16" s="1787"/>
      <c r="L16" s="1788"/>
      <c r="M16" s="1787"/>
      <c r="N16" s="1788"/>
      <c r="O16" s="1774"/>
      <c r="P16" s="1789"/>
      <c r="Q16" s="552" t="str">
        <f t="shared" si="0"/>
        <v/>
      </c>
      <c r="R16" s="1752" t="b">
        <f t="shared" si="1"/>
        <v>1</v>
      </c>
      <c r="S16" s="1752">
        <f t="shared" si="2"/>
        <v>0</v>
      </c>
      <c r="T16" s="1753" t="b">
        <f t="shared" si="3"/>
        <v>1</v>
      </c>
      <c r="U16" s="1753" t="b">
        <f t="shared" si="4"/>
        <v>1</v>
      </c>
      <c r="V16" s="1753" t="b">
        <f t="shared" si="5"/>
        <v>1</v>
      </c>
      <c r="W16" s="1753" t="b">
        <f t="shared" si="6"/>
        <v>1</v>
      </c>
      <c r="X16" s="1752" t="b">
        <f t="shared" si="7"/>
        <v>1</v>
      </c>
      <c r="Y16" s="1752">
        <f t="shared" si="8"/>
        <v>0</v>
      </c>
      <c r="Z16" s="1753" t="b">
        <f t="shared" si="9"/>
        <v>1</v>
      </c>
      <c r="AA16" s="1753" t="b">
        <f t="shared" si="10"/>
        <v>1</v>
      </c>
      <c r="AB16" s="1753" t="b">
        <f t="shared" si="11"/>
        <v>1</v>
      </c>
      <c r="AC16" s="1753" t="b">
        <f t="shared" si="12"/>
        <v>1</v>
      </c>
      <c r="AD16" s="1754" t="b">
        <f t="shared" si="13"/>
        <v>1</v>
      </c>
      <c r="AE16" s="1754" t="b">
        <f t="shared" si="14"/>
        <v>1</v>
      </c>
    </row>
    <row r="17" spans="2:31" s="1763" customFormat="1" ht="15" customHeight="1" x14ac:dyDescent="0.2">
      <c r="B17" s="1786"/>
      <c r="C17" s="1787"/>
      <c r="D17" s="1788"/>
      <c r="E17" s="1787"/>
      <c r="F17" s="1788"/>
      <c r="G17" s="1782"/>
      <c r="H17" s="1789"/>
      <c r="I17" s="1774"/>
      <c r="J17" s="1790"/>
      <c r="K17" s="1787"/>
      <c r="L17" s="1788"/>
      <c r="M17" s="1787"/>
      <c r="N17" s="1788"/>
      <c r="O17" s="1774"/>
      <c r="P17" s="1789"/>
      <c r="Q17" s="552" t="str">
        <f t="shared" si="0"/>
        <v/>
      </c>
      <c r="R17" s="1752" t="b">
        <f t="shared" si="1"/>
        <v>1</v>
      </c>
      <c r="S17" s="1752">
        <f t="shared" si="2"/>
        <v>0</v>
      </c>
      <c r="T17" s="1753" t="b">
        <f t="shared" si="3"/>
        <v>1</v>
      </c>
      <c r="U17" s="1753" t="b">
        <f t="shared" si="4"/>
        <v>1</v>
      </c>
      <c r="V17" s="1753" t="b">
        <f t="shared" si="5"/>
        <v>1</v>
      </c>
      <c r="W17" s="1753" t="b">
        <f t="shared" si="6"/>
        <v>1</v>
      </c>
      <c r="X17" s="1752" t="b">
        <f t="shared" si="7"/>
        <v>1</v>
      </c>
      <c r="Y17" s="1752">
        <f t="shared" si="8"/>
        <v>0</v>
      </c>
      <c r="Z17" s="1753" t="b">
        <f t="shared" si="9"/>
        <v>1</v>
      </c>
      <c r="AA17" s="1753" t="b">
        <f t="shared" si="10"/>
        <v>1</v>
      </c>
      <c r="AB17" s="1753" t="b">
        <f t="shared" si="11"/>
        <v>1</v>
      </c>
      <c r="AC17" s="1753" t="b">
        <f t="shared" si="12"/>
        <v>1</v>
      </c>
      <c r="AD17" s="1754" t="b">
        <f t="shared" si="13"/>
        <v>1</v>
      </c>
      <c r="AE17" s="1754" t="b">
        <f t="shared" si="14"/>
        <v>1</v>
      </c>
    </row>
    <row r="18" spans="2:31" s="1763" customFormat="1" ht="15" customHeight="1" x14ac:dyDescent="0.2">
      <c r="B18" s="1790"/>
      <c r="C18" s="1787"/>
      <c r="D18" s="1788"/>
      <c r="E18" s="1787"/>
      <c r="F18" s="1788"/>
      <c r="G18" s="1782"/>
      <c r="H18" s="1789"/>
      <c r="I18" s="1774"/>
      <c r="J18" s="1790"/>
      <c r="K18" s="1787"/>
      <c r="L18" s="1788"/>
      <c r="M18" s="1787"/>
      <c r="N18" s="1788"/>
      <c r="O18" s="1774"/>
      <c r="P18" s="1789"/>
      <c r="Q18" s="552" t="str">
        <f t="shared" si="0"/>
        <v/>
      </c>
      <c r="R18" s="1752" t="b">
        <f t="shared" si="1"/>
        <v>1</v>
      </c>
      <c r="S18" s="1752">
        <f t="shared" si="2"/>
        <v>0</v>
      </c>
      <c r="T18" s="1753" t="b">
        <f t="shared" si="3"/>
        <v>1</v>
      </c>
      <c r="U18" s="1753" t="b">
        <f t="shared" si="4"/>
        <v>1</v>
      </c>
      <c r="V18" s="1753" t="b">
        <f t="shared" si="5"/>
        <v>1</v>
      </c>
      <c r="W18" s="1753" t="b">
        <f t="shared" si="6"/>
        <v>1</v>
      </c>
      <c r="X18" s="1752" t="b">
        <f t="shared" si="7"/>
        <v>1</v>
      </c>
      <c r="Y18" s="1752">
        <f t="shared" si="8"/>
        <v>0</v>
      </c>
      <c r="Z18" s="1753" t="b">
        <f t="shared" si="9"/>
        <v>1</v>
      </c>
      <c r="AA18" s="1753" t="b">
        <f t="shared" si="10"/>
        <v>1</v>
      </c>
      <c r="AB18" s="1753" t="b">
        <f t="shared" si="11"/>
        <v>1</v>
      </c>
      <c r="AC18" s="1753" t="b">
        <f t="shared" si="12"/>
        <v>1</v>
      </c>
      <c r="AD18" s="1754" t="b">
        <f t="shared" si="13"/>
        <v>1</v>
      </c>
      <c r="AE18" s="1754" t="b">
        <f t="shared" si="14"/>
        <v>1</v>
      </c>
    </row>
    <row r="19" spans="2:31" s="1763" customFormat="1" ht="15" customHeight="1" x14ac:dyDescent="0.2">
      <c r="B19" s="1786"/>
      <c r="C19" s="1787"/>
      <c r="D19" s="1788"/>
      <c r="E19" s="1787"/>
      <c r="F19" s="1788"/>
      <c r="G19" s="1782"/>
      <c r="H19" s="1789"/>
      <c r="I19" s="1774"/>
      <c r="J19" s="1790"/>
      <c r="K19" s="1787"/>
      <c r="L19" s="1788"/>
      <c r="M19" s="1787"/>
      <c r="N19" s="1788"/>
      <c r="O19" s="1774"/>
      <c r="P19" s="1789"/>
      <c r="Q19" s="552" t="str">
        <f t="shared" si="0"/>
        <v/>
      </c>
      <c r="R19" s="1752" t="b">
        <f t="shared" si="1"/>
        <v>1</v>
      </c>
      <c r="S19" s="1752">
        <f t="shared" si="2"/>
        <v>0</v>
      </c>
      <c r="T19" s="1753" t="b">
        <f t="shared" si="3"/>
        <v>1</v>
      </c>
      <c r="U19" s="1753" t="b">
        <f t="shared" si="4"/>
        <v>1</v>
      </c>
      <c r="V19" s="1753" t="b">
        <f t="shared" si="5"/>
        <v>1</v>
      </c>
      <c r="W19" s="1753" t="b">
        <f t="shared" si="6"/>
        <v>1</v>
      </c>
      <c r="X19" s="1752" t="b">
        <f t="shared" si="7"/>
        <v>1</v>
      </c>
      <c r="Y19" s="1752">
        <f t="shared" si="8"/>
        <v>0</v>
      </c>
      <c r="Z19" s="1753" t="b">
        <f t="shared" si="9"/>
        <v>1</v>
      </c>
      <c r="AA19" s="1753" t="b">
        <f t="shared" si="10"/>
        <v>1</v>
      </c>
      <c r="AB19" s="1753" t="b">
        <f t="shared" si="11"/>
        <v>1</v>
      </c>
      <c r="AC19" s="1753" t="b">
        <f t="shared" si="12"/>
        <v>1</v>
      </c>
      <c r="AD19" s="1754" t="b">
        <f t="shared" si="13"/>
        <v>1</v>
      </c>
      <c r="AE19" s="1754" t="b">
        <f t="shared" si="14"/>
        <v>1</v>
      </c>
    </row>
    <row r="20" spans="2:31" s="1763" customFormat="1" ht="15" customHeight="1" x14ac:dyDescent="0.2">
      <c r="B20" s="1786"/>
      <c r="C20" s="1787"/>
      <c r="D20" s="1788"/>
      <c r="E20" s="1787"/>
      <c r="F20" s="1788"/>
      <c r="G20" s="1782"/>
      <c r="H20" s="1789"/>
      <c r="I20" s="1774"/>
      <c r="J20" s="1790"/>
      <c r="K20" s="1787"/>
      <c r="L20" s="1788"/>
      <c r="M20" s="1787"/>
      <c r="N20" s="1788"/>
      <c r="O20" s="1774"/>
      <c r="P20" s="1789"/>
      <c r="Q20" s="552" t="str">
        <f t="shared" si="0"/>
        <v/>
      </c>
      <c r="R20" s="1752" t="b">
        <f t="shared" si="1"/>
        <v>1</v>
      </c>
      <c r="S20" s="1752">
        <f t="shared" si="2"/>
        <v>0</v>
      </c>
      <c r="T20" s="1753" t="b">
        <f t="shared" si="3"/>
        <v>1</v>
      </c>
      <c r="U20" s="1753" t="b">
        <f t="shared" si="4"/>
        <v>1</v>
      </c>
      <c r="V20" s="1753" t="b">
        <f t="shared" si="5"/>
        <v>1</v>
      </c>
      <c r="W20" s="1753" t="b">
        <f t="shared" si="6"/>
        <v>1</v>
      </c>
      <c r="X20" s="1752" t="b">
        <f t="shared" si="7"/>
        <v>1</v>
      </c>
      <c r="Y20" s="1752">
        <f t="shared" si="8"/>
        <v>0</v>
      </c>
      <c r="Z20" s="1753" t="b">
        <f t="shared" si="9"/>
        <v>1</v>
      </c>
      <c r="AA20" s="1753" t="b">
        <f t="shared" si="10"/>
        <v>1</v>
      </c>
      <c r="AB20" s="1753" t="b">
        <f t="shared" si="11"/>
        <v>1</v>
      </c>
      <c r="AC20" s="1753" t="b">
        <f t="shared" si="12"/>
        <v>1</v>
      </c>
      <c r="AD20" s="1754" t="b">
        <f t="shared" si="13"/>
        <v>1</v>
      </c>
      <c r="AE20" s="1754" t="b">
        <f t="shared" si="14"/>
        <v>1</v>
      </c>
    </row>
    <row r="21" spans="2:31" s="1763" customFormat="1" ht="15" customHeight="1" x14ac:dyDescent="0.2">
      <c r="B21" s="1786"/>
      <c r="C21" s="1787"/>
      <c r="D21" s="1788"/>
      <c r="E21" s="1787"/>
      <c r="F21" s="1788"/>
      <c r="G21" s="1782"/>
      <c r="H21" s="1789"/>
      <c r="I21" s="1774"/>
      <c r="J21" s="1790"/>
      <c r="K21" s="1787"/>
      <c r="L21" s="1788"/>
      <c r="M21" s="1787"/>
      <c r="N21" s="1788"/>
      <c r="O21" s="1774"/>
      <c r="P21" s="1789"/>
      <c r="Q21" s="552" t="str">
        <f t="shared" si="0"/>
        <v/>
      </c>
      <c r="R21" s="1752" t="b">
        <f t="shared" si="1"/>
        <v>1</v>
      </c>
      <c r="S21" s="1752">
        <f t="shared" si="2"/>
        <v>0</v>
      </c>
      <c r="T21" s="1753" t="b">
        <f t="shared" si="3"/>
        <v>1</v>
      </c>
      <c r="U21" s="1753" t="b">
        <f t="shared" si="4"/>
        <v>1</v>
      </c>
      <c r="V21" s="1753" t="b">
        <f t="shared" si="5"/>
        <v>1</v>
      </c>
      <c r="W21" s="1753" t="b">
        <f t="shared" si="6"/>
        <v>1</v>
      </c>
      <c r="X21" s="1752" t="b">
        <f t="shared" si="7"/>
        <v>1</v>
      </c>
      <c r="Y21" s="1752">
        <f t="shared" si="8"/>
        <v>0</v>
      </c>
      <c r="Z21" s="1753" t="b">
        <f t="shared" si="9"/>
        <v>1</v>
      </c>
      <c r="AA21" s="1753" t="b">
        <f t="shared" si="10"/>
        <v>1</v>
      </c>
      <c r="AB21" s="1753" t="b">
        <f t="shared" si="11"/>
        <v>1</v>
      </c>
      <c r="AC21" s="1753" t="b">
        <f t="shared" si="12"/>
        <v>1</v>
      </c>
      <c r="AD21" s="1754" t="b">
        <f t="shared" si="13"/>
        <v>1</v>
      </c>
      <c r="AE21" s="1754" t="b">
        <f t="shared" si="14"/>
        <v>1</v>
      </c>
    </row>
    <row r="22" spans="2:31" s="1763" customFormat="1" ht="15" customHeight="1" x14ac:dyDescent="0.2">
      <c r="B22" s="1786"/>
      <c r="C22" s="1787"/>
      <c r="D22" s="1788"/>
      <c r="E22" s="1787"/>
      <c r="F22" s="1788"/>
      <c r="G22" s="1782"/>
      <c r="H22" s="1789"/>
      <c r="I22" s="1774"/>
      <c r="J22" s="1790"/>
      <c r="K22" s="1787"/>
      <c r="L22" s="1788"/>
      <c r="M22" s="1787"/>
      <c r="N22" s="1788"/>
      <c r="O22" s="1774"/>
      <c r="P22" s="1789"/>
      <c r="Q22" s="552" t="str">
        <f t="shared" si="0"/>
        <v/>
      </c>
      <c r="R22" s="1752" t="b">
        <f t="shared" si="1"/>
        <v>1</v>
      </c>
      <c r="S22" s="1752">
        <f t="shared" si="2"/>
        <v>0</v>
      </c>
      <c r="T22" s="1753" t="b">
        <f t="shared" si="3"/>
        <v>1</v>
      </c>
      <c r="U22" s="1753" t="b">
        <f t="shared" si="4"/>
        <v>1</v>
      </c>
      <c r="V22" s="1753" t="b">
        <f t="shared" si="5"/>
        <v>1</v>
      </c>
      <c r="W22" s="1753" t="b">
        <f t="shared" si="6"/>
        <v>1</v>
      </c>
      <c r="X22" s="1752" t="b">
        <f t="shared" si="7"/>
        <v>1</v>
      </c>
      <c r="Y22" s="1752">
        <f t="shared" si="8"/>
        <v>0</v>
      </c>
      <c r="Z22" s="1753" t="b">
        <f t="shared" si="9"/>
        <v>1</v>
      </c>
      <c r="AA22" s="1753" t="b">
        <f t="shared" si="10"/>
        <v>1</v>
      </c>
      <c r="AB22" s="1753" t="b">
        <f t="shared" si="11"/>
        <v>1</v>
      </c>
      <c r="AC22" s="1753" t="b">
        <f t="shared" si="12"/>
        <v>1</v>
      </c>
      <c r="AD22" s="1754" t="b">
        <f t="shared" si="13"/>
        <v>1</v>
      </c>
      <c r="AE22" s="1754" t="b">
        <f t="shared" si="14"/>
        <v>1</v>
      </c>
    </row>
    <row r="23" spans="2:31" s="1763" customFormat="1" ht="15" customHeight="1" x14ac:dyDescent="0.2">
      <c r="B23" s="1786"/>
      <c r="C23" s="1787"/>
      <c r="D23" s="1788"/>
      <c r="E23" s="1787"/>
      <c r="F23" s="1788"/>
      <c r="G23" s="1782"/>
      <c r="H23" s="1789"/>
      <c r="I23" s="1774"/>
      <c r="J23" s="1790"/>
      <c r="K23" s="1787"/>
      <c r="L23" s="1788"/>
      <c r="M23" s="1787"/>
      <c r="N23" s="1788"/>
      <c r="O23" s="1774"/>
      <c r="P23" s="1789"/>
      <c r="Q23" s="552" t="str">
        <f t="shared" si="0"/>
        <v/>
      </c>
      <c r="R23" s="1752" t="b">
        <f t="shared" si="1"/>
        <v>1</v>
      </c>
      <c r="S23" s="1752">
        <f t="shared" si="2"/>
        <v>0</v>
      </c>
      <c r="T23" s="1753" t="b">
        <f t="shared" si="3"/>
        <v>1</v>
      </c>
      <c r="U23" s="1753" t="b">
        <f t="shared" si="4"/>
        <v>1</v>
      </c>
      <c r="V23" s="1753" t="b">
        <f t="shared" si="5"/>
        <v>1</v>
      </c>
      <c r="W23" s="1753" t="b">
        <f t="shared" si="6"/>
        <v>1</v>
      </c>
      <c r="X23" s="1752" t="b">
        <f t="shared" si="7"/>
        <v>1</v>
      </c>
      <c r="Y23" s="1752">
        <f t="shared" si="8"/>
        <v>0</v>
      </c>
      <c r="Z23" s="1753" t="b">
        <f t="shared" si="9"/>
        <v>1</v>
      </c>
      <c r="AA23" s="1753" t="b">
        <f t="shared" si="10"/>
        <v>1</v>
      </c>
      <c r="AB23" s="1753" t="b">
        <f t="shared" si="11"/>
        <v>1</v>
      </c>
      <c r="AC23" s="1753" t="b">
        <f t="shared" si="12"/>
        <v>1</v>
      </c>
      <c r="AD23" s="1754" t="b">
        <f t="shared" si="13"/>
        <v>1</v>
      </c>
      <c r="AE23" s="1754" t="b">
        <f t="shared" si="14"/>
        <v>1</v>
      </c>
    </row>
    <row r="24" spans="2:31" s="1763" customFormat="1" ht="15" customHeight="1" x14ac:dyDescent="0.2">
      <c r="B24" s="1786"/>
      <c r="C24" s="1787"/>
      <c r="D24" s="1788"/>
      <c r="E24" s="1787"/>
      <c r="F24" s="1788"/>
      <c r="G24" s="1782"/>
      <c r="H24" s="1789"/>
      <c r="I24" s="1774"/>
      <c r="J24" s="1790"/>
      <c r="K24" s="1787"/>
      <c r="L24" s="1788"/>
      <c r="M24" s="1787"/>
      <c r="N24" s="1788"/>
      <c r="O24" s="1774"/>
      <c r="P24" s="1789"/>
      <c r="Q24" s="552" t="str">
        <f t="shared" si="0"/>
        <v/>
      </c>
      <c r="R24" s="1752" t="b">
        <f t="shared" si="1"/>
        <v>1</v>
      </c>
      <c r="S24" s="1752">
        <f t="shared" si="2"/>
        <v>0</v>
      </c>
      <c r="T24" s="1753" t="b">
        <f t="shared" si="3"/>
        <v>1</v>
      </c>
      <c r="U24" s="1753" t="b">
        <f t="shared" si="4"/>
        <v>1</v>
      </c>
      <c r="V24" s="1753" t="b">
        <f t="shared" si="5"/>
        <v>1</v>
      </c>
      <c r="W24" s="1753" t="b">
        <f t="shared" si="6"/>
        <v>1</v>
      </c>
      <c r="X24" s="1752" t="b">
        <f t="shared" si="7"/>
        <v>1</v>
      </c>
      <c r="Y24" s="1752">
        <f t="shared" si="8"/>
        <v>0</v>
      </c>
      <c r="Z24" s="1753" t="b">
        <f t="shared" si="9"/>
        <v>1</v>
      </c>
      <c r="AA24" s="1753" t="b">
        <f t="shared" si="10"/>
        <v>1</v>
      </c>
      <c r="AB24" s="1753" t="b">
        <f t="shared" si="11"/>
        <v>1</v>
      </c>
      <c r="AC24" s="1753" t="b">
        <f t="shared" si="12"/>
        <v>1</v>
      </c>
      <c r="AD24" s="1754" t="b">
        <f t="shared" si="13"/>
        <v>1</v>
      </c>
      <c r="AE24" s="1754" t="b">
        <f t="shared" si="14"/>
        <v>1</v>
      </c>
    </row>
    <row r="25" spans="2:31" s="1763" customFormat="1" ht="15" customHeight="1" x14ac:dyDescent="0.2">
      <c r="B25" s="1786"/>
      <c r="C25" s="1787"/>
      <c r="D25" s="1788"/>
      <c r="E25" s="1787"/>
      <c r="F25" s="1788"/>
      <c r="G25" s="1782"/>
      <c r="H25" s="1789"/>
      <c r="I25" s="1774"/>
      <c r="J25" s="1790"/>
      <c r="K25" s="1787"/>
      <c r="L25" s="1788"/>
      <c r="M25" s="1787"/>
      <c r="N25" s="1788"/>
      <c r="O25" s="1774"/>
      <c r="P25" s="1789"/>
      <c r="Q25" s="552" t="str">
        <f t="shared" si="0"/>
        <v/>
      </c>
      <c r="R25" s="1752" t="b">
        <f t="shared" si="1"/>
        <v>1</v>
      </c>
      <c r="S25" s="1752">
        <f t="shared" si="2"/>
        <v>0</v>
      </c>
      <c r="T25" s="1753" t="b">
        <f t="shared" si="3"/>
        <v>1</v>
      </c>
      <c r="U25" s="1753" t="b">
        <f t="shared" si="4"/>
        <v>1</v>
      </c>
      <c r="V25" s="1753" t="b">
        <f t="shared" si="5"/>
        <v>1</v>
      </c>
      <c r="W25" s="1753" t="b">
        <f t="shared" si="6"/>
        <v>1</v>
      </c>
      <c r="X25" s="1752" t="b">
        <f t="shared" si="7"/>
        <v>1</v>
      </c>
      <c r="Y25" s="1752">
        <f t="shared" si="8"/>
        <v>0</v>
      </c>
      <c r="Z25" s="1753" t="b">
        <f t="shared" si="9"/>
        <v>1</v>
      </c>
      <c r="AA25" s="1753" t="b">
        <f t="shared" si="10"/>
        <v>1</v>
      </c>
      <c r="AB25" s="1753" t="b">
        <f t="shared" si="11"/>
        <v>1</v>
      </c>
      <c r="AC25" s="1753" t="b">
        <f t="shared" si="12"/>
        <v>1</v>
      </c>
      <c r="AD25" s="1754" t="b">
        <f t="shared" si="13"/>
        <v>1</v>
      </c>
      <c r="AE25" s="1754" t="b">
        <f t="shared" si="14"/>
        <v>1</v>
      </c>
    </row>
    <row r="26" spans="2:31" s="1763" customFormat="1" ht="15" customHeight="1" x14ac:dyDescent="0.2">
      <c r="B26" s="1786"/>
      <c r="C26" s="1787"/>
      <c r="D26" s="1788"/>
      <c r="E26" s="1787"/>
      <c r="F26" s="1788"/>
      <c r="G26" s="1782"/>
      <c r="H26" s="1789"/>
      <c r="I26" s="1774"/>
      <c r="J26" s="1790"/>
      <c r="K26" s="1787"/>
      <c r="L26" s="1788"/>
      <c r="M26" s="1787"/>
      <c r="N26" s="1788"/>
      <c r="O26" s="1774"/>
      <c r="P26" s="1789"/>
      <c r="Q26" s="552" t="str">
        <f t="shared" si="0"/>
        <v/>
      </c>
      <c r="R26" s="1752" t="b">
        <f t="shared" si="1"/>
        <v>1</v>
      </c>
      <c r="S26" s="1752">
        <f t="shared" si="2"/>
        <v>0</v>
      </c>
      <c r="T26" s="1753" t="b">
        <f t="shared" si="3"/>
        <v>1</v>
      </c>
      <c r="U26" s="1753" t="b">
        <f t="shared" si="4"/>
        <v>1</v>
      </c>
      <c r="V26" s="1753" t="b">
        <f t="shared" si="5"/>
        <v>1</v>
      </c>
      <c r="W26" s="1753" t="b">
        <f t="shared" si="6"/>
        <v>1</v>
      </c>
      <c r="X26" s="1752" t="b">
        <f t="shared" si="7"/>
        <v>1</v>
      </c>
      <c r="Y26" s="1752">
        <f t="shared" si="8"/>
        <v>0</v>
      </c>
      <c r="Z26" s="1753" t="b">
        <f t="shared" si="9"/>
        <v>1</v>
      </c>
      <c r="AA26" s="1753" t="b">
        <f t="shared" si="10"/>
        <v>1</v>
      </c>
      <c r="AB26" s="1753" t="b">
        <f t="shared" si="11"/>
        <v>1</v>
      </c>
      <c r="AC26" s="1753" t="b">
        <f t="shared" si="12"/>
        <v>1</v>
      </c>
      <c r="AD26" s="1754" t="b">
        <f t="shared" si="13"/>
        <v>1</v>
      </c>
      <c r="AE26" s="1754" t="b">
        <f t="shared" si="14"/>
        <v>1</v>
      </c>
    </row>
    <row r="27" spans="2:31" s="1763" customFormat="1" ht="15" customHeight="1" x14ac:dyDescent="0.2">
      <c r="B27" s="1786"/>
      <c r="C27" s="1787"/>
      <c r="D27" s="1788"/>
      <c r="E27" s="1787"/>
      <c r="F27" s="1788"/>
      <c r="G27" s="1782"/>
      <c r="H27" s="1789"/>
      <c r="I27" s="1774"/>
      <c r="J27" s="1790"/>
      <c r="K27" s="1787"/>
      <c r="L27" s="1788"/>
      <c r="M27" s="1787"/>
      <c r="N27" s="1788"/>
      <c r="O27" s="1774"/>
      <c r="P27" s="1789"/>
      <c r="Q27" s="552" t="str">
        <f t="shared" si="0"/>
        <v/>
      </c>
      <c r="R27" s="1752" t="b">
        <f t="shared" si="1"/>
        <v>1</v>
      </c>
      <c r="S27" s="1752">
        <f t="shared" si="2"/>
        <v>0</v>
      </c>
      <c r="T27" s="1753" t="b">
        <f t="shared" si="3"/>
        <v>1</v>
      </c>
      <c r="U27" s="1753" t="b">
        <f t="shared" si="4"/>
        <v>1</v>
      </c>
      <c r="V27" s="1753" t="b">
        <f t="shared" si="5"/>
        <v>1</v>
      </c>
      <c r="W27" s="1753" t="b">
        <f t="shared" si="6"/>
        <v>1</v>
      </c>
      <c r="X27" s="1752" t="b">
        <f t="shared" si="7"/>
        <v>1</v>
      </c>
      <c r="Y27" s="1752">
        <f t="shared" si="8"/>
        <v>0</v>
      </c>
      <c r="Z27" s="1753" t="b">
        <f t="shared" si="9"/>
        <v>1</v>
      </c>
      <c r="AA27" s="1753" t="b">
        <f t="shared" si="10"/>
        <v>1</v>
      </c>
      <c r="AB27" s="1753" t="b">
        <f t="shared" si="11"/>
        <v>1</v>
      </c>
      <c r="AC27" s="1753" t="b">
        <f t="shared" si="12"/>
        <v>1</v>
      </c>
      <c r="AD27" s="1754" t="b">
        <f t="shared" si="13"/>
        <v>1</v>
      </c>
      <c r="AE27" s="1754" t="b">
        <f t="shared" si="14"/>
        <v>1</v>
      </c>
    </row>
    <row r="28" spans="2:31" s="1763" customFormat="1" ht="15" customHeight="1" x14ac:dyDescent="0.2">
      <c r="B28" s="1786"/>
      <c r="C28" s="1787"/>
      <c r="D28" s="1788"/>
      <c r="E28" s="1787"/>
      <c r="F28" s="1788"/>
      <c r="G28" s="1782"/>
      <c r="H28" s="1789"/>
      <c r="I28" s="1774"/>
      <c r="J28" s="1790"/>
      <c r="K28" s="1787"/>
      <c r="L28" s="1788"/>
      <c r="M28" s="1787"/>
      <c r="N28" s="1788"/>
      <c r="O28" s="1774"/>
      <c r="P28" s="1789"/>
      <c r="Q28" s="552" t="str">
        <f t="shared" si="0"/>
        <v/>
      </c>
      <c r="R28" s="1752" t="b">
        <f t="shared" si="1"/>
        <v>1</v>
      </c>
      <c r="S28" s="1752">
        <f t="shared" si="2"/>
        <v>0</v>
      </c>
      <c r="T28" s="1753" t="b">
        <f t="shared" si="3"/>
        <v>1</v>
      </c>
      <c r="U28" s="1753" t="b">
        <f t="shared" si="4"/>
        <v>1</v>
      </c>
      <c r="V28" s="1753" t="b">
        <f t="shared" si="5"/>
        <v>1</v>
      </c>
      <c r="W28" s="1753" t="b">
        <f t="shared" si="6"/>
        <v>1</v>
      </c>
      <c r="X28" s="1752" t="b">
        <f t="shared" si="7"/>
        <v>1</v>
      </c>
      <c r="Y28" s="1752">
        <f t="shared" si="8"/>
        <v>0</v>
      </c>
      <c r="Z28" s="1753" t="b">
        <f t="shared" si="9"/>
        <v>1</v>
      </c>
      <c r="AA28" s="1753" t="b">
        <f t="shared" si="10"/>
        <v>1</v>
      </c>
      <c r="AB28" s="1753" t="b">
        <f t="shared" si="11"/>
        <v>1</v>
      </c>
      <c r="AC28" s="1753" t="b">
        <f t="shared" si="12"/>
        <v>1</v>
      </c>
      <c r="AD28" s="1754" t="b">
        <f t="shared" si="13"/>
        <v>1</v>
      </c>
      <c r="AE28" s="1754" t="b">
        <f t="shared" si="14"/>
        <v>1</v>
      </c>
    </row>
    <row r="29" spans="2:31" s="1763" customFormat="1" ht="15" customHeight="1" x14ac:dyDescent="0.2">
      <c r="B29" s="1786"/>
      <c r="C29" s="1787"/>
      <c r="D29" s="1788"/>
      <c r="E29" s="1787"/>
      <c r="F29" s="1788"/>
      <c r="G29" s="1782"/>
      <c r="H29" s="1789"/>
      <c r="I29" s="1774"/>
      <c r="J29" s="1790"/>
      <c r="K29" s="1787"/>
      <c r="L29" s="1788"/>
      <c r="M29" s="1787"/>
      <c r="N29" s="1788"/>
      <c r="O29" s="1774"/>
      <c r="P29" s="1789"/>
      <c r="Q29" s="552" t="str">
        <f>IF(AND(R29,X29,AD29,AE29),"","*")</f>
        <v/>
      </c>
      <c r="R29" s="1752" t="b">
        <f t="shared" si="1"/>
        <v>1</v>
      </c>
      <c r="S29" s="1752">
        <f>COUNTIF(T29:W29,FALSE)</f>
        <v>0</v>
      </c>
      <c r="T29" s="1753" t="b">
        <f>ISBLANK(B29)</f>
        <v>1</v>
      </c>
      <c r="U29" s="1753" t="b">
        <f>ISBLANK(D29)</f>
        <v>1</v>
      </c>
      <c r="V29" s="1753" t="b">
        <f>ISBLANK(F29)</f>
        <v>1</v>
      </c>
      <c r="W29" s="1753" t="b">
        <f>ISBLANK(H29)</f>
        <v>1</v>
      </c>
      <c r="X29" s="1752" t="b">
        <f t="shared" si="7"/>
        <v>1</v>
      </c>
      <c r="Y29" s="1752">
        <f>COUNTIF(Z29:AC29,FALSE)</f>
        <v>0</v>
      </c>
      <c r="Z29" s="1753" t="b">
        <f>ISBLANK(J29)</f>
        <v>1</v>
      </c>
      <c r="AA29" s="1753" t="b">
        <f>ISBLANK(L29)</f>
        <v>1</v>
      </c>
      <c r="AB29" s="1753" t="b">
        <f>ISBLANK(N29)</f>
        <v>1</v>
      </c>
      <c r="AC29" s="1753" t="b">
        <f>ISBLANK(P29)</f>
        <v>1</v>
      </c>
      <c r="AD29" s="1754" t="b">
        <f>IF(ISBLANK(F29),TRUE,VALUE(LEFT(F29,4))=4381)</f>
        <v>1</v>
      </c>
      <c r="AE29" s="1754" t="b">
        <f>IF(ISBLANK(N29),TRUE,VALUE(LEFT(N29,4))=5381)</f>
        <v>1</v>
      </c>
    </row>
    <row r="30" spans="2:31" s="1763" customFormat="1" ht="15" customHeight="1" x14ac:dyDescent="0.2">
      <c r="B30" s="1786"/>
      <c r="C30" s="1787"/>
      <c r="D30" s="1788"/>
      <c r="E30" s="1787"/>
      <c r="F30" s="1788"/>
      <c r="G30" s="1782"/>
      <c r="H30" s="1789"/>
      <c r="I30" s="1774"/>
      <c r="J30" s="1790"/>
      <c r="K30" s="1787"/>
      <c r="L30" s="1788"/>
      <c r="M30" s="1787"/>
      <c r="N30" s="1788"/>
      <c r="O30" s="1774"/>
      <c r="P30" s="1789"/>
      <c r="Q30" s="552" t="str">
        <f>IF(AND(R30,X30,AD30,AE30),"","*")</f>
        <v/>
      </c>
      <c r="R30" s="1752" t="b">
        <f t="shared" si="1"/>
        <v>1</v>
      </c>
      <c r="S30" s="1752">
        <f>COUNTIF(T30:W30,FALSE)</f>
        <v>0</v>
      </c>
      <c r="T30" s="1753" t="b">
        <f>ISBLANK(B30)</f>
        <v>1</v>
      </c>
      <c r="U30" s="1753" t="b">
        <f>ISBLANK(D30)</f>
        <v>1</v>
      </c>
      <c r="V30" s="1753" t="b">
        <f>ISBLANK(F30)</f>
        <v>1</v>
      </c>
      <c r="W30" s="1753" t="b">
        <f>ISBLANK(H30)</f>
        <v>1</v>
      </c>
      <c r="X30" s="1752" t="b">
        <f t="shared" si="7"/>
        <v>1</v>
      </c>
      <c r="Y30" s="1752">
        <f>COUNTIF(Z30:AC30,FALSE)</f>
        <v>0</v>
      </c>
      <c r="Z30" s="1753" t="b">
        <f>ISBLANK(J30)</f>
        <v>1</v>
      </c>
      <c r="AA30" s="1753" t="b">
        <f>ISBLANK(L30)</f>
        <v>1</v>
      </c>
      <c r="AB30" s="1753" t="b">
        <f>ISBLANK(N30)</f>
        <v>1</v>
      </c>
      <c r="AC30" s="1753" t="b">
        <f>ISBLANK(P30)</f>
        <v>1</v>
      </c>
      <c r="AD30" s="1754" t="b">
        <f>IF(ISBLANK(F30),TRUE,VALUE(LEFT(F30,4))=4381)</f>
        <v>1</v>
      </c>
      <c r="AE30" s="1754" t="b">
        <f>IF(ISBLANK(N30),TRUE,VALUE(LEFT(N30,4))=5381)</f>
        <v>1</v>
      </c>
    </row>
    <row r="31" spans="2:31" s="1763" customFormat="1" ht="15" customHeight="1" x14ac:dyDescent="0.2">
      <c r="B31" s="1786"/>
      <c r="C31" s="1787"/>
      <c r="D31" s="1788"/>
      <c r="E31" s="1787"/>
      <c r="F31" s="1788"/>
      <c r="G31" s="1782"/>
      <c r="H31" s="1789"/>
      <c r="I31" s="1774"/>
      <c r="J31" s="1790"/>
      <c r="K31" s="1787"/>
      <c r="L31" s="1788"/>
      <c r="M31" s="1787"/>
      <c r="N31" s="1788"/>
      <c r="O31" s="1774"/>
      <c r="P31" s="1789"/>
      <c r="Q31" s="552" t="str">
        <f>IF(AND(R31,X31,AD31,AE31),"","*")</f>
        <v/>
      </c>
      <c r="R31" s="1752" t="b">
        <f t="shared" si="1"/>
        <v>1</v>
      </c>
      <c r="S31" s="1752">
        <f>COUNTIF(T31:W31,FALSE)</f>
        <v>0</v>
      </c>
      <c r="T31" s="1753" t="b">
        <f>ISBLANK(B31)</f>
        <v>1</v>
      </c>
      <c r="U31" s="1753" t="b">
        <f>ISBLANK(D31)</f>
        <v>1</v>
      </c>
      <c r="V31" s="1753" t="b">
        <f>ISBLANK(F31)</f>
        <v>1</v>
      </c>
      <c r="W31" s="1753" t="b">
        <f>ISBLANK(H31)</f>
        <v>1</v>
      </c>
      <c r="X31" s="1752" t="b">
        <f t="shared" si="7"/>
        <v>1</v>
      </c>
      <c r="Y31" s="1752">
        <f>COUNTIF(Z31:AC31,FALSE)</f>
        <v>0</v>
      </c>
      <c r="Z31" s="1753" t="b">
        <f>ISBLANK(J31)</f>
        <v>1</v>
      </c>
      <c r="AA31" s="1753" t="b">
        <f>ISBLANK(L31)</f>
        <v>1</v>
      </c>
      <c r="AB31" s="1753" t="b">
        <f>ISBLANK(N31)</f>
        <v>1</v>
      </c>
      <c r="AC31" s="1753" t="b">
        <f>ISBLANK(P31)</f>
        <v>1</v>
      </c>
      <c r="AD31" s="1754" t="b">
        <f>IF(ISBLANK(F31),TRUE,VALUE(LEFT(F31,4))=4381)</f>
        <v>1</v>
      </c>
      <c r="AE31" s="1754" t="b">
        <f>IF(ISBLANK(N31),TRUE,VALUE(LEFT(N31,4))=5381)</f>
        <v>1</v>
      </c>
    </row>
    <row r="32" spans="2:31" s="1763" customFormat="1" ht="15" customHeight="1" x14ac:dyDescent="0.2">
      <c r="B32" s="1786"/>
      <c r="C32" s="1787"/>
      <c r="D32" s="1788"/>
      <c r="E32" s="1787"/>
      <c r="F32" s="1788"/>
      <c r="G32" s="1782"/>
      <c r="H32" s="1789"/>
      <c r="I32" s="1774"/>
      <c r="J32" s="1790"/>
      <c r="K32" s="1787"/>
      <c r="L32" s="1788"/>
      <c r="M32" s="1787"/>
      <c r="N32" s="1788"/>
      <c r="O32" s="1774"/>
      <c r="P32" s="1789"/>
      <c r="Q32" s="552" t="str">
        <f>IF(AND(R32,X32,AD32,AE32),"","*")</f>
        <v/>
      </c>
      <c r="R32" s="1752" t="b">
        <f t="shared" si="1"/>
        <v>1</v>
      </c>
      <c r="S32" s="1752">
        <f>COUNTIF(T32:W32,FALSE)</f>
        <v>0</v>
      </c>
      <c r="T32" s="1753" t="b">
        <f>ISBLANK(B32)</f>
        <v>1</v>
      </c>
      <c r="U32" s="1753" t="b">
        <f>ISBLANK(D32)</f>
        <v>1</v>
      </c>
      <c r="V32" s="1753" t="b">
        <f>ISBLANK(F32)</f>
        <v>1</v>
      </c>
      <c r="W32" s="1753" t="b">
        <f>ISBLANK(H32)</f>
        <v>1</v>
      </c>
      <c r="X32" s="1752" t="b">
        <f t="shared" si="7"/>
        <v>1</v>
      </c>
      <c r="Y32" s="1752">
        <f>COUNTIF(Z32:AC32,FALSE)</f>
        <v>0</v>
      </c>
      <c r="Z32" s="1753" t="b">
        <f>ISBLANK(J32)</f>
        <v>1</v>
      </c>
      <c r="AA32" s="1753" t="b">
        <f>ISBLANK(L32)</f>
        <v>1</v>
      </c>
      <c r="AB32" s="1753" t="b">
        <f>ISBLANK(N32)</f>
        <v>1</v>
      </c>
      <c r="AC32" s="1753" t="b">
        <f>ISBLANK(P32)</f>
        <v>1</v>
      </c>
      <c r="AD32" s="1754" t="b">
        <f>IF(ISBLANK(F32),TRUE,VALUE(LEFT(F32,4))=4381)</f>
        <v>1</v>
      </c>
      <c r="AE32" s="1754" t="b">
        <f>IF(ISBLANK(N32),TRUE,VALUE(LEFT(N32,4))=5381)</f>
        <v>1</v>
      </c>
    </row>
    <row r="33" spans="2:31" s="1763" customFormat="1" ht="15" customHeight="1" thickBot="1" x14ac:dyDescent="0.25">
      <c r="B33" s="1774"/>
      <c r="C33" s="1774"/>
      <c r="D33" s="1774"/>
      <c r="E33" s="1774"/>
      <c r="F33" s="1782" t="s">
        <v>976</v>
      </c>
      <c r="G33" s="1782"/>
      <c r="H33" s="1805">
        <f>SUM(H15:H32)</f>
        <v>0</v>
      </c>
      <c r="I33" s="1774"/>
      <c r="J33" s="1774"/>
      <c r="K33" s="1774"/>
      <c r="L33" s="1774"/>
      <c r="M33" s="1774"/>
      <c r="N33" s="1782" t="s">
        <v>977</v>
      </c>
      <c r="O33" s="1782"/>
      <c r="P33" s="1805">
        <f>SUM(P15:P32)</f>
        <v>0</v>
      </c>
      <c r="Q33" s="1774"/>
      <c r="R33" s="1752">
        <f>COUNTIF(R14:R32,FALSE)</f>
        <v>0</v>
      </c>
      <c r="S33" s="1759"/>
      <c r="T33" s="1759"/>
      <c r="U33" s="1759"/>
      <c r="V33" s="1759"/>
      <c r="W33" s="1759"/>
      <c r="X33" s="1752">
        <f>COUNTIF(X14:X32,FALSE)</f>
        <v>0</v>
      </c>
      <c r="Y33" s="1759"/>
      <c r="Z33" s="1759"/>
      <c r="AA33" s="1759"/>
      <c r="AB33" s="1759"/>
      <c r="AC33" s="1759"/>
      <c r="AD33" s="1759">
        <f>COUNTIF(AD14:AD32,FALSE)</f>
        <v>0</v>
      </c>
      <c r="AE33" s="1759">
        <f>COUNTIF(AE14:AE32,FALSE)</f>
        <v>0</v>
      </c>
    </row>
    <row r="34" spans="2:31" s="1796" customFormat="1" ht="21.75" customHeight="1" x14ac:dyDescent="0.2">
      <c r="B34" s="1806"/>
      <c r="C34" s="1806"/>
      <c r="D34" s="1806"/>
      <c r="E34" s="1806"/>
      <c r="F34" s="1807" t="s">
        <v>973</v>
      </c>
      <c r="G34" s="1807"/>
      <c r="H34" s="1813" t="s">
        <v>978</v>
      </c>
      <c r="I34" s="1806"/>
      <c r="J34" s="1806"/>
      <c r="K34" s="1806"/>
      <c r="L34" s="1806"/>
      <c r="M34" s="1806"/>
      <c r="N34" s="3090" t="str">
        <f>IF(P34&lt;&gt;0,"Out of Balance","")</f>
        <v/>
      </c>
      <c r="O34" s="3090"/>
      <c r="P34" s="1808">
        <f>+H33-P33</f>
        <v>0</v>
      </c>
      <c r="Q34" s="1806"/>
    </row>
    <row r="35" spans="2:31" ht="20.85" customHeight="1" x14ac:dyDescent="0.25">
      <c r="B35" s="1771"/>
      <c r="C35" s="1771"/>
      <c r="D35" s="1771"/>
      <c r="E35" s="1771"/>
      <c r="F35" s="1771"/>
      <c r="G35" s="1771"/>
      <c r="H35" s="1771"/>
      <c r="I35" s="1771"/>
      <c r="J35" s="1771"/>
      <c r="K35" s="1771"/>
      <c r="L35" s="1771"/>
      <c r="M35" s="1771"/>
      <c r="N35" s="1771"/>
      <c r="O35" s="1771"/>
      <c r="P35" s="1771"/>
      <c r="Q35" s="1771"/>
    </row>
    <row r="37" spans="2:31" x14ac:dyDescent="0.25">
      <c r="B37" s="1161"/>
    </row>
    <row r="38" spans="2:31" x14ac:dyDescent="0.25">
      <c r="B38" s="1161"/>
    </row>
    <row r="117" spans="1:2" x14ac:dyDescent="0.25">
      <c r="A117" s="794" t="str">
        <f ca="1">MID(CELL("filename",A4),FIND("]",CELL("filename",A4))+1,256)</f>
        <v>545</v>
      </c>
      <c r="B117" s="794" t="s">
        <v>449</v>
      </c>
    </row>
    <row r="118" spans="1:2" x14ac:dyDescent="0.25">
      <c r="A118" s="794" t="s">
        <v>446</v>
      </c>
      <c r="B118" s="794" t="str">
        <f t="shared" ref="B118:B127" ca="1" si="15">IF(ISNA(INDEX(ErrorTable,MATCH($A$117&amp;$A118&amp;FALSE,ErrorKey,0),6)),"",INDEX(ErrorTable,MATCH($A$117&amp;$A118&amp;FALSE,ErrorKey,0),6))</f>
        <v/>
      </c>
    </row>
    <row r="119" spans="1:2" x14ac:dyDescent="0.25">
      <c r="A119" s="794" t="s">
        <v>447</v>
      </c>
      <c r="B119" s="794" t="str">
        <f t="shared" ca="1" si="15"/>
        <v/>
      </c>
    </row>
    <row r="120" spans="1:2" x14ac:dyDescent="0.25">
      <c r="A120" s="794" t="s">
        <v>448</v>
      </c>
      <c r="B120" s="794" t="str">
        <f t="shared" ca="1" si="15"/>
        <v/>
      </c>
    </row>
    <row r="121" spans="1:2" x14ac:dyDescent="0.25">
      <c r="A121" s="794" t="s">
        <v>450</v>
      </c>
      <c r="B121" s="794" t="str">
        <f t="shared" ca="1" si="15"/>
        <v/>
      </c>
    </row>
    <row r="122" spans="1:2" x14ac:dyDescent="0.25">
      <c r="A122" s="794" t="s">
        <v>451</v>
      </c>
      <c r="B122" s="794" t="str">
        <f t="shared" ca="1" si="15"/>
        <v/>
      </c>
    </row>
    <row r="123" spans="1:2" x14ac:dyDescent="0.25">
      <c r="A123" s="794" t="s">
        <v>452</v>
      </c>
      <c r="B123" s="794" t="str">
        <f t="shared" ca="1" si="15"/>
        <v/>
      </c>
    </row>
    <row r="124" spans="1:2" x14ac:dyDescent="0.25">
      <c r="A124" s="794" t="s">
        <v>453</v>
      </c>
      <c r="B124" s="794" t="str">
        <f t="shared" ca="1" si="15"/>
        <v/>
      </c>
    </row>
    <row r="125" spans="1:2" x14ac:dyDescent="0.25">
      <c r="A125" s="794" t="s">
        <v>454</v>
      </c>
      <c r="B125" s="794" t="str">
        <f t="shared" ca="1" si="15"/>
        <v/>
      </c>
    </row>
    <row r="126" spans="1:2" x14ac:dyDescent="0.25">
      <c r="A126" s="794" t="s">
        <v>455</v>
      </c>
      <c r="B126" s="794" t="str">
        <f t="shared" ca="1" si="15"/>
        <v/>
      </c>
    </row>
    <row r="127" spans="1:2" x14ac:dyDescent="0.25">
      <c r="A127" s="794" t="s">
        <v>456</v>
      </c>
      <c r="B127" s="794" t="str">
        <f t="shared" ca="1" si="15"/>
        <v/>
      </c>
    </row>
  </sheetData>
  <sheetProtection algorithmName="SHA-512" hashValue="5vv8J1drW81bUFB0mgPntoLVz08UB402LW9yTzPXTtUYKa+kb9CVkZnCRmNfWxqfwn0Y+rHI1a/h1WBh3uPjpg==" saltValue="xXkDKWyhblg83U4CQfjmog==" spinCount="100000" sheet="1" objects="1" scenarios="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59" priority="2" stopIfTrue="1" operator="equal">
      <formula>"na"</formula>
    </cfRule>
  </conditionalFormatting>
  <conditionalFormatting sqref="AF1:AF3">
    <cfRule type="cellIs" dxfId="58" priority="1" stopIfTrue="1" operator="equal">
      <formula>"na"</formula>
    </cfRule>
  </conditionalFormatting>
  <dataValidations count="4">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00000000-0002-0000-2F00-000000000000}">
      <formula1>4</formula1>
    </dataValidation>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00000000-0002-0000-2F00-000001000000}">
      <formula1>4</formula1>
    </dataValidation>
    <dataValidation type="whole" operator="notEqual" allowBlank="1" showInputMessage="1" showErrorMessage="1" errorTitle="Wrong Account" error="NCAS Accounts 438030 and 538030 are NOT transfer accounts. Please contact your OSC analyst before proceeding." sqref="F15:F32" xr:uid="{538D0E7F-273A-4AAE-AC8D-2833F8DEEC22}">
      <formula1>438030</formula1>
    </dataValidation>
    <dataValidation type="whole" operator="notEqual" allowBlank="1" showInputMessage="1" showErrorMessage="1" errorTitle="Wrong Account" error="NCAS Accounts 438030 and 538030 are NOT transfer accounts. Please contact your OSC analyst before proceeding." sqref="N15:N32" xr:uid="{5E8D496E-EF11-4302-B48E-EE528B3C41CE}">
      <formula1>538030</formula1>
    </dataValidation>
  </dataValidations>
  <hyperlinks>
    <hyperlink ref="B1:P1" location="Index!A1" display="Index!A1" xr:uid="{00000000-0004-0000-2F00-000000000000}"/>
  </hyperlinks>
  <printOptions horizontalCentered="1"/>
  <pageMargins left="0.5" right="0.5" top="0.75" bottom="0.5" header="0.5" footer="0.5"/>
  <pageSetup orientation="landscape" blackAndWhite="1" r:id="rId1"/>
  <headerFooter alignWithMargins="0">
    <oddFooter>&amp;R&amp;A</oddFooter>
  </headerFooter>
  <ignoredErrors>
    <ignoredError sqref="J14 B14" numberStoredAsText="1"/>
    <ignoredError sqref="P33 H33" formulaRange="1"/>
    <ignoredError sqref="M6:P7" unlocked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7">
    <pageSetUpPr fitToPage="1"/>
  </sheetPr>
  <dimension ref="A1:Z171"/>
  <sheetViews>
    <sheetView showGridLines="0" zoomScaleNormal="100" workbookViewId="0">
      <selection sqref="A1:Q1"/>
    </sheetView>
  </sheetViews>
  <sheetFormatPr defaultRowHeight="15.75" x14ac:dyDescent="0.25"/>
  <cols>
    <col min="1" max="1" width="11.5703125" style="1755" customWidth="1"/>
    <col min="2" max="2" width="1.5703125" style="1755" customWidth="1"/>
    <col min="3" max="3" width="15.42578125" style="1755" customWidth="1"/>
    <col min="4" max="4" width="1.5703125" style="1755" customWidth="1"/>
    <col min="5" max="5" width="24" style="1755" customWidth="1"/>
    <col min="6" max="6" width="1.5703125" style="1755" customWidth="1"/>
    <col min="7" max="7" width="17.42578125" style="1755" customWidth="1"/>
    <col min="8" max="8" width="1.5703125" style="1755" customWidth="1"/>
    <col min="9" max="9" width="18.42578125" style="1755" customWidth="1"/>
    <col min="10" max="10" width="1.5703125" style="1755" customWidth="1"/>
    <col min="11" max="11" width="32.42578125" style="1755" customWidth="1"/>
    <col min="12" max="12" width="2.42578125" style="1755" customWidth="1"/>
    <col min="13" max="13" width="14.5703125" style="1755" customWidth="1"/>
    <col min="14" max="14" width="3" style="1755" customWidth="1"/>
    <col min="15" max="15" width="11" style="1755" customWidth="1"/>
    <col min="16" max="16" width="2.42578125" style="1755" customWidth="1"/>
    <col min="17" max="17" width="10.42578125" style="1755" customWidth="1"/>
    <col min="18" max="18" width="6.5703125" style="1755" customWidth="1"/>
    <col min="19" max="19" width="7" style="1755" hidden="1" customWidth="1"/>
    <col min="20" max="20" width="2" style="1755" hidden="1" customWidth="1"/>
    <col min="21" max="24" width="7" style="1755" hidden="1" customWidth="1"/>
    <col min="25" max="25" width="6.42578125" style="1755" hidden="1" customWidth="1"/>
    <col min="26" max="26" width="9.42578125" style="1755" hidden="1" customWidth="1"/>
    <col min="27" max="263" width="9.42578125" style="1755"/>
    <col min="264" max="264" width="0" style="1755" hidden="1" customWidth="1"/>
    <col min="265" max="265" width="15.42578125" style="1755" customWidth="1"/>
    <col min="266" max="266" width="1.5703125" style="1755" customWidth="1"/>
    <col min="267" max="267" width="22.5703125" style="1755" customWidth="1"/>
    <col min="268" max="268" width="1.5703125" style="1755" customWidth="1"/>
    <col min="269" max="269" width="17.42578125" style="1755" customWidth="1"/>
    <col min="270" max="270" width="1.5703125" style="1755" customWidth="1"/>
    <col min="271" max="271" width="14.42578125" style="1755" customWidth="1"/>
    <col min="272" max="272" width="1.5703125" style="1755" customWidth="1"/>
    <col min="273" max="273" width="28.5703125" style="1755" customWidth="1"/>
    <col min="274" max="274" width="4.5703125" style="1755" customWidth="1"/>
    <col min="275" max="281" width="0" style="1755" hidden="1" customWidth="1"/>
    <col min="282" max="519" width="9.42578125" style="1755"/>
    <col min="520" max="520" width="0" style="1755" hidden="1" customWidth="1"/>
    <col min="521" max="521" width="15.42578125" style="1755" customWidth="1"/>
    <col min="522" max="522" width="1.5703125" style="1755" customWidth="1"/>
    <col min="523" max="523" width="22.5703125" style="1755" customWidth="1"/>
    <col min="524" max="524" width="1.5703125" style="1755" customWidth="1"/>
    <col min="525" max="525" width="17.42578125" style="1755" customWidth="1"/>
    <col min="526" max="526" width="1.5703125" style="1755" customWidth="1"/>
    <col min="527" max="527" width="14.42578125" style="1755" customWidth="1"/>
    <col min="528" max="528" width="1.5703125" style="1755" customWidth="1"/>
    <col min="529" max="529" width="28.5703125" style="1755" customWidth="1"/>
    <col min="530" max="530" width="4.5703125" style="1755" customWidth="1"/>
    <col min="531" max="537" width="0" style="1755" hidden="1" customWidth="1"/>
    <col min="538" max="775" width="9.42578125" style="1755"/>
    <col min="776" max="776" width="0" style="1755" hidden="1" customWidth="1"/>
    <col min="777" max="777" width="15.42578125" style="1755" customWidth="1"/>
    <col min="778" max="778" width="1.5703125" style="1755" customWidth="1"/>
    <col min="779" max="779" width="22.5703125" style="1755" customWidth="1"/>
    <col min="780" max="780" width="1.5703125" style="1755" customWidth="1"/>
    <col min="781" max="781" width="17.42578125" style="1755" customWidth="1"/>
    <col min="782" max="782" width="1.5703125" style="1755" customWidth="1"/>
    <col min="783" max="783" width="14.42578125" style="1755" customWidth="1"/>
    <col min="784" max="784" width="1.5703125" style="1755" customWidth="1"/>
    <col min="785" max="785" width="28.5703125" style="1755" customWidth="1"/>
    <col min="786" max="786" width="4.5703125" style="1755" customWidth="1"/>
    <col min="787" max="793" width="0" style="1755" hidden="1" customWidth="1"/>
    <col min="794" max="1031" width="9.42578125" style="1755"/>
    <col min="1032" max="1032" width="0" style="1755" hidden="1" customWidth="1"/>
    <col min="1033" max="1033" width="15.42578125" style="1755" customWidth="1"/>
    <col min="1034" max="1034" width="1.5703125" style="1755" customWidth="1"/>
    <col min="1035" max="1035" width="22.5703125" style="1755" customWidth="1"/>
    <col min="1036" max="1036" width="1.5703125" style="1755" customWidth="1"/>
    <col min="1037" max="1037" width="17.42578125" style="1755" customWidth="1"/>
    <col min="1038" max="1038" width="1.5703125" style="1755" customWidth="1"/>
    <col min="1039" max="1039" width="14.42578125" style="1755" customWidth="1"/>
    <col min="1040" max="1040" width="1.5703125" style="1755" customWidth="1"/>
    <col min="1041" max="1041" width="28.5703125" style="1755" customWidth="1"/>
    <col min="1042" max="1042" width="4.5703125" style="1755" customWidth="1"/>
    <col min="1043" max="1049" width="0" style="1755" hidden="1" customWidth="1"/>
    <col min="1050" max="1287" width="9.42578125" style="1755"/>
    <col min="1288" max="1288" width="0" style="1755" hidden="1" customWidth="1"/>
    <col min="1289" max="1289" width="15.42578125" style="1755" customWidth="1"/>
    <col min="1290" max="1290" width="1.5703125" style="1755" customWidth="1"/>
    <col min="1291" max="1291" width="22.5703125" style="1755" customWidth="1"/>
    <col min="1292" max="1292" width="1.5703125" style="1755" customWidth="1"/>
    <col min="1293" max="1293" width="17.42578125" style="1755" customWidth="1"/>
    <col min="1294" max="1294" width="1.5703125" style="1755" customWidth="1"/>
    <col min="1295" max="1295" width="14.42578125" style="1755" customWidth="1"/>
    <col min="1296" max="1296" width="1.5703125" style="1755" customWidth="1"/>
    <col min="1297" max="1297" width="28.5703125" style="1755" customWidth="1"/>
    <col min="1298" max="1298" width="4.5703125" style="1755" customWidth="1"/>
    <col min="1299" max="1305" width="0" style="1755" hidden="1" customWidth="1"/>
    <col min="1306" max="1543" width="9.42578125" style="1755"/>
    <col min="1544" max="1544" width="0" style="1755" hidden="1" customWidth="1"/>
    <col min="1545" max="1545" width="15.42578125" style="1755" customWidth="1"/>
    <col min="1546" max="1546" width="1.5703125" style="1755" customWidth="1"/>
    <col min="1547" max="1547" width="22.5703125" style="1755" customWidth="1"/>
    <col min="1548" max="1548" width="1.5703125" style="1755" customWidth="1"/>
    <col min="1549" max="1549" width="17.42578125" style="1755" customWidth="1"/>
    <col min="1550" max="1550" width="1.5703125" style="1755" customWidth="1"/>
    <col min="1551" max="1551" width="14.42578125" style="1755" customWidth="1"/>
    <col min="1552" max="1552" width="1.5703125" style="1755" customWidth="1"/>
    <col min="1553" max="1553" width="28.5703125" style="1755" customWidth="1"/>
    <col min="1554" max="1554" width="4.5703125" style="1755" customWidth="1"/>
    <col min="1555" max="1561" width="0" style="1755" hidden="1" customWidth="1"/>
    <col min="1562" max="1799" width="9.42578125" style="1755"/>
    <col min="1800" max="1800" width="0" style="1755" hidden="1" customWidth="1"/>
    <col min="1801" max="1801" width="15.42578125" style="1755" customWidth="1"/>
    <col min="1802" max="1802" width="1.5703125" style="1755" customWidth="1"/>
    <col min="1803" max="1803" width="22.5703125" style="1755" customWidth="1"/>
    <col min="1804" max="1804" width="1.5703125" style="1755" customWidth="1"/>
    <col min="1805" max="1805" width="17.42578125" style="1755" customWidth="1"/>
    <col min="1806" max="1806" width="1.5703125" style="1755" customWidth="1"/>
    <col min="1807" max="1807" width="14.42578125" style="1755" customWidth="1"/>
    <col min="1808" max="1808" width="1.5703125" style="1755" customWidth="1"/>
    <col min="1809" max="1809" width="28.5703125" style="1755" customWidth="1"/>
    <col min="1810" max="1810" width="4.5703125" style="1755" customWidth="1"/>
    <col min="1811" max="1817" width="0" style="1755" hidden="1" customWidth="1"/>
    <col min="1818" max="2055" width="9.42578125" style="1755"/>
    <col min="2056" max="2056" width="0" style="1755" hidden="1" customWidth="1"/>
    <col min="2057" max="2057" width="15.42578125" style="1755" customWidth="1"/>
    <col min="2058" max="2058" width="1.5703125" style="1755" customWidth="1"/>
    <col min="2059" max="2059" width="22.5703125" style="1755" customWidth="1"/>
    <col min="2060" max="2060" width="1.5703125" style="1755" customWidth="1"/>
    <col min="2061" max="2061" width="17.42578125" style="1755" customWidth="1"/>
    <col min="2062" max="2062" width="1.5703125" style="1755" customWidth="1"/>
    <col min="2063" max="2063" width="14.42578125" style="1755" customWidth="1"/>
    <col min="2064" max="2064" width="1.5703125" style="1755" customWidth="1"/>
    <col min="2065" max="2065" width="28.5703125" style="1755" customWidth="1"/>
    <col min="2066" max="2066" width="4.5703125" style="1755" customWidth="1"/>
    <col min="2067" max="2073" width="0" style="1755" hidden="1" customWidth="1"/>
    <col min="2074" max="2311" width="9.42578125" style="1755"/>
    <col min="2312" max="2312" width="0" style="1755" hidden="1" customWidth="1"/>
    <col min="2313" max="2313" width="15.42578125" style="1755" customWidth="1"/>
    <col min="2314" max="2314" width="1.5703125" style="1755" customWidth="1"/>
    <col min="2315" max="2315" width="22.5703125" style="1755" customWidth="1"/>
    <col min="2316" max="2316" width="1.5703125" style="1755" customWidth="1"/>
    <col min="2317" max="2317" width="17.42578125" style="1755" customWidth="1"/>
    <col min="2318" max="2318" width="1.5703125" style="1755" customWidth="1"/>
    <col min="2319" max="2319" width="14.42578125" style="1755" customWidth="1"/>
    <col min="2320" max="2320" width="1.5703125" style="1755" customWidth="1"/>
    <col min="2321" max="2321" width="28.5703125" style="1755" customWidth="1"/>
    <col min="2322" max="2322" width="4.5703125" style="1755" customWidth="1"/>
    <col min="2323" max="2329" width="0" style="1755" hidden="1" customWidth="1"/>
    <col min="2330" max="2567" width="9.42578125" style="1755"/>
    <col min="2568" max="2568" width="0" style="1755" hidden="1" customWidth="1"/>
    <col min="2569" max="2569" width="15.42578125" style="1755" customWidth="1"/>
    <col min="2570" max="2570" width="1.5703125" style="1755" customWidth="1"/>
    <col min="2571" max="2571" width="22.5703125" style="1755" customWidth="1"/>
    <col min="2572" max="2572" width="1.5703125" style="1755" customWidth="1"/>
    <col min="2573" max="2573" width="17.42578125" style="1755" customWidth="1"/>
    <col min="2574" max="2574" width="1.5703125" style="1755" customWidth="1"/>
    <col min="2575" max="2575" width="14.42578125" style="1755" customWidth="1"/>
    <col min="2576" max="2576" width="1.5703125" style="1755" customWidth="1"/>
    <col min="2577" max="2577" width="28.5703125" style="1755" customWidth="1"/>
    <col min="2578" max="2578" width="4.5703125" style="1755" customWidth="1"/>
    <col min="2579" max="2585" width="0" style="1755" hidden="1" customWidth="1"/>
    <col min="2586" max="2823" width="9.42578125" style="1755"/>
    <col min="2824" max="2824" width="0" style="1755" hidden="1" customWidth="1"/>
    <col min="2825" max="2825" width="15.42578125" style="1755" customWidth="1"/>
    <col min="2826" max="2826" width="1.5703125" style="1755" customWidth="1"/>
    <col min="2827" max="2827" width="22.5703125" style="1755" customWidth="1"/>
    <col min="2828" max="2828" width="1.5703125" style="1755" customWidth="1"/>
    <col min="2829" max="2829" width="17.42578125" style="1755" customWidth="1"/>
    <col min="2830" max="2830" width="1.5703125" style="1755" customWidth="1"/>
    <col min="2831" max="2831" width="14.42578125" style="1755" customWidth="1"/>
    <col min="2832" max="2832" width="1.5703125" style="1755" customWidth="1"/>
    <col min="2833" max="2833" width="28.5703125" style="1755" customWidth="1"/>
    <col min="2834" max="2834" width="4.5703125" style="1755" customWidth="1"/>
    <col min="2835" max="2841" width="0" style="1755" hidden="1" customWidth="1"/>
    <col min="2842" max="3079" width="9.42578125" style="1755"/>
    <col min="3080" max="3080" width="0" style="1755" hidden="1" customWidth="1"/>
    <col min="3081" max="3081" width="15.42578125" style="1755" customWidth="1"/>
    <col min="3082" max="3082" width="1.5703125" style="1755" customWidth="1"/>
    <col min="3083" max="3083" width="22.5703125" style="1755" customWidth="1"/>
    <col min="3084" max="3084" width="1.5703125" style="1755" customWidth="1"/>
    <col min="3085" max="3085" width="17.42578125" style="1755" customWidth="1"/>
    <col min="3086" max="3086" width="1.5703125" style="1755" customWidth="1"/>
    <col min="3087" max="3087" width="14.42578125" style="1755" customWidth="1"/>
    <col min="3088" max="3088" width="1.5703125" style="1755" customWidth="1"/>
    <col min="3089" max="3089" width="28.5703125" style="1755" customWidth="1"/>
    <col min="3090" max="3090" width="4.5703125" style="1755" customWidth="1"/>
    <col min="3091" max="3097" width="0" style="1755" hidden="1" customWidth="1"/>
    <col min="3098" max="3335" width="9.42578125" style="1755"/>
    <col min="3336" max="3336" width="0" style="1755" hidden="1" customWidth="1"/>
    <col min="3337" max="3337" width="15.42578125" style="1755" customWidth="1"/>
    <col min="3338" max="3338" width="1.5703125" style="1755" customWidth="1"/>
    <col min="3339" max="3339" width="22.5703125" style="1755" customWidth="1"/>
    <col min="3340" max="3340" width="1.5703125" style="1755" customWidth="1"/>
    <col min="3341" max="3341" width="17.42578125" style="1755" customWidth="1"/>
    <col min="3342" max="3342" width="1.5703125" style="1755" customWidth="1"/>
    <col min="3343" max="3343" width="14.42578125" style="1755" customWidth="1"/>
    <col min="3344" max="3344" width="1.5703125" style="1755" customWidth="1"/>
    <col min="3345" max="3345" width="28.5703125" style="1755" customWidth="1"/>
    <col min="3346" max="3346" width="4.5703125" style="1755" customWidth="1"/>
    <col min="3347" max="3353" width="0" style="1755" hidden="1" customWidth="1"/>
    <col min="3354" max="3591" width="9.42578125" style="1755"/>
    <col min="3592" max="3592" width="0" style="1755" hidden="1" customWidth="1"/>
    <col min="3593" max="3593" width="15.42578125" style="1755" customWidth="1"/>
    <col min="3594" max="3594" width="1.5703125" style="1755" customWidth="1"/>
    <col min="3595" max="3595" width="22.5703125" style="1755" customWidth="1"/>
    <col min="3596" max="3596" width="1.5703125" style="1755" customWidth="1"/>
    <col min="3597" max="3597" width="17.42578125" style="1755" customWidth="1"/>
    <col min="3598" max="3598" width="1.5703125" style="1755" customWidth="1"/>
    <col min="3599" max="3599" width="14.42578125" style="1755" customWidth="1"/>
    <col min="3600" max="3600" width="1.5703125" style="1755" customWidth="1"/>
    <col min="3601" max="3601" width="28.5703125" style="1755" customWidth="1"/>
    <col min="3602" max="3602" width="4.5703125" style="1755" customWidth="1"/>
    <col min="3603" max="3609" width="0" style="1755" hidden="1" customWidth="1"/>
    <col min="3610" max="3847" width="9.42578125" style="1755"/>
    <col min="3848" max="3848" width="0" style="1755" hidden="1" customWidth="1"/>
    <col min="3849" max="3849" width="15.42578125" style="1755" customWidth="1"/>
    <col min="3850" max="3850" width="1.5703125" style="1755" customWidth="1"/>
    <col min="3851" max="3851" width="22.5703125" style="1755" customWidth="1"/>
    <col min="3852" max="3852" width="1.5703125" style="1755" customWidth="1"/>
    <col min="3853" max="3853" width="17.42578125" style="1755" customWidth="1"/>
    <col min="3854" max="3854" width="1.5703125" style="1755" customWidth="1"/>
    <col min="3855" max="3855" width="14.42578125" style="1755" customWidth="1"/>
    <col min="3856" max="3856" width="1.5703125" style="1755" customWidth="1"/>
    <col min="3857" max="3857" width="28.5703125" style="1755" customWidth="1"/>
    <col min="3858" max="3858" width="4.5703125" style="1755" customWidth="1"/>
    <col min="3859" max="3865" width="0" style="1755" hidden="1" customWidth="1"/>
    <col min="3866" max="4103" width="9.42578125" style="1755"/>
    <col min="4104" max="4104" width="0" style="1755" hidden="1" customWidth="1"/>
    <col min="4105" max="4105" width="15.42578125" style="1755" customWidth="1"/>
    <col min="4106" max="4106" width="1.5703125" style="1755" customWidth="1"/>
    <col min="4107" max="4107" width="22.5703125" style="1755" customWidth="1"/>
    <col min="4108" max="4108" width="1.5703125" style="1755" customWidth="1"/>
    <col min="4109" max="4109" width="17.42578125" style="1755" customWidth="1"/>
    <col min="4110" max="4110" width="1.5703125" style="1755" customWidth="1"/>
    <col min="4111" max="4111" width="14.42578125" style="1755" customWidth="1"/>
    <col min="4112" max="4112" width="1.5703125" style="1755" customWidth="1"/>
    <col min="4113" max="4113" width="28.5703125" style="1755" customWidth="1"/>
    <col min="4114" max="4114" width="4.5703125" style="1755" customWidth="1"/>
    <col min="4115" max="4121" width="0" style="1755" hidden="1" customWidth="1"/>
    <col min="4122" max="4359" width="9.42578125" style="1755"/>
    <col min="4360" max="4360" width="0" style="1755" hidden="1" customWidth="1"/>
    <col min="4361" max="4361" width="15.42578125" style="1755" customWidth="1"/>
    <col min="4362" max="4362" width="1.5703125" style="1755" customWidth="1"/>
    <col min="4363" max="4363" width="22.5703125" style="1755" customWidth="1"/>
    <col min="4364" max="4364" width="1.5703125" style="1755" customWidth="1"/>
    <col min="4365" max="4365" width="17.42578125" style="1755" customWidth="1"/>
    <col min="4366" max="4366" width="1.5703125" style="1755" customWidth="1"/>
    <col min="4367" max="4367" width="14.42578125" style="1755" customWidth="1"/>
    <col min="4368" max="4368" width="1.5703125" style="1755" customWidth="1"/>
    <col min="4369" max="4369" width="28.5703125" style="1755" customWidth="1"/>
    <col min="4370" max="4370" width="4.5703125" style="1755" customWidth="1"/>
    <col min="4371" max="4377" width="0" style="1755" hidden="1" customWidth="1"/>
    <col min="4378" max="4615" width="9.42578125" style="1755"/>
    <col min="4616" max="4616" width="0" style="1755" hidden="1" customWidth="1"/>
    <col min="4617" max="4617" width="15.42578125" style="1755" customWidth="1"/>
    <col min="4618" max="4618" width="1.5703125" style="1755" customWidth="1"/>
    <col min="4619" max="4619" width="22.5703125" style="1755" customWidth="1"/>
    <col min="4620" max="4620" width="1.5703125" style="1755" customWidth="1"/>
    <col min="4621" max="4621" width="17.42578125" style="1755" customWidth="1"/>
    <col min="4622" max="4622" width="1.5703125" style="1755" customWidth="1"/>
    <col min="4623" max="4623" width="14.42578125" style="1755" customWidth="1"/>
    <col min="4624" max="4624" width="1.5703125" style="1755" customWidth="1"/>
    <col min="4625" max="4625" width="28.5703125" style="1755" customWidth="1"/>
    <col min="4626" max="4626" width="4.5703125" style="1755" customWidth="1"/>
    <col min="4627" max="4633" width="0" style="1755" hidden="1" customWidth="1"/>
    <col min="4634" max="4871" width="9.42578125" style="1755"/>
    <col min="4872" max="4872" width="0" style="1755" hidden="1" customWidth="1"/>
    <col min="4873" max="4873" width="15.42578125" style="1755" customWidth="1"/>
    <col min="4874" max="4874" width="1.5703125" style="1755" customWidth="1"/>
    <col min="4875" max="4875" width="22.5703125" style="1755" customWidth="1"/>
    <col min="4876" max="4876" width="1.5703125" style="1755" customWidth="1"/>
    <col min="4877" max="4877" width="17.42578125" style="1755" customWidth="1"/>
    <col min="4878" max="4878" width="1.5703125" style="1755" customWidth="1"/>
    <col min="4879" max="4879" width="14.42578125" style="1755" customWidth="1"/>
    <col min="4880" max="4880" width="1.5703125" style="1755" customWidth="1"/>
    <col min="4881" max="4881" width="28.5703125" style="1755" customWidth="1"/>
    <col min="4882" max="4882" width="4.5703125" style="1755" customWidth="1"/>
    <col min="4883" max="4889" width="0" style="1755" hidden="1" customWidth="1"/>
    <col min="4890" max="5127" width="9.42578125" style="1755"/>
    <col min="5128" max="5128" width="0" style="1755" hidden="1" customWidth="1"/>
    <col min="5129" max="5129" width="15.42578125" style="1755" customWidth="1"/>
    <col min="5130" max="5130" width="1.5703125" style="1755" customWidth="1"/>
    <col min="5131" max="5131" width="22.5703125" style="1755" customWidth="1"/>
    <col min="5132" max="5132" width="1.5703125" style="1755" customWidth="1"/>
    <col min="5133" max="5133" width="17.42578125" style="1755" customWidth="1"/>
    <col min="5134" max="5134" width="1.5703125" style="1755" customWidth="1"/>
    <col min="5135" max="5135" width="14.42578125" style="1755" customWidth="1"/>
    <col min="5136" max="5136" width="1.5703125" style="1755" customWidth="1"/>
    <col min="5137" max="5137" width="28.5703125" style="1755" customWidth="1"/>
    <col min="5138" max="5138" width="4.5703125" style="1755" customWidth="1"/>
    <col min="5139" max="5145" width="0" style="1755" hidden="1" customWidth="1"/>
    <col min="5146" max="5383" width="9.42578125" style="1755"/>
    <col min="5384" max="5384" width="0" style="1755" hidden="1" customWidth="1"/>
    <col min="5385" max="5385" width="15.42578125" style="1755" customWidth="1"/>
    <col min="5386" max="5386" width="1.5703125" style="1755" customWidth="1"/>
    <col min="5387" max="5387" width="22.5703125" style="1755" customWidth="1"/>
    <col min="5388" max="5388" width="1.5703125" style="1755" customWidth="1"/>
    <col min="5389" max="5389" width="17.42578125" style="1755" customWidth="1"/>
    <col min="5390" max="5390" width="1.5703125" style="1755" customWidth="1"/>
    <col min="5391" max="5391" width="14.42578125" style="1755" customWidth="1"/>
    <col min="5392" max="5392" width="1.5703125" style="1755" customWidth="1"/>
    <col min="5393" max="5393" width="28.5703125" style="1755" customWidth="1"/>
    <col min="5394" max="5394" width="4.5703125" style="1755" customWidth="1"/>
    <col min="5395" max="5401" width="0" style="1755" hidden="1" customWidth="1"/>
    <col min="5402" max="5639" width="9.42578125" style="1755"/>
    <col min="5640" max="5640" width="0" style="1755" hidden="1" customWidth="1"/>
    <col min="5641" max="5641" width="15.42578125" style="1755" customWidth="1"/>
    <col min="5642" max="5642" width="1.5703125" style="1755" customWidth="1"/>
    <col min="5643" max="5643" width="22.5703125" style="1755" customWidth="1"/>
    <col min="5644" max="5644" width="1.5703125" style="1755" customWidth="1"/>
    <col min="5645" max="5645" width="17.42578125" style="1755" customWidth="1"/>
    <col min="5646" max="5646" width="1.5703125" style="1755" customWidth="1"/>
    <col min="5647" max="5647" width="14.42578125" style="1755" customWidth="1"/>
    <col min="5648" max="5648" width="1.5703125" style="1755" customWidth="1"/>
    <col min="5649" max="5649" width="28.5703125" style="1755" customWidth="1"/>
    <col min="5650" max="5650" width="4.5703125" style="1755" customWidth="1"/>
    <col min="5651" max="5657" width="0" style="1755" hidden="1" customWidth="1"/>
    <col min="5658" max="5895" width="9.42578125" style="1755"/>
    <col min="5896" max="5896" width="0" style="1755" hidden="1" customWidth="1"/>
    <col min="5897" max="5897" width="15.42578125" style="1755" customWidth="1"/>
    <col min="5898" max="5898" width="1.5703125" style="1755" customWidth="1"/>
    <col min="5899" max="5899" width="22.5703125" style="1755" customWidth="1"/>
    <col min="5900" max="5900" width="1.5703125" style="1755" customWidth="1"/>
    <col min="5901" max="5901" width="17.42578125" style="1755" customWidth="1"/>
    <col min="5902" max="5902" width="1.5703125" style="1755" customWidth="1"/>
    <col min="5903" max="5903" width="14.42578125" style="1755" customWidth="1"/>
    <col min="5904" max="5904" width="1.5703125" style="1755" customWidth="1"/>
    <col min="5905" max="5905" width="28.5703125" style="1755" customWidth="1"/>
    <col min="5906" max="5906" width="4.5703125" style="1755" customWidth="1"/>
    <col min="5907" max="5913" width="0" style="1755" hidden="1" customWidth="1"/>
    <col min="5914" max="6151" width="9.42578125" style="1755"/>
    <col min="6152" max="6152" width="0" style="1755" hidden="1" customWidth="1"/>
    <col min="6153" max="6153" width="15.42578125" style="1755" customWidth="1"/>
    <col min="6154" max="6154" width="1.5703125" style="1755" customWidth="1"/>
    <col min="6155" max="6155" width="22.5703125" style="1755" customWidth="1"/>
    <col min="6156" max="6156" width="1.5703125" style="1755" customWidth="1"/>
    <col min="6157" max="6157" width="17.42578125" style="1755" customWidth="1"/>
    <col min="6158" max="6158" width="1.5703125" style="1755" customWidth="1"/>
    <col min="6159" max="6159" width="14.42578125" style="1755" customWidth="1"/>
    <col min="6160" max="6160" width="1.5703125" style="1755" customWidth="1"/>
    <col min="6161" max="6161" width="28.5703125" style="1755" customWidth="1"/>
    <col min="6162" max="6162" width="4.5703125" style="1755" customWidth="1"/>
    <col min="6163" max="6169" width="0" style="1755" hidden="1" customWidth="1"/>
    <col min="6170" max="6407" width="9.42578125" style="1755"/>
    <col min="6408" max="6408" width="0" style="1755" hidden="1" customWidth="1"/>
    <col min="6409" max="6409" width="15.42578125" style="1755" customWidth="1"/>
    <col min="6410" max="6410" width="1.5703125" style="1755" customWidth="1"/>
    <col min="6411" max="6411" width="22.5703125" style="1755" customWidth="1"/>
    <col min="6412" max="6412" width="1.5703125" style="1755" customWidth="1"/>
    <col min="6413" max="6413" width="17.42578125" style="1755" customWidth="1"/>
    <col min="6414" max="6414" width="1.5703125" style="1755" customWidth="1"/>
    <col min="6415" max="6415" width="14.42578125" style="1755" customWidth="1"/>
    <col min="6416" max="6416" width="1.5703125" style="1755" customWidth="1"/>
    <col min="6417" max="6417" width="28.5703125" style="1755" customWidth="1"/>
    <col min="6418" max="6418" width="4.5703125" style="1755" customWidth="1"/>
    <col min="6419" max="6425" width="0" style="1755" hidden="1" customWidth="1"/>
    <col min="6426" max="6663" width="9.42578125" style="1755"/>
    <col min="6664" max="6664" width="0" style="1755" hidden="1" customWidth="1"/>
    <col min="6665" max="6665" width="15.42578125" style="1755" customWidth="1"/>
    <col min="6666" max="6666" width="1.5703125" style="1755" customWidth="1"/>
    <col min="6667" max="6667" width="22.5703125" style="1755" customWidth="1"/>
    <col min="6668" max="6668" width="1.5703125" style="1755" customWidth="1"/>
    <col min="6669" max="6669" width="17.42578125" style="1755" customWidth="1"/>
    <col min="6670" max="6670" width="1.5703125" style="1755" customWidth="1"/>
    <col min="6671" max="6671" width="14.42578125" style="1755" customWidth="1"/>
    <col min="6672" max="6672" width="1.5703125" style="1755" customWidth="1"/>
    <col min="6673" max="6673" width="28.5703125" style="1755" customWidth="1"/>
    <col min="6674" max="6674" width="4.5703125" style="1755" customWidth="1"/>
    <col min="6675" max="6681" width="0" style="1755" hidden="1" customWidth="1"/>
    <col min="6682" max="6919" width="9.42578125" style="1755"/>
    <col min="6920" max="6920" width="0" style="1755" hidden="1" customWidth="1"/>
    <col min="6921" max="6921" width="15.42578125" style="1755" customWidth="1"/>
    <col min="6922" max="6922" width="1.5703125" style="1755" customWidth="1"/>
    <col min="6923" max="6923" width="22.5703125" style="1755" customWidth="1"/>
    <col min="6924" max="6924" width="1.5703125" style="1755" customWidth="1"/>
    <col min="6925" max="6925" width="17.42578125" style="1755" customWidth="1"/>
    <col min="6926" max="6926" width="1.5703125" style="1755" customWidth="1"/>
    <col min="6927" max="6927" width="14.42578125" style="1755" customWidth="1"/>
    <col min="6928" max="6928" width="1.5703125" style="1755" customWidth="1"/>
    <col min="6929" max="6929" width="28.5703125" style="1755" customWidth="1"/>
    <col min="6930" max="6930" width="4.5703125" style="1755" customWidth="1"/>
    <col min="6931" max="6937" width="0" style="1755" hidden="1" customWidth="1"/>
    <col min="6938" max="7175" width="9.42578125" style="1755"/>
    <col min="7176" max="7176" width="0" style="1755" hidden="1" customWidth="1"/>
    <col min="7177" max="7177" width="15.42578125" style="1755" customWidth="1"/>
    <col min="7178" max="7178" width="1.5703125" style="1755" customWidth="1"/>
    <col min="7179" max="7179" width="22.5703125" style="1755" customWidth="1"/>
    <col min="7180" max="7180" width="1.5703125" style="1755" customWidth="1"/>
    <col min="7181" max="7181" width="17.42578125" style="1755" customWidth="1"/>
    <col min="7182" max="7182" width="1.5703125" style="1755" customWidth="1"/>
    <col min="7183" max="7183" width="14.42578125" style="1755" customWidth="1"/>
    <col min="7184" max="7184" width="1.5703125" style="1755" customWidth="1"/>
    <col min="7185" max="7185" width="28.5703125" style="1755" customWidth="1"/>
    <col min="7186" max="7186" width="4.5703125" style="1755" customWidth="1"/>
    <col min="7187" max="7193" width="0" style="1755" hidden="1" customWidth="1"/>
    <col min="7194" max="7431" width="9.42578125" style="1755"/>
    <col min="7432" max="7432" width="0" style="1755" hidden="1" customWidth="1"/>
    <col min="7433" max="7433" width="15.42578125" style="1755" customWidth="1"/>
    <col min="7434" max="7434" width="1.5703125" style="1755" customWidth="1"/>
    <col min="7435" max="7435" width="22.5703125" style="1755" customWidth="1"/>
    <col min="7436" max="7436" width="1.5703125" style="1755" customWidth="1"/>
    <col min="7437" max="7437" width="17.42578125" style="1755" customWidth="1"/>
    <col min="7438" max="7438" width="1.5703125" style="1755" customWidth="1"/>
    <col min="7439" max="7439" width="14.42578125" style="1755" customWidth="1"/>
    <col min="7440" max="7440" width="1.5703125" style="1755" customWidth="1"/>
    <col min="7441" max="7441" width="28.5703125" style="1755" customWidth="1"/>
    <col min="7442" max="7442" width="4.5703125" style="1755" customWidth="1"/>
    <col min="7443" max="7449" width="0" style="1755" hidden="1" customWidth="1"/>
    <col min="7450" max="7687" width="9.42578125" style="1755"/>
    <col min="7688" max="7688" width="0" style="1755" hidden="1" customWidth="1"/>
    <col min="7689" max="7689" width="15.42578125" style="1755" customWidth="1"/>
    <col min="7690" max="7690" width="1.5703125" style="1755" customWidth="1"/>
    <col min="7691" max="7691" width="22.5703125" style="1755" customWidth="1"/>
    <col min="7692" max="7692" width="1.5703125" style="1755" customWidth="1"/>
    <col min="7693" max="7693" width="17.42578125" style="1755" customWidth="1"/>
    <col min="7694" max="7694" width="1.5703125" style="1755" customWidth="1"/>
    <col min="7695" max="7695" width="14.42578125" style="1755" customWidth="1"/>
    <col min="7696" max="7696" width="1.5703125" style="1755" customWidth="1"/>
    <col min="7697" max="7697" width="28.5703125" style="1755" customWidth="1"/>
    <col min="7698" max="7698" width="4.5703125" style="1755" customWidth="1"/>
    <col min="7699" max="7705" width="0" style="1755" hidden="1" customWidth="1"/>
    <col min="7706" max="7943" width="9.42578125" style="1755"/>
    <col min="7944" max="7944" width="0" style="1755" hidden="1" customWidth="1"/>
    <col min="7945" max="7945" width="15.42578125" style="1755" customWidth="1"/>
    <col min="7946" max="7946" width="1.5703125" style="1755" customWidth="1"/>
    <col min="7947" max="7947" width="22.5703125" style="1755" customWidth="1"/>
    <col min="7948" max="7948" width="1.5703125" style="1755" customWidth="1"/>
    <col min="7949" max="7949" width="17.42578125" style="1755" customWidth="1"/>
    <col min="7950" max="7950" width="1.5703125" style="1755" customWidth="1"/>
    <col min="7951" max="7951" width="14.42578125" style="1755" customWidth="1"/>
    <col min="7952" max="7952" width="1.5703125" style="1755" customWidth="1"/>
    <col min="7953" max="7953" width="28.5703125" style="1755" customWidth="1"/>
    <col min="7954" max="7954" width="4.5703125" style="1755" customWidth="1"/>
    <col min="7955" max="7961" width="0" style="1755" hidden="1" customWidth="1"/>
    <col min="7962" max="8199" width="9.42578125" style="1755"/>
    <col min="8200" max="8200" width="0" style="1755" hidden="1" customWidth="1"/>
    <col min="8201" max="8201" width="15.42578125" style="1755" customWidth="1"/>
    <col min="8202" max="8202" width="1.5703125" style="1755" customWidth="1"/>
    <col min="8203" max="8203" width="22.5703125" style="1755" customWidth="1"/>
    <col min="8204" max="8204" width="1.5703125" style="1755" customWidth="1"/>
    <col min="8205" max="8205" width="17.42578125" style="1755" customWidth="1"/>
    <col min="8206" max="8206" width="1.5703125" style="1755" customWidth="1"/>
    <col min="8207" max="8207" width="14.42578125" style="1755" customWidth="1"/>
    <col min="8208" max="8208" width="1.5703125" style="1755" customWidth="1"/>
    <col min="8209" max="8209" width="28.5703125" style="1755" customWidth="1"/>
    <col min="8210" max="8210" width="4.5703125" style="1755" customWidth="1"/>
    <col min="8211" max="8217" width="0" style="1755" hidden="1" customWidth="1"/>
    <col min="8218" max="8455" width="9.42578125" style="1755"/>
    <col min="8456" max="8456" width="0" style="1755" hidden="1" customWidth="1"/>
    <col min="8457" max="8457" width="15.42578125" style="1755" customWidth="1"/>
    <col min="8458" max="8458" width="1.5703125" style="1755" customWidth="1"/>
    <col min="8459" max="8459" width="22.5703125" style="1755" customWidth="1"/>
    <col min="8460" max="8460" width="1.5703125" style="1755" customWidth="1"/>
    <col min="8461" max="8461" width="17.42578125" style="1755" customWidth="1"/>
    <col min="8462" max="8462" width="1.5703125" style="1755" customWidth="1"/>
    <col min="8463" max="8463" width="14.42578125" style="1755" customWidth="1"/>
    <col min="8464" max="8464" width="1.5703125" style="1755" customWidth="1"/>
    <col min="8465" max="8465" width="28.5703125" style="1755" customWidth="1"/>
    <col min="8466" max="8466" width="4.5703125" style="1755" customWidth="1"/>
    <col min="8467" max="8473" width="0" style="1755" hidden="1" customWidth="1"/>
    <col min="8474" max="8711" width="9.42578125" style="1755"/>
    <col min="8712" max="8712" width="0" style="1755" hidden="1" customWidth="1"/>
    <col min="8713" max="8713" width="15.42578125" style="1755" customWidth="1"/>
    <col min="8714" max="8714" width="1.5703125" style="1755" customWidth="1"/>
    <col min="8715" max="8715" width="22.5703125" style="1755" customWidth="1"/>
    <col min="8716" max="8716" width="1.5703125" style="1755" customWidth="1"/>
    <col min="8717" max="8717" width="17.42578125" style="1755" customWidth="1"/>
    <col min="8718" max="8718" width="1.5703125" style="1755" customWidth="1"/>
    <col min="8719" max="8719" width="14.42578125" style="1755" customWidth="1"/>
    <col min="8720" max="8720" width="1.5703125" style="1755" customWidth="1"/>
    <col min="8721" max="8721" width="28.5703125" style="1755" customWidth="1"/>
    <col min="8722" max="8722" width="4.5703125" style="1755" customWidth="1"/>
    <col min="8723" max="8729" width="0" style="1755" hidden="1" customWidth="1"/>
    <col min="8730" max="8967" width="9.42578125" style="1755"/>
    <col min="8968" max="8968" width="0" style="1755" hidden="1" customWidth="1"/>
    <col min="8969" max="8969" width="15.42578125" style="1755" customWidth="1"/>
    <col min="8970" max="8970" width="1.5703125" style="1755" customWidth="1"/>
    <col min="8971" max="8971" width="22.5703125" style="1755" customWidth="1"/>
    <col min="8972" max="8972" width="1.5703125" style="1755" customWidth="1"/>
    <col min="8973" max="8973" width="17.42578125" style="1755" customWidth="1"/>
    <col min="8974" max="8974" width="1.5703125" style="1755" customWidth="1"/>
    <col min="8975" max="8975" width="14.42578125" style="1755" customWidth="1"/>
    <col min="8976" max="8976" width="1.5703125" style="1755" customWidth="1"/>
    <col min="8977" max="8977" width="28.5703125" style="1755" customWidth="1"/>
    <col min="8978" max="8978" width="4.5703125" style="1755" customWidth="1"/>
    <col min="8979" max="8985" width="0" style="1755" hidden="1" customWidth="1"/>
    <col min="8986" max="9223" width="9.42578125" style="1755"/>
    <col min="9224" max="9224" width="0" style="1755" hidden="1" customWidth="1"/>
    <col min="9225" max="9225" width="15.42578125" style="1755" customWidth="1"/>
    <col min="9226" max="9226" width="1.5703125" style="1755" customWidth="1"/>
    <col min="9227" max="9227" width="22.5703125" style="1755" customWidth="1"/>
    <col min="9228" max="9228" width="1.5703125" style="1755" customWidth="1"/>
    <col min="9229" max="9229" width="17.42578125" style="1755" customWidth="1"/>
    <col min="9230" max="9230" width="1.5703125" style="1755" customWidth="1"/>
    <col min="9231" max="9231" width="14.42578125" style="1755" customWidth="1"/>
    <col min="9232" max="9232" width="1.5703125" style="1755" customWidth="1"/>
    <col min="9233" max="9233" width="28.5703125" style="1755" customWidth="1"/>
    <col min="9234" max="9234" width="4.5703125" style="1755" customWidth="1"/>
    <col min="9235" max="9241" width="0" style="1755" hidden="1" customWidth="1"/>
    <col min="9242" max="9479" width="9.42578125" style="1755"/>
    <col min="9480" max="9480" width="0" style="1755" hidden="1" customWidth="1"/>
    <col min="9481" max="9481" width="15.42578125" style="1755" customWidth="1"/>
    <col min="9482" max="9482" width="1.5703125" style="1755" customWidth="1"/>
    <col min="9483" max="9483" width="22.5703125" style="1755" customWidth="1"/>
    <col min="9484" max="9484" width="1.5703125" style="1755" customWidth="1"/>
    <col min="9485" max="9485" width="17.42578125" style="1755" customWidth="1"/>
    <col min="9486" max="9486" width="1.5703125" style="1755" customWidth="1"/>
    <col min="9487" max="9487" width="14.42578125" style="1755" customWidth="1"/>
    <col min="9488" max="9488" width="1.5703125" style="1755" customWidth="1"/>
    <col min="9489" max="9489" width="28.5703125" style="1755" customWidth="1"/>
    <col min="9490" max="9490" width="4.5703125" style="1755" customWidth="1"/>
    <col min="9491" max="9497" width="0" style="1755" hidden="1" customWidth="1"/>
    <col min="9498" max="9735" width="9.42578125" style="1755"/>
    <col min="9736" max="9736" width="0" style="1755" hidden="1" customWidth="1"/>
    <col min="9737" max="9737" width="15.42578125" style="1755" customWidth="1"/>
    <col min="9738" max="9738" width="1.5703125" style="1755" customWidth="1"/>
    <col min="9739" max="9739" width="22.5703125" style="1755" customWidth="1"/>
    <col min="9740" max="9740" width="1.5703125" style="1755" customWidth="1"/>
    <col min="9741" max="9741" width="17.42578125" style="1755" customWidth="1"/>
    <col min="9742" max="9742" width="1.5703125" style="1755" customWidth="1"/>
    <col min="9743" max="9743" width="14.42578125" style="1755" customWidth="1"/>
    <col min="9744" max="9744" width="1.5703125" style="1755" customWidth="1"/>
    <col min="9745" max="9745" width="28.5703125" style="1755" customWidth="1"/>
    <col min="9746" max="9746" width="4.5703125" style="1755" customWidth="1"/>
    <col min="9747" max="9753" width="0" style="1755" hidden="1" customWidth="1"/>
    <col min="9754" max="9991" width="9.42578125" style="1755"/>
    <col min="9992" max="9992" width="0" style="1755" hidden="1" customWidth="1"/>
    <col min="9993" max="9993" width="15.42578125" style="1755" customWidth="1"/>
    <col min="9994" max="9994" width="1.5703125" style="1755" customWidth="1"/>
    <col min="9995" max="9995" width="22.5703125" style="1755" customWidth="1"/>
    <col min="9996" max="9996" width="1.5703125" style="1755" customWidth="1"/>
    <col min="9997" max="9997" width="17.42578125" style="1755" customWidth="1"/>
    <col min="9998" max="9998" width="1.5703125" style="1755" customWidth="1"/>
    <col min="9999" max="9999" width="14.42578125" style="1755" customWidth="1"/>
    <col min="10000" max="10000" width="1.5703125" style="1755" customWidth="1"/>
    <col min="10001" max="10001" width="28.5703125" style="1755" customWidth="1"/>
    <col min="10002" max="10002" width="4.5703125" style="1755" customWidth="1"/>
    <col min="10003" max="10009" width="0" style="1755" hidden="1" customWidth="1"/>
    <col min="10010" max="10247" width="9.42578125" style="1755"/>
    <col min="10248" max="10248" width="0" style="1755" hidden="1" customWidth="1"/>
    <col min="10249" max="10249" width="15.42578125" style="1755" customWidth="1"/>
    <col min="10250" max="10250" width="1.5703125" style="1755" customWidth="1"/>
    <col min="10251" max="10251" width="22.5703125" style="1755" customWidth="1"/>
    <col min="10252" max="10252" width="1.5703125" style="1755" customWidth="1"/>
    <col min="10253" max="10253" width="17.42578125" style="1755" customWidth="1"/>
    <col min="10254" max="10254" width="1.5703125" style="1755" customWidth="1"/>
    <col min="10255" max="10255" width="14.42578125" style="1755" customWidth="1"/>
    <col min="10256" max="10256" width="1.5703125" style="1755" customWidth="1"/>
    <col min="10257" max="10257" width="28.5703125" style="1755" customWidth="1"/>
    <col min="10258" max="10258" width="4.5703125" style="1755" customWidth="1"/>
    <col min="10259" max="10265" width="0" style="1755" hidden="1" customWidth="1"/>
    <col min="10266" max="10503" width="9.42578125" style="1755"/>
    <col min="10504" max="10504" width="0" style="1755" hidden="1" customWidth="1"/>
    <col min="10505" max="10505" width="15.42578125" style="1755" customWidth="1"/>
    <col min="10506" max="10506" width="1.5703125" style="1755" customWidth="1"/>
    <col min="10507" max="10507" width="22.5703125" style="1755" customWidth="1"/>
    <col min="10508" max="10508" width="1.5703125" style="1755" customWidth="1"/>
    <col min="10509" max="10509" width="17.42578125" style="1755" customWidth="1"/>
    <col min="10510" max="10510" width="1.5703125" style="1755" customWidth="1"/>
    <col min="10511" max="10511" width="14.42578125" style="1755" customWidth="1"/>
    <col min="10512" max="10512" width="1.5703125" style="1755" customWidth="1"/>
    <col min="10513" max="10513" width="28.5703125" style="1755" customWidth="1"/>
    <col min="10514" max="10514" width="4.5703125" style="1755" customWidth="1"/>
    <col min="10515" max="10521" width="0" style="1755" hidden="1" customWidth="1"/>
    <col min="10522" max="10759" width="9.42578125" style="1755"/>
    <col min="10760" max="10760" width="0" style="1755" hidden="1" customWidth="1"/>
    <col min="10761" max="10761" width="15.42578125" style="1755" customWidth="1"/>
    <col min="10762" max="10762" width="1.5703125" style="1755" customWidth="1"/>
    <col min="10763" max="10763" width="22.5703125" style="1755" customWidth="1"/>
    <col min="10764" max="10764" width="1.5703125" style="1755" customWidth="1"/>
    <col min="10765" max="10765" width="17.42578125" style="1755" customWidth="1"/>
    <col min="10766" max="10766" width="1.5703125" style="1755" customWidth="1"/>
    <col min="10767" max="10767" width="14.42578125" style="1755" customWidth="1"/>
    <col min="10768" max="10768" width="1.5703125" style="1755" customWidth="1"/>
    <col min="10769" max="10769" width="28.5703125" style="1755" customWidth="1"/>
    <col min="10770" max="10770" width="4.5703125" style="1755" customWidth="1"/>
    <col min="10771" max="10777" width="0" style="1755" hidden="1" customWidth="1"/>
    <col min="10778" max="11015" width="9.42578125" style="1755"/>
    <col min="11016" max="11016" width="0" style="1755" hidden="1" customWidth="1"/>
    <col min="11017" max="11017" width="15.42578125" style="1755" customWidth="1"/>
    <col min="11018" max="11018" width="1.5703125" style="1755" customWidth="1"/>
    <col min="11019" max="11019" width="22.5703125" style="1755" customWidth="1"/>
    <col min="11020" max="11020" width="1.5703125" style="1755" customWidth="1"/>
    <col min="11021" max="11021" width="17.42578125" style="1755" customWidth="1"/>
    <col min="11022" max="11022" width="1.5703125" style="1755" customWidth="1"/>
    <col min="11023" max="11023" width="14.42578125" style="1755" customWidth="1"/>
    <col min="11024" max="11024" width="1.5703125" style="1755" customWidth="1"/>
    <col min="11025" max="11025" width="28.5703125" style="1755" customWidth="1"/>
    <col min="11026" max="11026" width="4.5703125" style="1755" customWidth="1"/>
    <col min="11027" max="11033" width="0" style="1755" hidden="1" customWidth="1"/>
    <col min="11034" max="11271" width="9.42578125" style="1755"/>
    <col min="11272" max="11272" width="0" style="1755" hidden="1" customWidth="1"/>
    <col min="11273" max="11273" width="15.42578125" style="1755" customWidth="1"/>
    <col min="11274" max="11274" width="1.5703125" style="1755" customWidth="1"/>
    <col min="11275" max="11275" width="22.5703125" style="1755" customWidth="1"/>
    <col min="11276" max="11276" width="1.5703125" style="1755" customWidth="1"/>
    <col min="11277" max="11277" width="17.42578125" style="1755" customWidth="1"/>
    <col min="11278" max="11278" width="1.5703125" style="1755" customWidth="1"/>
    <col min="11279" max="11279" width="14.42578125" style="1755" customWidth="1"/>
    <col min="11280" max="11280" width="1.5703125" style="1755" customWidth="1"/>
    <col min="11281" max="11281" width="28.5703125" style="1755" customWidth="1"/>
    <col min="11282" max="11282" width="4.5703125" style="1755" customWidth="1"/>
    <col min="11283" max="11289" width="0" style="1755" hidden="1" customWidth="1"/>
    <col min="11290" max="11527" width="9.42578125" style="1755"/>
    <col min="11528" max="11528" width="0" style="1755" hidden="1" customWidth="1"/>
    <col min="11529" max="11529" width="15.42578125" style="1755" customWidth="1"/>
    <col min="11530" max="11530" width="1.5703125" style="1755" customWidth="1"/>
    <col min="11531" max="11531" width="22.5703125" style="1755" customWidth="1"/>
    <col min="11532" max="11532" width="1.5703125" style="1755" customWidth="1"/>
    <col min="11533" max="11533" width="17.42578125" style="1755" customWidth="1"/>
    <col min="11534" max="11534" width="1.5703125" style="1755" customWidth="1"/>
    <col min="11535" max="11535" width="14.42578125" style="1755" customWidth="1"/>
    <col min="11536" max="11536" width="1.5703125" style="1755" customWidth="1"/>
    <col min="11537" max="11537" width="28.5703125" style="1755" customWidth="1"/>
    <col min="11538" max="11538" width="4.5703125" style="1755" customWidth="1"/>
    <col min="11539" max="11545" width="0" style="1755" hidden="1" customWidth="1"/>
    <col min="11546" max="11783" width="9.42578125" style="1755"/>
    <col min="11784" max="11784" width="0" style="1755" hidden="1" customWidth="1"/>
    <col min="11785" max="11785" width="15.42578125" style="1755" customWidth="1"/>
    <col min="11786" max="11786" width="1.5703125" style="1755" customWidth="1"/>
    <col min="11787" max="11787" width="22.5703125" style="1755" customWidth="1"/>
    <col min="11788" max="11788" width="1.5703125" style="1755" customWidth="1"/>
    <col min="11789" max="11789" width="17.42578125" style="1755" customWidth="1"/>
    <col min="11790" max="11790" width="1.5703125" style="1755" customWidth="1"/>
    <col min="11791" max="11791" width="14.42578125" style="1755" customWidth="1"/>
    <col min="11792" max="11792" width="1.5703125" style="1755" customWidth="1"/>
    <col min="11793" max="11793" width="28.5703125" style="1755" customWidth="1"/>
    <col min="11794" max="11794" width="4.5703125" style="1755" customWidth="1"/>
    <col min="11795" max="11801" width="0" style="1755" hidden="1" customWidth="1"/>
    <col min="11802" max="12039" width="9.42578125" style="1755"/>
    <col min="12040" max="12040" width="0" style="1755" hidden="1" customWidth="1"/>
    <col min="12041" max="12041" width="15.42578125" style="1755" customWidth="1"/>
    <col min="12042" max="12042" width="1.5703125" style="1755" customWidth="1"/>
    <col min="12043" max="12043" width="22.5703125" style="1755" customWidth="1"/>
    <col min="12044" max="12044" width="1.5703125" style="1755" customWidth="1"/>
    <col min="12045" max="12045" width="17.42578125" style="1755" customWidth="1"/>
    <col min="12046" max="12046" width="1.5703125" style="1755" customWidth="1"/>
    <col min="12047" max="12047" width="14.42578125" style="1755" customWidth="1"/>
    <col min="12048" max="12048" width="1.5703125" style="1755" customWidth="1"/>
    <col min="12049" max="12049" width="28.5703125" style="1755" customWidth="1"/>
    <col min="12050" max="12050" width="4.5703125" style="1755" customWidth="1"/>
    <col min="12051" max="12057" width="0" style="1755" hidden="1" customWidth="1"/>
    <col min="12058" max="12295" width="9.42578125" style="1755"/>
    <col min="12296" max="12296" width="0" style="1755" hidden="1" customWidth="1"/>
    <col min="12297" max="12297" width="15.42578125" style="1755" customWidth="1"/>
    <col min="12298" max="12298" width="1.5703125" style="1755" customWidth="1"/>
    <col min="12299" max="12299" width="22.5703125" style="1755" customWidth="1"/>
    <col min="12300" max="12300" width="1.5703125" style="1755" customWidth="1"/>
    <col min="12301" max="12301" width="17.42578125" style="1755" customWidth="1"/>
    <col min="12302" max="12302" width="1.5703125" style="1755" customWidth="1"/>
    <col min="12303" max="12303" width="14.42578125" style="1755" customWidth="1"/>
    <col min="12304" max="12304" width="1.5703125" style="1755" customWidth="1"/>
    <col min="12305" max="12305" width="28.5703125" style="1755" customWidth="1"/>
    <col min="12306" max="12306" width="4.5703125" style="1755" customWidth="1"/>
    <col min="12307" max="12313" width="0" style="1755" hidden="1" customWidth="1"/>
    <col min="12314" max="12551" width="9.42578125" style="1755"/>
    <col min="12552" max="12552" width="0" style="1755" hidden="1" customWidth="1"/>
    <col min="12553" max="12553" width="15.42578125" style="1755" customWidth="1"/>
    <col min="12554" max="12554" width="1.5703125" style="1755" customWidth="1"/>
    <col min="12555" max="12555" width="22.5703125" style="1755" customWidth="1"/>
    <col min="12556" max="12556" width="1.5703125" style="1755" customWidth="1"/>
    <col min="12557" max="12557" width="17.42578125" style="1755" customWidth="1"/>
    <col min="12558" max="12558" width="1.5703125" style="1755" customWidth="1"/>
    <col min="12559" max="12559" width="14.42578125" style="1755" customWidth="1"/>
    <col min="12560" max="12560" width="1.5703125" style="1755" customWidth="1"/>
    <col min="12561" max="12561" width="28.5703125" style="1755" customWidth="1"/>
    <col min="12562" max="12562" width="4.5703125" style="1755" customWidth="1"/>
    <col min="12563" max="12569" width="0" style="1755" hidden="1" customWidth="1"/>
    <col min="12570" max="12807" width="9.42578125" style="1755"/>
    <col min="12808" max="12808" width="0" style="1755" hidden="1" customWidth="1"/>
    <col min="12809" max="12809" width="15.42578125" style="1755" customWidth="1"/>
    <col min="12810" max="12810" width="1.5703125" style="1755" customWidth="1"/>
    <col min="12811" max="12811" width="22.5703125" style="1755" customWidth="1"/>
    <col min="12812" max="12812" width="1.5703125" style="1755" customWidth="1"/>
    <col min="12813" max="12813" width="17.42578125" style="1755" customWidth="1"/>
    <col min="12814" max="12814" width="1.5703125" style="1755" customWidth="1"/>
    <col min="12815" max="12815" width="14.42578125" style="1755" customWidth="1"/>
    <col min="12816" max="12816" width="1.5703125" style="1755" customWidth="1"/>
    <col min="12817" max="12817" width="28.5703125" style="1755" customWidth="1"/>
    <col min="12818" max="12818" width="4.5703125" style="1755" customWidth="1"/>
    <col min="12819" max="12825" width="0" style="1755" hidden="1" customWidth="1"/>
    <col min="12826" max="13063" width="9.42578125" style="1755"/>
    <col min="13064" max="13064" width="0" style="1755" hidden="1" customWidth="1"/>
    <col min="13065" max="13065" width="15.42578125" style="1755" customWidth="1"/>
    <col min="13066" max="13066" width="1.5703125" style="1755" customWidth="1"/>
    <col min="13067" max="13067" width="22.5703125" style="1755" customWidth="1"/>
    <col min="13068" max="13068" width="1.5703125" style="1755" customWidth="1"/>
    <col min="13069" max="13069" width="17.42578125" style="1755" customWidth="1"/>
    <col min="13070" max="13070" width="1.5703125" style="1755" customWidth="1"/>
    <col min="13071" max="13071" width="14.42578125" style="1755" customWidth="1"/>
    <col min="13072" max="13072" width="1.5703125" style="1755" customWidth="1"/>
    <col min="13073" max="13073" width="28.5703125" style="1755" customWidth="1"/>
    <col min="13074" max="13074" width="4.5703125" style="1755" customWidth="1"/>
    <col min="13075" max="13081" width="0" style="1755" hidden="1" customWidth="1"/>
    <col min="13082" max="13319" width="9.42578125" style="1755"/>
    <col min="13320" max="13320" width="0" style="1755" hidden="1" customWidth="1"/>
    <col min="13321" max="13321" width="15.42578125" style="1755" customWidth="1"/>
    <col min="13322" max="13322" width="1.5703125" style="1755" customWidth="1"/>
    <col min="13323" max="13323" width="22.5703125" style="1755" customWidth="1"/>
    <col min="13324" max="13324" width="1.5703125" style="1755" customWidth="1"/>
    <col min="13325" max="13325" width="17.42578125" style="1755" customWidth="1"/>
    <col min="13326" max="13326" width="1.5703125" style="1755" customWidth="1"/>
    <col min="13327" max="13327" width="14.42578125" style="1755" customWidth="1"/>
    <col min="13328" max="13328" width="1.5703125" style="1755" customWidth="1"/>
    <col min="13329" max="13329" width="28.5703125" style="1755" customWidth="1"/>
    <col min="13330" max="13330" width="4.5703125" style="1755" customWidth="1"/>
    <col min="13331" max="13337" width="0" style="1755" hidden="1" customWidth="1"/>
    <col min="13338" max="13575" width="9.42578125" style="1755"/>
    <col min="13576" max="13576" width="0" style="1755" hidden="1" customWidth="1"/>
    <col min="13577" max="13577" width="15.42578125" style="1755" customWidth="1"/>
    <col min="13578" max="13578" width="1.5703125" style="1755" customWidth="1"/>
    <col min="13579" max="13579" width="22.5703125" style="1755" customWidth="1"/>
    <col min="13580" max="13580" width="1.5703125" style="1755" customWidth="1"/>
    <col min="13581" max="13581" width="17.42578125" style="1755" customWidth="1"/>
    <col min="13582" max="13582" width="1.5703125" style="1755" customWidth="1"/>
    <col min="13583" max="13583" width="14.42578125" style="1755" customWidth="1"/>
    <col min="13584" max="13584" width="1.5703125" style="1755" customWidth="1"/>
    <col min="13585" max="13585" width="28.5703125" style="1755" customWidth="1"/>
    <col min="13586" max="13586" width="4.5703125" style="1755" customWidth="1"/>
    <col min="13587" max="13593" width="0" style="1755" hidden="1" customWidth="1"/>
    <col min="13594" max="13831" width="9.42578125" style="1755"/>
    <col min="13832" max="13832" width="0" style="1755" hidden="1" customWidth="1"/>
    <col min="13833" max="13833" width="15.42578125" style="1755" customWidth="1"/>
    <col min="13834" max="13834" width="1.5703125" style="1755" customWidth="1"/>
    <col min="13835" max="13835" width="22.5703125" style="1755" customWidth="1"/>
    <col min="13836" max="13836" width="1.5703125" style="1755" customWidth="1"/>
    <col min="13837" max="13837" width="17.42578125" style="1755" customWidth="1"/>
    <col min="13838" max="13838" width="1.5703125" style="1755" customWidth="1"/>
    <col min="13839" max="13839" width="14.42578125" style="1755" customWidth="1"/>
    <col min="13840" max="13840" width="1.5703125" style="1755" customWidth="1"/>
    <col min="13841" max="13841" width="28.5703125" style="1755" customWidth="1"/>
    <col min="13842" max="13842" width="4.5703125" style="1755" customWidth="1"/>
    <col min="13843" max="13849" width="0" style="1755" hidden="1" customWidth="1"/>
    <col min="13850" max="14087" width="9.42578125" style="1755"/>
    <col min="14088" max="14088" width="0" style="1755" hidden="1" customWidth="1"/>
    <col min="14089" max="14089" width="15.42578125" style="1755" customWidth="1"/>
    <col min="14090" max="14090" width="1.5703125" style="1755" customWidth="1"/>
    <col min="14091" max="14091" width="22.5703125" style="1755" customWidth="1"/>
    <col min="14092" max="14092" width="1.5703125" style="1755" customWidth="1"/>
    <col min="14093" max="14093" width="17.42578125" style="1755" customWidth="1"/>
    <col min="14094" max="14094" width="1.5703125" style="1755" customWidth="1"/>
    <col min="14095" max="14095" width="14.42578125" style="1755" customWidth="1"/>
    <col min="14096" max="14096" width="1.5703125" style="1755" customWidth="1"/>
    <col min="14097" max="14097" width="28.5703125" style="1755" customWidth="1"/>
    <col min="14098" max="14098" width="4.5703125" style="1755" customWidth="1"/>
    <col min="14099" max="14105" width="0" style="1755" hidden="1" customWidth="1"/>
    <col min="14106" max="14343" width="9.42578125" style="1755"/>
    <col min="14344" max="14344" width="0" style="1755" hidden="1" customWidth="1"/>
    <col min="14345" max="14345" width="15.42578125" style="1755" customWidth="1"/>
    <col min="14346" max="14346" width="1.5703125" style="1755" customWidth="1"/>
    <col min="14347" max="14347" width="22.5703125" style="1755" customWidth="1"/>
    <col min="14348" max="14348" width="1.5703125" style="1755" customWidth="1"/>
    <col min="14349" max="14349" width="17.42578125" style="1755" customWidth="1"/>
    <col min="14350" max="14350" width="1.5703125" style="1755" customWidth="1"/>
    <col min="14351" max="14351" width="14.42578125" style="1755" customWidth="1"/>
    <col min="14352" max="14352" width="1.5703125" style="1755" customWidth="1"/>
    <col min="14353" max="14353" width="28.5703125" style="1755" customWidth="1"/>
    <col min="14354" max="14354" width="4.5703125" style="1755" customWidth="1"/>
    <col min="14355" max="14361" width="0" style="1755" hidden="1" customWidth="1"/>
    <col min="14362" max="14599" width="9.42578125" style="1755"/>
    <col min="14600" max="14600" width="0" style="1755" hidden="1" customWidth="1"/>
    <col min="14601" max="14601" width="15.42578125" style="1755" customWidth="1"/>
    <col min="14602" max="14602" width="1.5703125" style="1755" customWidth="1"/>
    <col min="14603" max="14603" width="22.5703125" style="1755" customWidth="1"/>
    <col min="14604" max="14604" width="1.5703125" style="1755" customWidth="1"/>
    <col min="14605" max="14605" width="17.42578125" style="1755" customWidth="1"/>
    <col min="14606" max="14606" width="1.5703125" style="1755" customWidth="1"/>
    <col min="14607" max="14607" width="14.42578125" style="1755" customWidth="1"/>
    <col min="14608" max="14608" width="1.5703125" style="1755" customWidth="1"/>
    <col min="14609" max="14609" width="28.5703125" style="1755" customWidth="1"/>
    <col min="14610" max="14610" width="4.5703125" style="1755" customWidth="1"/>
    <col min="14611" max="14617" width="0" style="1755" hidden="1" customWidth="1"/>
    <col min="14618" max="14855" width="9.42578125" style="1755"/>
    <col min="14856" max="14856" width="0" style="1755" hidden="1" customWidth="1"/>
    <col min="14857" max="14857" width="15.42578125" style="1755" customWidth="1"/>
    <col min="14858" max="14858" width="1.5703125" style="1755" customWidth="1"/>
    <col min="14859" max="14859" width="22.5703125" style="1755" customWidth="1"/>
    <col min="14860" max="14860" width="1.5703125" style="1755" customWidth="1"/>
    <col min="14861" max="14861" width="17.42578125" style="1755" customWidth="1"/>
    <col min="14862" max="14862" width="1.5703125" style="1755" customWidth="1"/>
    <col min="14863" max="14863" width="14.42578125" style="1755" customWidth="1"/>
    <col min="14864" max="14864" width="1.5703125" style="1755" customWidth="1"/>
    <col min="14865" max="14865" width="28.5703125" style="1755" customWidth="1"/>
    <col min="14866" max="14866" width="4.5703125" style="1755" customWidth="1"/>
    <col min="14867" max="14873" width="0" style="1755" hidden="1" customWidth="1"/>
    <col min="14874" max="15111" width="9.42578125" style="1755"/>
    <col min="15112" max="15112" width="0" style="1755" hidden="1" customWidth="1"/>
    <col min="15113" max="15113" width="15.42578125" style="1755" customWidth="1"/>
    <col min="15114" max="15114" width="1.5703125" style="1755" customWidth="1"/>
    <col min="15115" max="15115" width="22.5703125" style="1755" customWidth="1"/>
    <col min="15116" max="15116" width="1.5703125" style="1755" customWidth="1"/>
    <col min="15117" max="15117" width="17.42578125" style="1755" customWidth="1"/>
    <col min="15118" max="15118" width="1.5703125" style="1755" customWidth="1"/>
    <col min="15119" max="15119" width="14.42578125" style="1755" customWidth="1"/>
    <col min="15120" max="15120" width="1.5703125" style="1755" customWidth="1"/>
    <col min="15121" max="15121" width="28.5703125" style="1755" customWidth="1"/>
    <col min="15122" max="15122" width="4.5703125" style="1755" customWidth="1"/>
    <col min="15123" max="15129" width="0" style="1755" hidden="1" customWidth="1"/>
    <col min="15130" max="15367" width="9.42578125" style="1755"/>
    <col min="15368" max="15368" width="0" style="1755" hidden="1" customWidth="1"/>
    <col min="15369" max="15369" width="15.42578125" style="1755" customWidth="1"/>
    <col min="15370" max="15370" width="1.5703125" style="1755" customWidth="1"/>
    <col min="15371" max="15371" width="22.5703125" style="1755" customWidth="1"/>
    <col min="15372" max="15372" width="1.5703125" style="1755" customWidth="1"/>
    <col min="15373" max="15373" width="17.42578125" style="1755" customWidth="1"/>
    <col min="15374" max="15374" width="1.5703125" style="1755" customWidth="1"/>
    <col min="15375" max="15375" width="14.42578125" style="1755" customWidth="1"/>
    <col min="15376" max="15376" width="1.5703125" style="1755" customWidth="1"/>
    <col min="15377" max="15377" width="28.5703125" style="1755" customWidth="1"/>
    <col min="15378" max="15378" width="4.5703125" style="1755" customWidth="1"/>
    <col min="15379" max="15385" width="0" style="1755" hidden="1" customWidth="1"/>
    <col min="15386" max="15623" width="9.42578125" style="1755"/>
    <col min="15624" max="15624" width="0" style="1755" hidden="1" customWidth="1"/>
    <col min="15625" max="15625" width="15.42578125" style="1755" customWidth="1"/>
    <col min="15626" max="15626" width="1.5703125" style="1755" customWidth="1"/>
    <col min="15627" max="15627" width="22.5703125" style="1755" customWidth="1"/>
    <col min="15628" max="15628" width="1.5703125" style="1755" customWidth="1"/>
    <col min="15629" max="15629" width="17.42578125" style="1755" customWidth="1"/>
    <col min="15630" max="15630" width="1.5703125" style="1755" customWidth="1"/>
    <col min="15631" max="15631" width="14.42578125" style="1755" customWidth="1"/>
    <col min="15632" max="15632" width="1.5703125" style="1755" customWidth="1"/>
    <col min="15633" max="15633" width="28.5703125" style="1755" customWidth="1"/>
    <col min="15634" max="15634" width="4.5703125" style="1755" customWidth="1"/>
    <col min="15635" max="15641" width="0" style="1755" hidden="1" customWidth="1"/>
    <col min="15642" max="15879" width="9.42578125" style="1755"/>
    <col min="15880" max="15880" width="0" style="1755" hidden="1" customWidth="1"/>
    <col min="15881" max="15881" width="15.42578125" style="1755" customWidth="1"/>
    <col min="15882" max="15882" width="1.5703125" style="1755" customWidth="1"/>
    <col min="15883" max="15883" width="22.5703125" style="1755" customWidth="1"/>
    <col min="15884" max="15884" width="1.5703125" style="1755" customWidth="1"/>
    <col min="15885" max="15885" width="17.42578125" style="1755" customWidth="1"/>
    <col min="15886" max="15886" width="1.5703125" style="1755" customWidth="1"/>
    <col min="15887" max="15887" width="14.42578125" style="1755" customWidth="1"/>
    <col min="15888" max="15888" width="1.5703125" style="1755" customWidth="1"/>
    <col min="15889" max="15889" width="28.5703125" style="1755" customWidth="1"/>
    <col min="15890" max="15890" width="4.5703125" style="1755" customWidth="1"/>
    <col min="15891" max="15897" width="0" style="1755" hidden="1" customWidth="1"/>
    <col min="15898" max="16135" width="9.42578125" style="1755"/>
    <col min="16136" max="16136" width="0" style="1755" hidden="1" customWidth="1"/>
    <col min="16137" max="16137" width="15.42578125" style="1755" customWidth="1"/>
    <col min="16138" max="16138" width="1.5703125" style="1755" customWidth="1"/>
    <col min="16139" max="16139" width="22.5703125" style="1755" customWidth="1"/>
    <col min="16140" max="16140" width="1.5703125" style="1755" customWidth="1"/>
    <col min="16141" max="16141" width="17.42578125" style="1755" customWidth="1"/>
    <col min="16142" max="16142" width="1.5703125" style="1755" customWidth="1"/>
    <col min="16143" max="16143" width="14.42578125" style="1755" customWidth="1"/>
    <col min="16144" max="16144" width="1.5703125" style="1755" customWidth="1"/>
    <col min="16145" max="16145" width="28.5703125" style="1755" customWidth="1"/>
    <col min="16146" max="16146" width="4.5703125" style="1755" customWidth="1"/>
    <col min="16147" max="16153" width="0" style="1755" hidden="1" customWidth="1"/>
    <col min="16154" max="16384" width="9.42578125" style="1755"/>
  </cols>
  <sheetData>
    <row r="1" spans="1:24" s="1738"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829" t="str">
        <f>IF(Index!$B$73="na","NA","")</f>
        <v/>
      </c>
      <c r="S1" s="182"/>
      <c r="T1" s="182"/>
      <c r="U1" s="182"/>
      <c r="V1" s="182"/>
      <c r="W1" s="182"/>
      <c r="X1" s="182"/>
    </row>
    <row r="2" spans="1:24" s="1738" customFormat="1" ht="15" customHeight="1" x14ac:dyDescent="0.25">
      <c r="A2" s="3099" t="str">
        <f>Index!A2</f>
        <v>2022 ACFR Worksheets</v>
      </c>
      <c r="B2" s="3099"/>
      <c r="C2" s="3099"/>
      <c r="D2" s="3099"/>
      <c r="E2" s="3099"/>
      <c r="F2" s="3099"/>
      <c r="G2" s="3099"/>
      <c r="H2" s="3099"/>
      <c r="I2" s="3099"/>
      <c r="J2" s="3099"/>
      <c r="K2" s="3099"/>
      <c r="L2" s="3099"/>
      <c r="M2" s="3099"/>
      <c r="N2" s="3099"/>
      <c r="O2" s="3099"/>
      <c r="P2" s="3099"/>
      <c r="Q2" s="3099"/>
      <c r="R2" s="2829"/>
      <c r="S2" s="182"/>
      <c r="T2" s="182"/>
      <c r="U2" s="182"/>
      <c r="V2" s="182"/>
      <c r="W2" s="182"/>
      <c r="X2" s="182"/>
    </row>
    <row r="3" spans="1:24" s="1738" customFormat="1" ht="15" customHeight="1" x14ac:dyDescent="0.25">
      <c r="A3" s="3099" t="s">
        <v>4597</v>
      </c>
      <c r="B3" s="3099"/>
      <c r="C3" s="3099"/>
      <c r="D3" s="3099"/>
      <c r="E3" s="3099"/>
      <c r="F3" s="3099"/>
      <c r="G3" s="3099"/>
      <c r="H3" s="3099"/>
      <c r="I3" s="3099"/>
      <c r="J3" s="3099"/>
      <c r="K3" s="3099"/>
      <c r="L3" s="3099"/>
      <c r="M3" s="3099"/>
      <c r="N3" s="3099"/>
      <c r="O3" s="3099"/>
      <c r="P3" s="3099"/>
      <c r="Q3" s="3099"/>
      <c r="R3" s="2829"/>
      <c r="S3" s="182"/>
      <c r="T3" s="182"/>
      <c r="U3" s="182"/>
      <c r="V3" s="182"/>
      <c r="W3" s="182"/>
      <c r="X3" s="182"/>
    </row>
    <row r="4" spans="1:24" s="1738" customFormat="1" ht="15" customHeight="1" x14ac:dyDescent="0.25">
      <c r="A4" s="3099" t="s">
        <v>4302</v>
      </c>
      <c r="B4" s="3099"/>
      <c r="C4" s="3099"/>
      <c r="D4" s="3099"/>
      <c r="E4" s="3099"/>
      <c r="F4" s="3099"/>
      <c r="G4" s="3099"/>
      <c r="H4" s="3099"/>
      <c r="I4" s="3099"/>
      <c r="J4" s="3099"/>
      <c r="K4" s="3099"/>
      <c r="L4" s="3099"/>
      <c r="M4" s="3099"/>
      <c r="N4" s="3099"/>
      <c r="O4" s="3099"/>
      <c r="P4" s="3099"/>
      <c r="Q4" s="3099"/>
    </row>
    <row r="5" spans="1:24" s="1739" customFormat="1" ht="15" customHeight="1" x14ac:dyDescent="0.25">
      <c r="C5" s="1740"/>
      <c r="D5" s="1741"/>
      <c r="E5" s="1741"/>
      <c r="F5" s="1741"/>
      <c r="G5" s="1741"/>
      <c r="H5" s="1741"/>
      <c r="I5" s="1741"/>
      <c r="J5" s="1741"/>
      <c r="K5" s="1742"/>
      <c r="L5" s="1742"/>
      <c r="M5" s="1742"/>
      <c r="N5" s="1742"/>
      <c r="O5" s="1742" t="s">
        <v>4303</v>
      </c>
      <c r="P5" s="1742"/>
      <c r="Q5" s="1742"/>
    </row>
    <row r="6" spans="1:24" s="1739" customFormat="1" ht="15" customHeight="1" x14ac:dyDescent="0.2">
      <c r="A6" s="1743" t="s">
        <v>327</v>
      </c>
      <c r="C6" s="1744" t="str">
        <f>AgyIdx</f>
        <v>01</v>
      </c>
      <c r="D6" s="1744"/>
      <c r="E6" s="1744"/>
      <c r="H6" s="1745"/>
      <c r="I6" s="1775"/>
      <c r="J6" s="1775"/>
      <c r="K6" s="1775"/>
      <c r="L6" s="1745" t="s">
        <v>972</v>
      </c>
      <c r="M6" s="3100" t="str">
        <f>CONCATENATE(Index!$E$12," ",Index!$E$14)</f>
        <v xml:space="preserve"> </v>
      </c>
      <c r="N6" s="3100"/>
      <c r="O6" s="3100"/>
      <c r="P6" s="3100"/>
      <c r="Q6" s="3100"/>
    </row>
    <row r="7" spans="1:24" s="1739" customFormat="1" ht="15" customHeight="1" x14ac:dyDescent="0.2">
      <c r="A7" s="1743" t="s">
        <v>1154</v>
      </c>
      <c r="C7" s="3104" t="str">
        <f>Index!E11</f>
        <v>North Carolina General Assembly</v>
      </c>
      <c r="D7" s="3104"/>
      <c r="E7" s="3104"/>
      <c r="G7" s="1745"/>
      <c r="I7" s="1767"/>
      <c r="J7" s="1767"/>
      <c r="K7" s="1767"/>
      <c r="L7" s="1745" t="s">
        <v>348</v>
      </c>
      <c r="M7" s="3106">
        <f>Index!E13</f>
        <v>0</v>
      </c>
      <c r="N7" s="3106"/>
      <c r="O7" s="3106"/>
      <c r="P7" s="3106"/>
      <c r="Q7" s="3106"/>
    </row>
    <row r="8" spans="1:24" s="1739" customFormat="1" ht="15" customHeight="1" x14ac:dyDescent="0.2">
      <c r="A8" s="1743" t="s">
        <v>723</v>
      </c>
      <c r="C8" s="3105"/>
      <c r="D8" s="3105"/>
      <c r="E8" s="3105"/>
    </row>
    <row r="9" spans="1:24" s="1739" customFormat="1" ht="15" customHeight="1" thickBot="1" x14ac:dyDescent="0.25">
      <c r="A9" s="1746"/>
      <c r="B9" s="1746"/>
      <c r="C9" s="1746"/>
      <c r="D9" s="1746"/>
      <c r="E9" s="1746"/>
      <c r="F9" s="1746"/>
      <c r="G9" s="1746"/>
      <c r="H9" s="1746"/>
      <c r="I9" s="1746"/>
      <c r="J9" s="1746"/>
      <c r="K9" s="1746"/>
      <c r="L9" s="1746"/>
      <c r="M9" s="1746"/>
      <c r="N9" s="1746"/>
      <c r="O9" s="1746"/>
      <c r="P9" s="1746"/>
      <c r="Q9" s="1746"/>
    </row>
    <row r="10" spans="1:24" s="1739" customFormat="1" ht="15" customHeight="1" x14ac:dyDescent="0.2">
      <c r="A10" s="3101" t="s">
        <v>4464</v>
      </c>
      <c r="B10" s="3102"/>
      <c r="C10" s="3103"/>
      <c r="E10" s="3101" t="s">
        <v>4465</v>
      </c>
      <c r="F10" s="3102"/>
      <c r="G10" s="3103"/>
    </row>
    <row r="11" spans="1:24" s="1739" customFormat="1" ht="15" customHeight="1" x14ac:dyDescent="0.2">
      <c r="A11" s="1855"/>
      <c r="B11" s="2213"/>
      <c r="C11" s="1856" t="s">
        <v>1064</v>
      </c>
      <c r="E11" s="1855" t="s">
        <v>973</v>
      </c>
      <c r="F11" s="2213"/>
      <c r="G11" s="1860"/>
      <c r="H11" s="1747" t="s">
        <v>973</v>
      </c>
      <c r="J11" s="1740"/>
    </row>
    <row r="12" spans="1:24" s="1739" customFormat="1" ht="15" customHeight="1" x14ac:dyDescent="0.2">
      <c r="A12" s="1855"/>
      <c r="B12" s="2213"/>
      <c r="C12" s="1856" t="s">
        <v>4305</v>
      </c>
      <c r="E12" s="1855"/>
      <c r="F12" s="2213"/>
      <c r="G12" s="1856"/>
      <c r="J12" s="1740"/>
    </row>
    <row r="13" spans="1:24" s="1739" customFormat="1" ht="15" customHeight="1" x14ac:dyDescent="0.2">
      <c r="A13" s="1855"/>
      <c r="B13" s="2213"/>
      <c r="C13" s="1856" t="s">
        <v>4598</v>
      </c>
      <c r="E13" s="1855"/>
      <c r="F13" s="2213"/>
      <c r="G13" s="1856"/>
      <c r="J13" s="1740"/>
    </row>
    <row r="14" spans="1:24" s="1739" customFormat="1" ht="15" customHeight="1" x14ac:dyDescent="0.2">
      <c r="A14" s="1855"/>
      <c r="B14" s="2213"/>
      <c r="C14" s="1856" t="s">
        <v>4795</v>
      </c>
      <c r="E14" s="1855"/>
      <c r="F14" s="2213"/>
      <c r="G14" s="1856"/>
      <c r="J14" s="1740"/>
      <c r="M14" s="2157"/>
      <c r="N14" s="2158"/>
      <c r="O14" s="2158"/>
      <c r="P14" s="2158"/>
      <c r="Q14" s="2158"/>
    </row>
    <row r="15" spans="1:24" s="1739" customFormat="1" ht="15" customHeight="1" thickBot="1" x14ac:dyDescent="0.25">
      <c r="A15" s="2415"/>
      <c r="B15" s="2213"/>
      <c r="C15" s="1856" t="s">
        <v>4599</v>
      </c>
      <c r="E15" s="2214"/>
      <c r="F15" s="2213"/>
      <c r="G15" s="1860"/>
      <c r="J15" s="1740"/>
      <c r="M15" s="1970"/>
      <c r="N15" s="1970"/>
      <c r="O15" s="1970"/>
      <c r="P15" s="1970"/>
      <c r="Q15" s="220"/>
    </row>
    <row r="16" spans="1:24" s="1739" customFormat="1" ht="15" customHeight="1" thickBot="1" x14ac:dyDescent="0.25">
      <c r="A16" s="2415"/>
      <c r="B16" s="2213"/>
      <c r="C16" s="2629" t="s">
        <v>5528</v>
      </c>
      <c r="E16" s="2214"/>
      <c r="F16" s="2213"/>
      <c r="G16" s="1860"/>
      <c r="J16" s="1740"/>
      <c r="M16" s="221" t="s">
        <v>352</v>
      </c>
      <c r="N16" s="1969"/>
      <c r="O16" s="1969"/>
      <c r="P16" s="1969"/>
      <c r="Q16" s="1969"/>
    </row>
    <row r="17" spans="1:26" s="1739" customFormat="1" ht="15" customHeight="1" x14ac:dyDescent="0.2">
      <c r="A17" s="1855" t="s">
        <v>4304</v>
      </c>
      <c r="B17" s="2213"/>
      <c r="C17" s="1856" t="s">
        <v>4828</v>
      </c>
      <c r="E17" s="1855" t="s">
        <v>4306</v>
      </c>
      <c r="F17" s="2213"/>
      <c r="G17" s="1856" t="s">
        <v>4307</v>
      </c>
      <c r="J17" s="1740"/>
      <c r="M17" s="1970"/>
      <c r="N17" s="1970"/>
      <c r="O17" s="1970"/>
      <c r="P17" s="1970"/>
      <c r="Q17" s="220" t="s">
        <v>86</v>
      </c>
    </row>
    <row r="18" spans="1:26" s="1739" customFormat="1" ht="15" customHeight="1" thickBot="1" x14ac:dyDescent="0.25">
      <c r="A18" s="1857" t="s">
        <v>808</v>
      </c>
      <c r="B18" s="2213"/>
      <c r="C18" s="1858" t="s">
        <v>4308</v>
      </c>
      <c r="E18" s="1857" t="s">
        <v>4309</v>
      </c>
      <c r="F18" s="2213"/>
      <c r="G18" s="1858" t="s">
        <v>4309</v>
      </c>
      <c r="I18" s="1748" t="s">
        <v>1156</v>
      </c>
      <c r="K18" s="1748" t="s">
        <v>4600</v>
      </c>
      <c r="L18" s="1747"/>
      <c r="M18" s="224" t="s">
        <v>1198</v>
      </c>
      <c r="N18" s="219"/>
      <c r="O18" s="224" t="s">
        <v>1199</v>
      </c>
      <c r="P18" s="1971"/>
      <c r="Q18" s="224" t="s">
        <v>1200</v>
      </c>
      <c r="R18" s="1747" t="s">
        <v>973</v>
      </c>
      <c r="S18" s="1747"/>
      <c r="T18" s="1747"/>
      <c r="U18" s="1747"/>
      <c r="V18" s="1747"/>
      <c r="W18" s="1747"/>
      <c r="X18" s="1747"/>
    </row>
    <row r="19" spans="1:26" s="1739" customFormat="1" ht="15" customHeight="1" x14ac:dyDescent="0.2">
      <c r="A19" s="1972" t="s">
        <v>4460</v>
      </c>
      <c r="C19" s="1973">
        <v>438101</v>
      </c>
      <c r="E19" s="1974" t="s">
        <v>4466</v>
      </c>
      <c r="G19" s="1973">
        <v>1100</v>
      </c>
      <c r="H19" s="1750"/>
      <c r="I19" s="1975">
        <v>500000</v>
      </c>
      <c r="K19" s="1976" t="s">
        <v>4461</v>
      </c>
      <c r="L19" s="1977"/>
      <c r="M19" s="1978" t="s">
        <v>4601</v>
      </c>
      <c r="N19" s="1979"/>
      <c r="O19" s="1978"/>
      <c r="P19" s="1979"/>
      <c r="Q19" s="1978"/>
      <c r="R19" s="552" t="str">
        <f t="shared" ref="R19:R33" si="0">IF(AND(S19,Y19),"","*")</f>
        <v/>
      </c>
      <c r="S19" s="1752" t="b">
        <f>IF(OR(T19=0,T19=5),TRUE, FALSE)</f>
        <v>1</v>
      </c>
      <c r="T19" s="1752">
        <f>COUNTIF(U19:Z19,FALSE)</f>
        <v>5</v>
      </c>
      <c r="U19" s="1753" t="b">
        <f>ISBLANK(C19)</f>
        <v>0</v>
      </c>
      <c r="V19" s="1753" t="b">
        <f>ISBLANK(E19)</f>
        <v>0</v>
      </c>
      <c r="W19" s="1753" t="b">
        <f>ISBLANK(G19)</f>
        <v>0</v>
      </c>
      <c r="X19" s="1753" t="b">
        <f>ISBLANK(I19)</f>
        <v>0</v>
      </c>
      <c r="Y19" s="1754" t="b">
        <f>IF(ISBLANK(C19),TRUE,OR(TEXT(LEFT(C19,4),"0000")="4381",TEXT(LEFT(C19,4),"0000")="4380",TEXT(LEFT(C19,4),"0000")="438F"))</f>
        <v>1</v>
      </c>
      <c r="Z19" s="1739" t="b">
        <f t="shared" ref="Z19:Z33" si="1">AND(ISBLANK(M19),ISBLANK(O19),ISBLANK(Q19))</f>
        <v>0</v>
      </c>
    </row>
    <row r="20" spans="1:26" s="1739" customFormat="1" ht="15" customHeight="1" x14ac:dyDescent="0.2">
      <c r="A20" s="1862"/>
      <c r="C20" s="1859"/>
      <c r="E20" s="1861"/>
      <c r="G20" s="1859"/>
      <c r="H20" s="1750"/>
      <c r="I20" s="1751"/>
      <c r="K20" s="1749"/>
      <c r="L20" s="1854"/>
      <c r="M20" s="1996"/>
      <c r="N20" s="1997"/>
      <c r="O20" s="1998"/>
      <c r="P20" s="1997"/>
      <c r="Q20" s="1998"/>
      <c r="R20" s="552" t="str">
        <f t="shared" si="0"/>
        <v/>
      </c>
      <c r="S20" s="1752" t="b">
        <f t="shared" ref="S20:S33" si="2">IF(OR(T20=0,T20=5),TRUE, FALSE)</f>
        <v>1</v>
      </c>
      <c r="T20" s="1752">
        <f t="shared" ref="T20:T33" si="3">COUNTIF(U20:Z20,FALSE)</f>
        <v>0</v>
      </c>
      <c r="U20" s="1753" t="b">
        <f t="shared" ref="U20:U33" si="4">ISBLANK(C20)</f>
        <v>1</v>
      </c>
      <c r="V20" s="1753" t="b">
        <f t="shared" ref="V20:V33" si="5">ISBLANK(E20)</f>
        <v>1</v>
      </c>
      <c r="W20" s="1753" t="b">
        <f t="shared" ref="W20:W33" si="6">ISBLANK(G20)</f>
        <v>1</v>
      </c>
      <c r="X20" s="1753" t="b">
        <f t="shared" ref="X20:X33" si="7">ISBLANK(I20)</f>
        <v>1</v>
      </c>
      <c r="Y20" s="1754" t="b">
        <f>IF(ISBLANK(C20),TRUE,OR(TEXT(LEFT(C20,4),"0000")="4381",TEXT(LEFT(C20,4),"0000")="4380",TEXT(LEFT(C20,4),"0000")="438F"))</f>
        <v>1</v>
      </c>
      <c r="Z20" s="1739" t="b">
        <f t="shared" si="1"/>
        <v>1</v>
      </c>
    </row>
    <row r="21" spans="1:26" s="1739" customFormat="1" ht="15" customHeight="1" x14ac:dyDescent="0.2">
      <c r="A21" s="1862"/>
      <c r="C21" s="1859"/>
      <c r="E21" s="1861"/>
      <c r="G21" s="1859"/>
      <c r="H21" s="1750"/>
      <c r="I21" s="1751"/>
      <c r="K21" s="1749"/>
      <c r="L21" s="1854"/>
      <c r="M21" s="1998"/>
      <c r="N21" s="1997"/>
      <c r="O21" s="1998"/>
      <c r="P21" s="1997"/>
      <c r="Q21" s="1998"/>
      <c r="R21" s="552" t="str">
        <f t="shared" si="0"/>
        <v/>
      </c>
      <c r="S21" s="1752" t="b">
        <f t="shared" si="2"/>
        <v>1</v>
      </c>
      <c r="T21" s="1752">
        <f t="shared" si="3"/>
        <v>0</v>
      </c>
      <c r="U21" s="1753" t="b">
        <f t="shared" si="4"/>
        <v>1</v>
      </c>
      <c r="V21" s="1753" t="b">
        <f t="shared" si="5"/>
        <v>1</v>
      </c>
      <c r="W21" s="1753" t="b">
        <f t="shared" si="6"/>
        <v>1</v>
      </c>
      <c r="X21" s="1753" t="b">
        <f t="shared" si="7"/>
        <v>1</v>
      </c>
      <c r="Y21" s="1754" t="b">
        <f>IF(ISBLANK(C21),TRUE,OR(TEXT(LEFT(C21,4),"0000")="4381",TEXT(LEFT(C21,4),"0000")="4380",TEXT(LEFT(C21,4),"0000")="438F"))</f>
        <v>1</v>
      </c>
      <c r="Z21" s="1739" t="b">
        <f t="shared" si="1"/>
        <v>1</v>
      </c>
    </row>
    <row r="22" spans="1:26" s="1739" customFormat="1" ht="15" customHeight="1" x14ac:dyDescent="0.2">
      <c r="A22" s="1862"/>
      <c r="C22" s="1859"/>
      <c r="E22" s="1861"/>
      <c r="G22" s="1859"/>
      <c r="H22" s="1750"/>
      <c r="I22" s="1751"/>
      <c r="K22" s="1749"/>
      <c r="L22" s="1854"/>
      <c r="M22" s="1998"/>
      <c r="N22" s="1997"/>
      <c r="O22" s="1998"/>
      <c r="P22" s="1997"/>
      <c r="Q22" s="1998"/>
      <c r="R22" s="552" t="str">
        <f t="shared" si="0"/>
        <v/>
      </c>
      <c r="S22" s="1752" t="b">
        <f t="shared" si="2"/>
        <v>1</v>
      </c>
      <c r="T22" s="1752">
        <f t="shared" si="3"/>
        <v>0</v>
      </c>
      <c r="U22" s="1753" t="b">
        <f t="shared" si="4"/>
        <v>1</v>
      </c>
      <c r="V22" s="1753" t="b">
        <f t="shared" si="5"/>
        <v>1</v>
      </c>
      <c r="W22" s="1753" t="b">
        <f t="shared" si="6"/>
        <v>1</v>
      </c>
      <c r="X22" s="1753" t="b">
        <f t="shared" si="7"/>
        <v>1</v>
      </c>
      <c r="Y22" s="1754" t="b">
        <f t="shared" ref="Y22:Y33" si="8">IF(ISBLANK(C22),TRUE,OR(TEXT(LEFT(C22,4),"0000")="4381",TEXT(LEFT(C22,4),"0000")="4380",TEXT(LEFT(C22,4),"0000")="438F"))</f>
        <v>1</v>
      </c>
      <c r="Z22" s="1739" t="b">
        <f t="shared" si="1"/>
        <v>1</v>
      </c>
    </row>
    <row r="23" spans="1:26" s="1739" customFormat="1" ht="15" customHeight="1" x14ac:dyDescent="0.2">
      <c r="A23" s="1862"/>
      <c r="C23" s="1859"/>
      <c r="E23" s="1861"/>
      <c r="G23" s="1859"/>
      <c r="H23" s="1750"/>
      <c r="I23" s="1751"/>
      <c r="K23" s="1749"/>
      <c r="L23" s="1854"/>
      <c r="M23" s="1998"/>
      <c r="N23" s="1997"/>
      <c r="O23" s="1998"/>
      <c r="P23" s="1997"/>
      <c r="Q23" s="1998"/>
      <c r="R23" s="552" t="str">
        <f t="shared" si="0"/>
        <v/>
      </c>
      <c r="S23" s="1752" t="b">
        <f t="shared" si="2"/>
        <v>1</v>
      </c>
      <c r="T23" s="1752">
        <f t="shared" si="3"/>
        <v>0</v>
      </c>
      <c r="U23" s="1753" t="b">
        <f t="shared" si="4"/>
        <v>1</v>
      </c>
      <c r="V23" s="1753" t="b">
        <f t="shared" si="5"/>
        <v>1</v>
      </c>
      <c r="W23" s="1753" t="b">
        <f t="shared" si="6"/>
        <v>1</v>
      </c>
      <c r="X23" s="1753" t="b">
        <f t="shared" si="7"/>
        <v>1</v>
      </c>
      <c r="Y23" s="1754" t="b">
        <f t="shared" si="8"/>
        <v>1</v>
      </c>
      <c r="Z23" s="1739" t="b">
        <f t="shared" si="1"/>
        <v>1</v>
      </c>
    </row>
    <row r="24" spans="1:26" s="1739" customFormat="1" ht="15" customHeight="1" x14ac:dyDescent="0.2">
      <c r="A24" s="1862"/>
      <c r="C24" s="1859"/>
      <c r="E24" s="1861"/>
      <c r="G24" s="1859"/>
      <c r="H24" s="1750"/>
      <c r="I24" s="1751"/>
      <c r="K24" s="1749"/>
      <c r="L24" s="1854"/>
      <c r="M24" s="1998"/>
      <c r="N24" s="1997"/>
      <c r="O24" s="1998"/>
      <c r="P24" s="1997"/>
      <c r="Q24" s="1998"/>
      <c r="R24" s="552" t="str">
        <f t="shared" si="0"/>
        <v/>
      </c>
      <c r="S24" s="1752" t="b">
        <f t="shared" si="2"/>
        <v>1</v>
      </c>
      <c r="T24" s="1752">
        <f t="shared" si="3"/>
        <v>0</v>
      </c>
      <c r="U24" s="1753" t="b">
        <f t="shared" si="4"/>
        <v>1</v>
      </c>
      <c r="V24" s="1753" t="b">
        <f t="shared" si="5"/>
        <v>1</v>
      </c>
      <c r="W24" s="1753" t="b">
        <f t="shared" si="6"/>
        <v>1</v>
      </c>
      <c r="X24" s="1753" t="b">
        <f t="shared" si="7"/>
        <v>1</v>
      </c>
      <c r="Y24" s="1754" t="b">
        <f t="shared" si="8"/>
        <v>1</v>
      </c>
      <c r="Z24" s="1739" t="b">
        <f t="shared" si="1"/>
        <v>1</v>
      </c>
    </row>
    <row r="25" spans="1:26" s="1739" customFormat="1" ht="15" customHeight="1" x14ac:dyDescent="0.2">
      <c r="A25" s="1862"/>
      <c r="C25" s="1859"/>
      <c r="E25" s="1861"/>
      <c r="G25" s="1859"/>
      <c r="H25" s="1750"/>
      <c r="I25" s="1751"/>
      <c r="K25" s="1749"/>
      <c r="L25" s="1854"/>
      <c r="M25" s="1998"/>
      <c r="N25" s="1997"/>
      <c r="O25" s="1998"/>
      <c r="P25" s="1997"/>
      <c r="Q25" s="1998"/>
      <c r="R25" s="552" t="str">
        <f t="shared" si="0"/>
        <v/>
      </c>
      <c r="S25" s="1752" t="b">
        <f t="shared" si="2"/>
        <v>1</v>
      </c>
      <c r="T25" s="1752">
        <f t="shared" si="3"/>
        <v>0</v>
      </c>
      <c r="U25" s="1753" t="b">
        <f t="shared" si="4"/>
        <v>1</v>
      </c>
      <c r="V25" s="1753" t="b">
        <f t="shared" si="5"/>
        <v>1</v>
      </c>
      <c r="W25" s="1753" t="b">
        <f t="shared" si="6"/>
        <v>1</v>
      </c>
      <c r="X25" s="1753" t="b">
        <f t="shared" si="7"/>
        <v>1</v>
      </c>
      <c r="Y25" s="1754" t="b">
        <f t="shared" si="8"/>
        <v>1</v>
      </c>
      <c r="Z25" s="1739" t="b">
        <f t="shared" si="1"/>
        <v>1</v>
      </c>
    </row>
    <row r="26" spans="1:26" s="1739" customFormat="1" ht="15" customHeight="1" x14ac:dyDescent="0.2">
      <c r="A26" s="1862"/>
      <c r="C26" s="1859"/>
      <c r="E26" s="1861"/>
      <c r="G26" s="1859"/>
      <c r="H26" s="1750"/>
      <c r="I26" s="1751"/>
      <c r="K26" s="1749"/>
      <c r="L26" s="1854"/>
      <c r="M26" s="1998"/>
      <c r="N26" s="1997"/>
      <c r="O26" s="1998"/>
      <c r="P26" s="1997"/>
      <c r="Q26" s="1998"/>
      <c r="R26" s="552" t="str">
        <f t="shared" si="0"/>
        <v/>
      </c>
      <c r="S26" s="1752" t="b">
        <f t="shared" si="2"/>
        <v>1</v>
      </c>
      <c r="T26" s="1752">
        <f t="shared" si="3"/>
        <v>0</v>
      </c>
      <c r="U26" s="1753" t="b">
        <f t="shared" si="4"/>
        <v>1</v>
      </c>
      <c r="V26" s="1753" t="b">
        <f t="shared" si="5"/>
        <v>1</v>
      </c>
      <c r="W26" s="1753" t="b">
        <f t="shared" si="6"/>
        <v>1</v>
      </c>
      <c r="X26" s="1753" t="b">
        <f t="shared" si="7"/>
        <v>1</v>
      </c>
      <c r="Y26" s="1754" t="b">
        <f t="shared" si="8"/>
        <v>1</v>
      </c>
      <c r="Z26" s="1739" t="b">
        <f t="shared" si="1"/>
        <v>1</v>
      </c>
    </row>
    <row r="27" spans="1:26" s="1739" customFormat="1" ht="15" customHeight="1" x14ac:dyDescent="0.2">
      <c r="A27" s="1862"/>
      <c r="C27" s="1859"/>
      <c r="E27" s="1861"/>
      <c r="G27" s="1859"/>
      <c r="H27" s="1750"/>
      <c r="I27" s="1751"/>
      <c r="K27" s="1749"/>
      <c r="L27" s="1854"/>
      <c r="M27" s="1998"/>
      <c r="N27" s="1997"/>
      <c r="O27" s="1998"/>
      <c r="P27" s="1997"/>
      <c r="Q27" s="1998"/>
      <c r="R27" s="552" t="str">
        <f t="shared" si="0"/>
        <v/>
      </c>
      <c r="S27" s="1752" t="b">
        <f t="shared" si="2"/>
        <v>1</v>
      </c>
      <c r="T27" s="1752">
        <f t="shared" si="3"/>
        <v>0</v>
      </c>
      <c r="U27" s="1753" t="b">
        <f t="shared" si="4"/>
        <v>1</v>
      </c>
      <c r="V27" s="1753" t="b">
        <f t="shared" si="5"/>
        <v>1</v>
      </c>
      <c r="W27" s="1753" t="b">
        <f t="shared" si="6"/>
        <v>1</v>
      </c>
      <c r="X27" s="1753" t="b">
        <f t="shared" si="7"/>
        <v>1</v>
      </c>
      <c r="Y27" s="1754" t="b">
        <f t="shared" si="8"/>
        <v>1</v>
      </c>
      <c r="Z27" s="1739" t="b">
        <f t="shared" si="1"/>
        <v>1</v>
      </c>
    </row>
    <row r="28" spans="1:26" s="1739" customFormat="1" ht="15" customHeight="1" x14ac:dyDescent="0.2">
      <c r="A28" s="1862"/>
      <c r="C28" s="1859"/>
      <c r="E28" s="1861"/>
      <c r="G28" s="1859"/>
      <c r="H28" s="1750"/>
      <c r="I28" s="1751"/>
      <c r="K28" s="1749"/>
      <c r="L28" s="1854"/>
      <c r="M28" s="1998"/>
      <c r="N28" s="1997"/>
      <c r="O28" s="1998"/>
      <c r="P28" s="1997"/>
      <c r="Q28" s="1998"/>
      <c r="R28" s="552" t="str">
        <f t="shared" si="0"/>
        <v/>
      </c>
      <c r="S28" s="1752" t="b">
        <f t="shared" si="2"/>
        <v>1</v>
      </c>
      <c r="T28" s="1752">
        <f t="shared" si="3"/>
        <v>0</v>
      </c>
      <c r="U28" s="1753" t="b">
        <f t="shared" si="4"/>
        <v>1</v>
      </c>
      <c r="V28" s="1753" t="b">
        <f t="shared" si="5"/>
        <v>1</v>
      </c>
      <c r="W28" s="1753" t="b">
        <f t="shared" si="6"/>
        <v>1</v>
      </c>
      <c r="X28" s="1753" t="b">
        <f t="shared" si="7"/>
        <v>1</v>
      </c>
      <c r="Y28" s="1754" t="b">
        <f t="shared" si="8"/>
        <v>1</v>
      </c>
      <c r="Z28" s="1739" t="b">
        <f t="shared" si="1"/>
        <v>1</v>
      </c>
    </row>
    <row r="29" spans="1:26" s="1739" customFormat="1" ht="15" customHeight="1" x14ac:dyDescent="0.2">
      <c r="A29" s="1862"/>
      <c r="C29" s="1859"/>
      <c r="E29" s="1861"/>
      <c r="G29" s="1859"/>
      <c r="H29" s="1750"/>
      <c r="I29" s="1751"/>
      <c r="K29" s="1749"/>
      <c r="L29" s="1854"/>
      <c r="M29" s="1998"/>
      <c r="N29" s="1997"/>
      <c r="O29" s="1998"/>
      <c r="P29" s="1997"/>
      <c r="Q29" s="1998"/>
      <c r="R29" s="552" t="str">
        <f t="shared" si="0"/>
        <v/>
      </c>
      <c r="S29" s="1752" t="b">
        <f t="shared" si="2"/>
        <v>1</v>
      </c>
      <c r="T29" s="1752">
        <f t="shared" si="3"/>
        <v>0</v>
      </c>
      <c r="U29" s="1753" t="b">
        <f t="shared" si="4"/>
        <v>1</v>
      </c>
      <c r="V29" s="1753" t="b">
        <f t="shared" si="5"/>
        <v>1</v>
      </c>
      <c r="W29" s="1753" t="b">
        <f t="shared" si="6"/>
        <v>1</v>
      </c>
      <c r="X29" s="1753" t="b">
        <f t="shared" si="7"/>
        <v>1</v>
      </c>
      <c r="Y29" s="1754" t="b">
        <f t="shared" si="8"/>
        <v>1</v>
      </c>
      <c r="Z29" s="1739" t="b">
        <f t="shared" si="1"/>
        <v>1</v>
      </c>
    </row>
    <row r="30" spans="1:26" s="1739" customFormat="1" ht="15" customHeight="1" x14ac:dyDescent="0.2">
      <c r="A30" s="1862"/>
      <c r="C30" s="1859"/>
      <c r="E30" s="1861"/>
      <c r="G30" s="1859"/>
      <c r="H30" s="1750"/>
      <c r="I30" s="1751"/>
      <c r="K30" s="1749"/>
      <c r="L30" s="1854"/>
      <c r="M30" s="1998"/>
      <c r="N30" s="1997"/>
      <c r="O30" s="1998"/>
      <c r="P30" s="1997"/>
      <c r="Q30" s="1998"/>
      <c r="R30" s="552" t="str">
        <f t="shared" si="0"/>
        <v/>
      </c>
      <c r="S30" s="1752" t="b">
        <f t="shared" si="2"/>
        <v>1</v>
      </c>
      <c r="T30" s="1752">
        <f t="shared" si="3"/>
        <v>0</v>
      </c>
      <c r="U30" s="1753" t="b">
        <f t="shared" si="4"/>
        <v>1</v>
      </c>
      <c r="V30" s="1753" t="b">
        <f t="shared" si="5"/>
        <v>1</v>
      </c>
      <c r="W30" s="1753" t="b">
        <f t="shared" si="6"/>
        <v>1</v>
      </c>
      <c r="X30" s="1753" t="b">
        <f t="shared" si="7"/>
        <v>1</v>
      </c>
      <c r="Y30" s="1754" t="b">
        <f t="shared" si="8"/>
        <v>1</v>
      </c>
      <c r="Z30" s="1739" t="b">
        <f t="shared" si="1"/>
        <v>1</v>
      </c>
    </row>
    <row r="31" spans="1:26" s="1739" customFormat="1" ht="15" customHeight="1" x14ac:dyDescent="0.2">
      <c r="A31" s="1862"/>
      <c r="C31" s="1859"/>
      <c r="E31" s="1861"/>
      <c r="G31" s="1859"/>
      <c r="H31" s="1750"/>
      <c r="I31" s="1751"/>
      <c r="K31" s="1749"/>
      <c r="L31" s="1854"/>
      <c r="M31" s="1998"/>
      <c r="N31" s="1997"/>
      <c r="O31" s="1998"/>
      <c r="P31" s="1997"/>
      <c r="Q31" s="1998"/>
      <c r="R31" s="552" t="str">
        <f t="shared" si="0"/>
        <v/>
      </c>
      <c r="S31" s="1752" t="b">
        <f t="shared" si="2"/>
        <v>1</v>
      </c>
      <c r="T31" s="1752">
        <f t="shared" si="3"/>
        <v>0</v>
      </c>
      <c r="U31" s="1753" t="b">
        <f t="shared" si="4"/>
        <v>1</v>
      </c>
      <c r="V31" s="1753" t="b">
        <f t="shared" si="5"/>
        <v>1</v>
      </c>
      <c r="W31" s="1753" t="b">
        <f t="shared" si="6"/>
        <v>1</v>
      </c>
      <c r="X31" s="1753" t="b">
        <f t="shared" si="7"/>
        <v>1</v>
      </c>
      <c r="Y31" s="1754" t="b">
        <f t="shared" si="8"/>
        <v>1</v>
      </c>
      <c r="Z31" s="1739" t="b">
        <f t="shared" si="1"/>
        <v>1</v>
      </c>
    </row>
    <row r="32" spans="1:26" s="1739" customFormat="1" ht="15" customHeight="1" x14ac:dyDescent="0.2">
      <c r="A32" s="1862"/>
      <c r="C32" s="1859"/>
      <c r="E32" s="1861"/>
      <c r="G32" s="1859"/>
      <c r="H32" s="1750"/>
      <c r="I32" s="1751"/>
      <c r="K32" s="1749"/>
      <c r="L32" s="1854"/>
      <c r="M32" s="1998"/>
      <c r="N32" s="1997"/>
      <c r="O32" s="1998"/>
      <c r="P32" s="1997"/>
      <c r="Q32" s="1998"/>
      <c r="R32" s="552" t="str">
        <f t="shared" si="0"/>
        <v/>
      </c>
      <c r="S32" s="1752" t="b">
        <f t="shared" si="2"/>
        <v>1</v>
      </c>
      <c r="T32" s="1752">
        <f t="shared" si="3"/>
        <v>0</v>
      </c>
      <c r="U32" s="1753" t="b">
        <f t="shared" si="4"/>
        <v>1</v>
      </c>
      <c r="V32" s="1753" t="b">
        <f t="shared" si="5"/>
        <v>1</v>
      </c>
      <c r="W32" s="1753" t="b">
        <f t="shared" si="6"/>
        <v>1</v>
      </c>
      <c r="X32" s="1753" t="b">
        <f t="shared" si="7"/>
        <v>1</v>
      </c>
      <c r="Y32" s="1754" t="b">
        <f t="shared" si="8"/>
        <v>1</v>
      </c>
      <c r="Z32" s="1739" t="b">
        <f t="shared" si="1"/>
        <v>1</v>
      </c>
    </row>
    <row r="33" spans="1:26" s="1739" customFormat="1" ht="15" customHeight="1" x14ac:dyDescent="0.2">
      <c r="A33" s="1862"/>
      <c r="C33" s="1859"/>
      <c r="E33" s="1861"/>
      <c r="G33" s="1859"/>
      <c r="H33" s="1750"/>
      <c r="I33" s="1751"/>
      <c r="K33" s="1749"/>
      <c r="L33" s="1854"/>
      <c r="M33" s="1998"/>
      <c r="N33" s="1997"/>
      <c r="O33" s="1998"/>
      <c r="P33" s="1997"/>
      <c r="Q33" s="1998"/>
      <c r="R33" s="552" t="str">
        <f t="shared" si="0"/>
        <v/>
      </c>
      <c r="S33" s="1752" t="b">
        <f t="shared" si="2"/>
        <v>1</v>
      </c>
      <c r="T33" s="1752">
        <f t="shared" si="3"/>
        <v>0</v>
      </c>
      <c r="U33" s="1753" t="b">
        <f t="shared" si="4"/>
        <v>1</v>
      </c>
      <c r="V33" s="1753" t="b">
        <f t="shared" si="5"/>
        <v>1</v>
      </c>
      <c r="W33" s="1753" t="b">
        <f t="shared" si="6"/>
        <v>1</v>
      </c>
      <c r="X33" s="1753" t="b">
        <f t="shared" si="7"/>
        <v>1</v>
      </c>
      <c r="Y33" s="1754" t="b">
        <f t="shared" si="8"/>
        <v>1</v>
      </c>
      <c r="Z33" s="1739" t="b">
        <f t="shared" si="1"/>
        <v>1</v>
      </c>
    </row>
    <row r="34" spans="1:26" ht="20.100000000000001" customHeight="1" thickBot="1" x14ac:dyDescent="0.3">
      <c r="A34" s="1980"/>
      <c r="B34" s="1981"/>
      <c r="C34" s="1982"/>
      <c r="D34" s="1756"/>
      <c r="E34" s="1983"/>
      <c r="F34" s="1984"/>
      <c r="G34" s="1982"/>
      <c r="H34" s="1757"/>
      <c r="I34" s="1756"/>
      <c r="J34" s="1756"/>
      <c r="K34" s="1756"/>
      <c r="L34" s="1756"/>
      <c r="M34" s="1756"/>
      <c r="N34" s="1756"/>
      <c r="O34" s="1756"/>
      <c r="P34" s="1756"/>
      <c r="Q34" s="1756"/>
      <c r="R34" s="1758"/>
      <c r="S34" s="1752">
        <f>COUNTIF(S19:S33,FALSE)</f>
        <v>0</v>
      </c>
      <c r="T34" s="1758"/>
      <c r="U34" s="1758"/>
      <c r="V34" s="1758"/>
      <c r="W34" s="1758"/>
      <c r="X34" s="1758"/>
      <c r="Y34" s="1759">
        <f>COUNTIF(Y19:Y33,FALSE)</f>
        <v>0</v>
      </c>
    </row>
    <row r="35" spans="1:26" ht="6" customHeight="1" x14ac:dyDescent="0.25">
      <c r="C35" s="1756"/>
      <c r="D35" s="1756"/>
      <c r="E35" s="1756"/>
      <c r="F35" s="1756"/>
      <c r="G35" s="1756"/>
      <c r="H35" s="1757"/>
      <c r="I35" s="1756"/>
      <c r="J35" s="1756"/>
      <c r="K35" s="1756"/>
      <c r="L35" s="1756"/>
      <c r="M35" s="1756"/>
      <c r="N35" s="1756"/>
      <c r="O35" s="1756"/>
      <c r="P35" s="1756"/>
      <c r="Q35" s="1756"/>
      <c r="R35" s="1758"/>
      <c r="S35" s="1752"/>
      <c r="T35" s="1758"/>
      <c r="U35" s="1758"/>
      <c r="V35" s="1758"/>
      <c r="W35" s="1758"/>
      <c r="X35" s="1758"/>
      <c r="Y35" s="1759"/>
    </row>
    <row r="36" spans="1:26" s="1760" customFormat="1" ht="11.25" customHeight="1" x14ac:dyDescent="0.2">
      <c r="A36" s="1783" t="s">
        <v>4796</v>
      </c>
    </row>
    <row r="37" spans="1:26" s="1763" customFormat="1" ht="14.25" customHeight="1" x14ac:dyDescent="0.2">
      <c r="A37" s="1761"/>
      <c r="B37" s="1762"/>
      <c r="C37" s="1762"/>
      <c r="D37" s="1761"/>
      <c r="E37" s="1761"/>
      <c r="F37" s="1761"/>
      <c r="G37" s="1761"/>
      <c r="H37" s="1761"/>
      <c r="I37" s="1761"/>
      <c r="J37" s="1761"/>
      <c r="K37" s="1761"/>
      <c r="L37" s="1761"/>
      <c r="M37" s="1761"/>
      <c r="N37" s="1761"/>
      <c r="O37" s="1761"/>
      <c r="P37" s="1761"/>
      <c r="Q37" s="1761"/>
    </row>
    <row r="38" spans="1:26" s="1763" customFormat="1" ht="15" customHeight="1" x14ac:dyDescent="0.2">
      <c r="A38" s="1761"/>
      <c r="B38" s="1764"/>
      <c r="C38" s="1764"/>
      <c r="D38" s="1761"/>
      <c r="E38" s="1761"/>
      <c r="F38" s="1761"/>
      <c r="G38" s="1761"/>
      <c r="H38" s="1761"/>
      <c r="I38" s="1761"/>
      <c r="J38" s="1761"/>
      <c r="K38" s="1765"/>
      <c r="L38" s="1765"/>
      <c r="M38" s="1765"/>
      <c r="N38" s="1765"/>
      <c r="O38" s="1765"/>
      <c r="P38" s="1765"/>
      <c r="Q38" s="1765"/>
    </row>
    <row r="39" spans="1:26" s="1763" customFormat="1" ht="15" customHeight="1" x14ac:dyDescent="0.2">
      <c r="A39" s="1765"/>
      <c r="B39" s="1762"/>
      <c r="C39" s="1762"/>
      <c r="D39" s="1765"/>
      <c r="E39" s="1765"/>
      <c r="F39" s="1765"/>
      <c r="G39" s="1765"/>
      <c r="H39" s="1765"/>
      <c r="I39" s="1765"/>
      <c r="J39" s="1765"/>
      <c r="K39" s="1765"/>
      <c r="L39" s="1765"/>
      <c r="M39" s="1765"/>
      <c r="N39" s="1765"/>
      <c r="O39" s="1765"/>
      <c r="P39" s="1765"/>
      <c r="Q39" s="1765"/>
    </row>
    <row r="40" spans="1:26" ht="26.1" customHeight="1" x14ac:dyDescent="0.25">
      <c r="F40" s="1756"/>
    </row>
    <row r="41" spans="1:26" ht="20.85" customHeight="1" x14ac:dyDescent="0.25">
      <c r="A41" s="1161" t="s">
        <v>4467</v>
      </c>
      <c r="F41" s="1756"/>
    </row>
    <row r="42" spans="1:26" ht="20.85" customHeight="1" x14ac:dyDescent="0.25">
      <c r="B42" s="794"/>
      <c r="C42" s="794"/>
      <c r="F42" s="1756"/>
    </row>
    <row r="43" spans="1:26" ht="20.85" customHeight="1" x14ac:dyDescent="0.25">
      <c r="F43" s="1756"/>
      <c r="G43" s="1755" t="s">
        <v>973</v>
      </c>
    </row>
    <row r="44" spans="1:26" ht="20.85" customHeight="1" x14ac:dyDescent="0.25">
      <c r="F44" s="1756"/>
    </row>
    <row r="45" spans="1:26" ht="20.85" customHeight="1" x14ac:dyDescent="0.25">
      <c r="F45" s="1756"/>
    </row>
    <row r="46" spans="1:26" ht="20.85" customHeight="1" x14ac:dyDescent="0.25">
      <c r="F46" s="1756"/>
      <c r="G46" s="1766" t="s">
        <v>973</v>
      </c>
      <c r="H46" s="1766"/>
      <c r="R46" s="1766" t="s">
        <v>973</v>
      </c>
      <c r="S46" s="1766"/>
      <c r="T46" s="1766"/>
      <c r="U46" s="1766"/>
      <c r="V46" s="1766"/>
      <c r="W46" s="1766"/>
      <c r="X46" s="1766"/>
    </row>
    <row r="47" spans="1:26" x14ac:dyDescent="0.25">
      <c r="F47" s="1756"/>
    </row>
    <row r="48" spans="1:26" x14ac:dyDescent="0.25">
      <c r="F48" s="1756"/>
    </row>
    <row r="49" spans="6:6" x14ac:dyDescent="0.25">
      <c r="F49" s="1756"/>
    </row>
    <row r="50" spans="6:6" x14ac:dyDescent="0.25">
      <c r="F50" s="1756"/>
    </row>
    <row r="51" spans="6:6" x14ac:dyDescent="0.25">
      <c r="F51" s="1756"/>
    </row>
    <row r="52" spans="6:6" x14ac:dyDescent="0.25">
      <c r="F52" s="1756"/>
    </row>
    <row r="53" spans="6:6" x14ac:dyDescent="0.25">
      <c r="F53" s="1756"/>
    </row>
    <row r="54" spans="6:6" x14ac:dyDescent="0.25">
      <c r="F54" s="1756"/>
    </row>
    <row r="55" spans="6:6" x14ac:dyDescent="0.25">
      <c r="F55" s="1756"/>
    </row>
    <row r="56" spans="6:6" x14ac:dyDescent="0.25">
      <c r="F56" s="1756"/>
    </row>
    <row r="57" spans="6:6" x14ac:dyDescent="0.25">
      <c r="F57" s="1756"/>
    </row>
    <row r="58" spans="6:6" x14ac:dyDescent="0.25">
      <c r="F58" s="1756"/>
    </row>
    <row r="59" spans="6:6" x14ac:dyDescent="0.25">
      <c r="F59" s="1756"/>
    </row>
    <row r="60" spans="6:6" x14ac:dyDescent="0.25">
      <c r="F60" s="1756"/>
    </row>
    <row r="61" spans="6:6" x14ac:dyDescent="0.25">
      <c r="F61" s="1756"/>
    </row>
    <row r="62" spans="6:6" x14ac:dyDescent="0.25">
      <c r="F62" s="1756"/>
    </row>
    <row r="63" spans="6:6" x14ac:dyDescent="0.25">
      <c r="F63" s="1756"/>
    </row>
    <row r="64" spans="6:6" x14ac:dyDescent="0.25">
      <c r="F64" s="1756"/>
    </row>
    <row r="65" spans="6:6" x14ac:dyDescent="0.25">
      <c r="F65" s="1756"/>
    </row>
    <row r="66" spans="6:6" x14ac:dyDescent="0.25">
      <c r="F66" s="1756"/>
    </row>
    <row r="67" spans="6:6" x14ac:dyDescent="0.25">
      <c r="F67" s="1756"/>
    </row>
    <row r="68" spans="6:6" x14ac:dyDescent="0.25">
      <c r="F68" s="1756"/>
    </row>
    <row r="69" spans="6:6" x14ac:dyDescent="0.25">
      <c r="F69" s="1756"/>
    </row>
    <row r="70" spans="6:6" x14ac:dyDescent="0.25">
      <c r="F70" s="1756"/>
    </row>
    <row r="71" spans="6:6" x14ac:dyDescent="0.25">
      <c r="F71" s="1756"/>
    </row>
    <row r="72" spans="6:6" x14ac:dyDescent="0.25">
      <c r="F72" s="1756"/>
    </row>
    <row r="73" spans="6:6" x14ac:dyDescent="0.25">
      <c r="F73" s="1756"/>
    </row>
    <row r="74" spans="6:6" x14ac:dyDescent="0.25">
      <c r="F74" s="1756"/>
    </row>
    <row r="75" spans="6:6" x14ac:dyDescent="0.25">
      <c r="F75" s="1756"/>
    </row>
    <row r="76" spans="6:6" x14ac:dyDescent="0.25">
      <c r="F76" s="1756"/>
    </row>
    <row r="77" spans="6:6" x14ac:dyDescent="0.25">
      <c r="F77" s="1756"/>
    </row>
    <row r="78" spans="6:6" x14ac:dyDescent="0.25">
      <c r="F78" s="1756"/>
    </row>
    <row r="79" spans="6:6" x14ac:dyDescent="0.25">
      <c r="F79" s="1756"/>
    </row>
    <row r="80" spans="6:6" x14ac:dyDescent="0.25">
      <c r="F80" s="1756"/>
    </row>
    <row r="81" spans="6:6" x14ac:dyDescent="0.25">
      <c r="F81" s="1756"/>
    </row>
    <row r="82" spans="6:6" x14ac:dyDescent="0.25">
      <c r="F82" s="1756"/>
    </row>
    <row r="83" spans="6:6" x14ac:dyDescent="0.25">
      <c r="F83" s="1756"/>
    </row>
    <row r="84" spans="6:6" x14ac:dyDescent="0.25">
      <c r="F84" s="1756"/>
    </row>
    <row r="85" spans="6:6" x14ac:dyDescent="0.25">
      <c r="F85" s="1756"/>
    </row>
    <row r="86" spans="6:6" x14ac:dyDescent="0.25">
      <c r="F86" s="1756"/>
    </row>
    <row r="87" spans="6:6" x14ac:dyDescent="0.25">
      <c r="F87" s="1756"/>
    </row>
    <row r="88" spans="6:6" x14ac:dyDescent="0.25">
      <c r="F88" s="1756"/>
    </row>
    <row r="89" spans="6:6" x14ac:dyDescent="0.25">
      <c r="F89" s="1756"/>
    </row>
    <row r="90" spans="6:6" x14ac:dyDescent="0.25">
      <c r="F90" s="1756"/>
    </row>
    <row r="91" spans="6:6" x14ac:dyDescent="0.25">
      <c r="F91" s="1756"/>
    </row>
    <row r="92" spans="6:6" x14ac:dyDescent="0.25">
      <c r="F92" s="1756"/>
    </row>
    <row r="93" spans="6:6" x14ac:dyDescent="0.25">
      <c r="F93" s="1756"/>
    </row>
    <row r="94" spans="6:6" x14ac:dyDescent="0.25">
      <c r="F94" s="1756"/>
    </row>
    <row r="95" spans="6:6" x14ac:dyDescent="0.25">
      <c r="F95" s="1756"/>
    </row>
    <row r="96" spans="6:6" x14ac:dyDescent="0.25">
      <c r="F96" s="1756"/>
    </row>
    <row r="97" spans="6:6" x14ac:dyDescent="0.25">
      <c r="F97" s="1756"/>
    </row>
    <row r="98" spans="6:6" x14ac:dyDescent="0.25">
      <c r="F98" s="1756"/>
    </row>
    <row r="99" spans="6:6" x14ac:dyDescent="0.25">
      <c r="F99" s="1756"/>
    </row>
    <row r="100" spans="6:6" x14ac:dyDescent="0.25">
      <c r="F100" s="1756"/>
    </row>
    <row r="101" spans="6:6" x14ac:dyDescent="0.25">
      <c r="F101" s="1756"/>
    </row>
    <row r="102" spans="6:6" x14ac:dyDescent="0.25">
      <c r="F102" s="1756"/>
    </row>
    <row r="103" spans="6:6" x14ac:dyDescent="0.25">
      <c r="F103" s="1756"/>
    </row>
    <row r="104" spans="6:6" x14ac:dyDescent="0.25">
      <c r="F104" s="1756"/>
    </row>
    <row r="105" spans="6:6" x14ac:dyDescent="0.25">
      <c r="F105" s="1756"/>
    </row>
    <row r="106" spans="6:6" x14ac:dyDescent="0.25">
      <c r="F106" s="1756"/>
    </row>
    <row r="107" spans="6:6" x14ac:dyDescent="0.25">
      <c r="F107" s="1756"/>
    </row>
    <row r="108" spans="6:6" x14ac:dyDescent="0.25">
      <c r="F108" s="1756"/>
    </row>
    <row r="109" spans="6:6" x14ac:dyDescent="0.25">
      <c r="F109" s="1756"/>
    </row>
    <row r="110" spans="6:6" x14ac:dyDescent="0.25">
      <c r="F110" s="1756"/>
    </row>
    <row r="111" spans="6:6" x14ac:dyDescent="0.25">
      <c r="F111" s="1756"/>
    </row>
    <row r="112" spans="6:6" x14ac:dyDescent="0.25">
      <c r="F112" s="1756"/>
    </row>
    <row r="113" spans="6:6" x14ac:dyDescent="0.25">
      <c r="F113" s="1756"/>
    </row>
    <row r="114" spans="6:6" x14ac:dyDescent="0.25">
      <c r="F114" s="1756"/>
    </row>
    <row r="115" spans="6:6" x14ac:dyDescent="0.25">
      <c r="F115" s="1756"/>
    </row>
    <row r="116" spans="6:6" x14ac:dyDescent="0.25">
      <c r="F116" s="1756"/>
    </row>
    <row r="117" spans="6:6" x14ac:dyDescent="0.25">
      <c r="F117" s="1756"/>
    </row>
    <row r="118" spans="6:6" x14ac:dyDescent="0.25">
      <c r="F118" s="1756"/>
    </row>
    <row r="119" spans="6:6" x14ac:dyDescent="0.25">
      <c r="F119" s="1756"/>
    </row>
    <row r="120" spans="6:6" x14ac:dyDescent="0.25">
      <c r="F120" s="1756"/>
    </row>
    <row r="121" spans="6:6" x14ac:dyDescent="0.25">
      <c r="F121" s="1756"/>
    </row>
    <row r="122" spans="6:6" x14ac:dyDescent="0.25">
      <c r="F122" s="1756"/>
    </row>
    <row r="123" spans="6:6" x14ac:dyDescent="0.25">
      <c r="F123" s="1756"/>
    </row>
    <row r="124" spans="6:6" x14ac:dyDescent="0.25">
      <c r="F124" s="1756"/>
    </row>
    <row r="125" spans="6:6" x14ac:dyDescent="0.25">
      <c r="F125" s="1756"/>
    </row>
    <row r="126" spans="6:6" x14ac:dyDescent="0.25">
      <c r="F126" s="1756"/>
    </row>
    <row r="127" spans="6:6" x14ac:dyDescent="0.25">
      <c r="F127" s="1756"/>
    </row>
    <row r="128" spans="6:6" x14ac:dyDescent="0.25">
      <c r="F128" s="1756"/>
    </row>
    <row r="129" spans="6:6" x14ac:dyDescent="0.25">
      <c r="F129" s="1756"/>
    </row>
    <row r="130" spans="6:6" x14ac:dyDescent="0.25">
      <c r="F130" s="1756"/>
    </row>
    <row r="131" spans="6:6" x14ac:dyDescent="0.25">
      <c r="F131" s="1756"/>
    </row>
    <row r="132" spans="6:6" x14ac:dyDescent="0.25">
      <c r="F132" s="1756"/>
    </row>
    <row r="133" spans="6:6" x14ac:dyDescent="0.25">
      <c r="F133" s="1756"/>
    </row>
    <row r="134" spans="6:6" x14ac:dyDescent="0.25">
      <c r="F134" s="1756"/>
    </row>
    <row r="135" spans="6:6" x14ac:dyDescent="0.25">
      <c r="F135" s="1756"/>
    </row>
    <row r="136" spans="6:6" x14ac:dyDescent="0.25">
      <c r="F136" s="1756"/>
    </row>
    <row r="137" spans="6:6" x14ac:dyDescent="0.25">
      <c r="F137" s="1756"/>
    </row>
    <row r="138" spans="6:6" x14ac:dyDescent="0.25">
      <c r="F138" s="1756"/>
    </row>
    <row r="139" spans="6:6" x14ac:dyDescent="0.25">
      <c r="F139" s="1756"/>
    </row>
    <row r="140" spans="6:6" x14ac:dyDescent="0.25">
      <c r="F140" s="1756"/>
    </row>
    <row r="141" spans="6:6" x14ac:dyDescent="0.25">
      <c r="F141" s="1756"/>
    </row>
    <row r="142" spans="6:6" x14ac:dyDescent="0.25">
      <c r="F142" s="1756"/>
    </row>
    <row r="143" spans="6:6" x14ac:dyDescent="0.25">
      <c r="F143" s="1756"/>
    </row>
    <row r="144" spans="6:6" x14ac:dyDescent="0.25">
      <c r="F144" s="1756"/>
    </row>
    <row r="145" spans="6:6" x14ac:dyDescent="0.25">
      <c r="F145" s="1756"/>
    </row>
    <row r="146" spans="6:6" x14ac:dyDescent="0.25">
      <c r="F146" s="1756"/>
    </row>
    <row r="147" spans="6:6" x14ac:dyDescent="0.25">
      <c r="F147" s="1756"/>
    </row>
    <row r="148" spans="6:6" x14ac:dyDescent="0.25">
      <c r="F148" s="1756"/>
    </row>
    <row r="149" spans="6:6" x14ac:dyDescent="0.25">
      <c r="F149" s="1756"/>
    </row>
    <row r="150" spans="6:6" x14ac:dyDescent="0.25">
      <c r="F150" s="1756"/>
    </row>
    <row r="151" spans="6:6" x14ac:dyDescent="0.25">
      <c r="F151" s="1756"/>
    </row>
    <row r="152" spans="6:6" x14ac:dyDescent="0.25">
      <c r="F152" s="1756"/>
    </row>
    <row r="153" spans="6:6" x14ac:dyDescent="0.25">
      <c r="F153" s="1756"/>
    </row>
    <row r="154" spans="6:6" x14ac:dyDescent="0.25">
      <c r="F154" s="1756"/>
    </row>
    <row r="155" spans="6:6" x14ac:dyDescent="0.25">
      <c r="F155" s="1756"/>
    </row>
    <row r="156" spans="6:6" x14ac:dyDescent="0.25">
      <c r="F156" s="1756"/>
    </row>
    <row r="157" spans="6:6" x14ac:dyDescent="0.25">
      <c r="F157" s="1756"/>
    </row>
    <row r="158" spans="6:6" x14ac:dyDescent="0.25">
      <c r="F158" s="1756"/>
    </row>
    <row r="159" spans="6:6" x14ac:dyDescent="0.25">
      <c r="F159" s="1756"/>
    </row>
    <row r="160" spans="6:6" x14ac:dyDescent="0.25">
      <c r="F160" s="1756"/>
    </row>
    <row r="161" spans="6:6" x14ac:dyDescent="0.25">
      <c r="F161" s="1756"/>
    </row>
    <row r="162" spans="6:6" x14ac:dyDescent="0.25">
      <c r="F162" s="1756"/>
    </row>
    <row r="163" spans="6:6" x14ac:dyDescent="0.25">
      <c r="F163" s="1756"/>
    </row>
    <row r="164" spans="6:6" x14ac:dyDescent="0.25">
      <c r="F164" s="1756"/>
    </row>
    <row r="165" spans="6:6" x14ac:dyDescent="0.25">
      <c r="F165" s="1756"/>
    </row>
    <row r="166" spans="6:6" x14ac:dyDescent="0.25">
      <c r="F166" s="1756"/>
    </row>
    <row r="167" spans="6:6" x14ac:dyDescent="0.25">
      <c r="F167" s="1756"/>
    </row>
    <row r="168" spans="6:6" x14ac:dyDescent="0.25">
      <c r="F168" s="1756"/>
    </row>
    <row r="169" spans="6:6" x14ac:dyDescent="0.25">
      <c r="F169" s="1756"/>
    </row>
    <row r="170" spans="6:6" x14ac:dyDescent="0.25">
      <c r="F170" s="1756"/>
    </row>
    <row r="171" spans="6:6" x14ac:dyDescent="0.25">
      <c r="F171" s="1756"/>
    </row>
  </sheetData>
  <sheetProtection algorithmName="SHA-512" hashValue="GNCE3YqXpOCb6gzlHST1Mi3Lhr8F2ew2pAmouVA1Lnp9nHoeY7+D1xqn8GStOex1pPDYaOIiYAg6JbBXSZQ3rw==" saltValue="1QXErFwSku+safIkQDrbww==" spinCount="100000" sheet="1" objects="1" scenarios="1" autoFilter="0"/>
  <dataConsolidate link="1"/>
  <mergeCells count="11">
    <mergeCell ref="A10:C10"/>
    <mergeCell ref="E10:G10"/>
    <mergeCell ref="C7:E7"/>
    <mergeCell ref="C8:E8"/>
    <mergeCell ref="M7:Q7"/>
    <mergeCell ref="R1:R3"/>
    <mergeCell ref="A2:Q2"/>
    <mergeCell ref="A3:Q3"/>
    <mergeCell ref="A4:Q4"/>
    <mergeCell ref="M6:Q6"/>
    <mergeCell ref="A1:Q1"/>
  </mergeCells>
  <conditionalFormatting sqref="S1:X3">
    <cfRule type="cellIs" dxfId="57" priority="2" stopIfTrue="1" operator="equal">
      <formula>"na"</formula>
    </cfRule>
  </conditionalFormatting>
  <conditionalFormatting sqref="R1:R3">
    <cfRule type="cellIs" dxfId="56" priority="1" stopIfTrue="1" operator="equal">
      <formula>"na"</formula>
    </cfRule>
  </conditionalFormatting>
  <dataValidations count="3">
    <dataValidation type="textLength" operator="equal" allowBlank="1" showInputMessage="1" showErrorMessage="1" errorTitle="Invalid data!" error="GASB number must be 4 digits." sqref="WVU983048:WVV983062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8:E65538 JF65538:JG65538 TB65538:TC65538 ACX65538:ACY65538 AMT65538:AMU65538 AWP65538:AWQ65538 BGL65538:BGM65538 BQH65538:BQI65538 CAD65538:CAE65538 CJZ65538:CKA65538 CTV65538:CTW65538 DDR65538:DDS65538 DNN65538:DNO65538 DXJ65538:DXK65538 EHF65538:EHG65538 ERB65538:ERC65538 FAX65538:FAY65538 FKT65538:FKU65538 FUP65538:FUQ65538 GEL65538:GEM65538 GOH65538:GOI65538 GYD65538:GYE65538 HHZ65538:HIA65538 HRV65538:HRW65538 IBR65538:IBS65538 ILN65538:ILO65538 IVJ65538:IVK65538 JFF65538:JFG65538 JPB65538:JPC65538 JYX65538:JYY65538 KIT65538:KIU65538 KSP65538:KSQ65538 LCL65538:LCM65538 LMH65538:LMI65538 LWD65538:LWE65538 MFZ65538:MGA65538 MPV65538:MPW65538 MZR65538:MZS65538 NJN65538:NJO65538 NTJ65538:NTK65538 ODF65538:ODG65538 ONB65538:ONC65538 OWX65538:OWY65538 PGT65538:PGU65538 PQP65538:PQQ65538 QAL65538:QAM65538 QKH65538:QKI65538 QUD65538:QUE65538 RDZ65538:REA65538 RNV65538:RNW65538 RXR65538:RXS65538 SHN65538:SHO65538 SRJ65538:SRK65538 TBF65538:TBG65538 TLB65538:TLC65538 TUX65538:TUY65538 UET65538:UEU65538 UOP65538:UOQ65538 UYL65538:UYM65538 VIH65538:VII65538 VSD65538:VSE65538 WBZ65538:WCA65538 WLV65538:WLW65538 WVR65538:WVS65538 D131074:E131074 JF131074:JG131074 TB131074:TC131074 ACX131074:ACY131074 AMT131074:AMU131074 AWP131074:AWQ131074 BGL131074:BGM131074 BQH131074:BQI131074 CAD131074:CAE131074 CJZ131074:CKA131074 CTV131074:CTW131074 DDR131074:DDS131074 DNN131074:DNO131074 DXJ131074:DXK131074 EHF131074:EHG131074 ERB131074:ERC131074 FAX131074:FAY131074 FKT131074:FKU131074 FUP131074:FUQ131074 GEL131074:GEM131074 GOH131074:GOI131074 GYD131074:GYE131074 HHZ131074:HIA131074 HRV131074:HRW131074 IBR131074:IBS131074 ILN131074:ILO131074 IVJ131074:IVK131074 JFF131074:JFG131074 JPB131074:JPC131074 JYX131074:JYY131074 KIT131074:KIU131074 KSP131074:KSQ131074 LCL131074:LCM131074 LMH131074:LMI131074 LWD131074:LWE131074 MFZ131074:MGA131074 MPV131074:MPW131074 MZR131074:MZS131074 NJN131074:NJO131074 NTJ131074:NTK131074 ODF131074:ODG131074 ONB131074:ONC131074 OWX131074:OWY131074 PGT131074:PGU131074 PQP131074:PQQ131074 QAL131074:QAM131074 QKH131074:QKI131074 QUD131074:QUE131074 RDZ131074:REA131074 RNV131074:RNW131074 RXR131074:RXS131074 SHN131074:SHO131074 SRJ131074:SRK131074 TBF131074:TBG131074 TLB131074:TLC131074 TUX131074:TUY131074 UET131074:UEU131074 UOP131074:UOQ131074 UYL131074:UYM131074 VIH131074:VII131074 VSD131074:VSE131074 WBZ131074:WCA131074 WLV131074:WLW131074 WVR131074:WVS131074 D196610:E196610 JF196610:JG196610 TB196610:TC196610 ACX196610:ACY196610 AMT196610:AMU196610 AWP196610:AWQ196610 BGL196610:BGM196610 BQH196610:BQI196610 CAD196610:CAE196610 CJZ196610:CKA196610 CTV196610:CTW196610 DDR196610:DDS196610 DNN196610:DNO196610 DXJ196610:DXK196610 EHF196610:EHG196610 ERB196610:ERC196610 FAX196610:FAY196610 FKT196610:FKU196610 FUP196610:FUQ196610 GEL196610:GEM196610 GOH196610:GOI196610 GYD196610:GYE196610 HHZ196610:HIA196610 HRV196610:HRW196610 IBR196610:IBS196610 ILN196610:ILO196610 IVJ196610:IVK196610 JFF196610:JFG196610 JPB196610:JPC196610 JYX196610:JYY196610 KIT196610:KIU196610 KSP196610:KSQ196610 LCL196610:LCM196610 LMH196610:LMI196610 LWD196610:LWE196610 MFZ196610:MGA196610 MPV196610:MPW196610 MZR196610:MZS196610 NJN196610:NJO196610 NTJ196610:NTK196610 ODF196610:ODG196610 ONB196610:ONC196610 OWX196610:OWY196610 PGT196610:PGU196610 PQP196610:PQQ196610 QAL196610:QAM196610 QKH196610:QKI196610 QUD196610:QUE196610 RDZ196610:REA196610 RNV196610:RNW196610 RXR196610:RXS196610 SHN196610:SHO196610 SRJ196610:SRK196610 TBF196610:TBG196610 TLB196610:TLC196610 TUX196610:TUY196610 UET196610:UEU196610 UOP196610:UOQ196610 UYL196610:UYM196610 VIH196610:VII196610 VSD196610:VSE196610 WBZ196610:WCA196610 WLV196610:WLW196610 WVR196610:WVS196610 D262146:E262146 JF262146:JG262146 TB262146:TC262146 ACX262146:ACY262146 AMT262146:AMU262146 AWP262146:AWQ262146 BGL262146:BGM262146 BQH262146:BQI262146 CAD262146:CAE262146 CJZ262146:CKA262146 CTV262146:CTW262146 DDR262146:DDS262146 DNN262146:DNO262146 DXJ262146:DXK262146 EHF262146:EHG262146 ERB262146:ERC262146 FAX262146:FAY262146 FKT262146:FKU262146 FUP262146:FUQ262146 GEL262146:GEM262146 GOH262146:GOI262146 GYD262146:GYE262146 HHZ262146:HIA262146 HRV262146:HRW262146 IBR262146:IBS262146 ILN262146:ILO262146 IVJ262146:IVK262146 JFF262146:JFG262146 JPB262146:JPC262146 JYX262146:JYY262146 KIT262146:KIU262146 KSP262146:KSQ262146 LCL262146:LCM262146 LMH262146:LMI262146 LWD262146:LWE262146 MFZ262146:MGA262146 MPV262146:MPW262146 MZR262146:MZS262146 NJN262146:NJO262146 NTJ262146:NTK262146 ODF262146:ODG262146 ONB262146:ONC262146 OWX262146:OWY262146 PGT262146:PGU262146 PQP262146:PQQ262146 QAL262146:QAM262146 QKH262146:QKI262146 QUD262146:QUE262146 RDZ262146:REA262146 RNV262146:RNW262146 RXR262146:RXS262146 SHN262146:SHO262146 SRJ262146:SRK262146 TBF262146:TBG262146 TLB262146:TLC262146 TUX262146:TUY262146 UET262146:UEU262146 UOP262146:UOQ262146 UYL262146:UYM262146 VIH262146:VII262146 VSD262146:VSE262146 WBZ262146:WCA262146 WLV262146:WLW262146 WVR262146:WVS262146 D327682:E327682 JF327682:JG327682 TB327682:TC327682 ACX327682:ACY327682 AMT327682:AMU327682 AWP327682:AWQ327682 BGL327682:BGM327682 BQH327682:BQI327682 CAD327682:CAE327682 CJZ327682:CKA327682 CTV327682:CTW327682 DDR327682:DDS327682 DNN327682:DNO327682 DXJ327682:DXK327682 EHF327682:EHG327682 ERB327682:ERC327682 FAX327682:FAY327682 FKT327682:FKU327682 FUP327682:FUQ327682 GEL327682:GEM327682 GOH327682:GOI327682 GYD327682:GYE327682 HHZ327682:HIA327682 HRV327682:HRW327682 IBR327682:IBS327682 ILN327682:ILO327682 IVJ327682:IVK327682 JFF327682:JFG327682 JPB327682:JPC327682 JYX327682:JYY327682 KIT327682:KIU327682 KSP327682:KSQ327682 LCL327682:LCM327682 LMH327682:LMI327682 LWD327682:LWE327682 MFZ327682:MGA327682 MPV327682:MPW327682 MZR327682:MZS327682 NJN327682:NJO327682 NTJ327682:NTK327682 ODF327682:ODG327682 ONB327682:ONC327682 OWX327682:OWY327682 PGT327682:PGU327682 PQP327682:PQQ327682 QAL327682:QAM327682 QKH327682:QKI327682 QUD327682:QUE327682 RDZ327682:REA327682 RNV327682:RNW327682 RXR327682:RXS327682 SHN327682:SHO327682 SRJ327682:SRK327682 TBF327682:TBG327682 TLB327682:TLC327682 TUX327682:TUY327682 UET327682:UEU327682 UOP327682:UOQ327682 UYL327682:UYM327682 VIH327682:VII327682 VSD327682:VSE327682 WBZ327682:WCA327682 WLV327682:WLW327682 WVR327682:WVS327682 D393218:E393218 JF393218:JG393218 TB393218:TC393218 ACX393218:ACY393218 AMT393218:AMU393218 AWP393218:AWQ393218 BGL393218:BGM393218 BQH393218:BQI393218 CAD393218:CAE393218 CJZ393218:CKA393218 CTV393218:CTW393218 DDR393218:DDS393218 DNN393218:DNO393218 DXJ393218:DXK393218 EHF393218:EHG393218 ERB393218:ERC393218 FAX393218:FAY393218 FKT393218:FKU393218 FUP393218:FUQ393218 GEL393218:GEM393218 GOH393218:GOI393218 GYD393218:GYE393218 HHZ393218:HIA393218 HRV393218:HRW393218 IBR393218:IBS393218 ILN393218:ILO393218 IVJ393218:IVK393218 JFF393218:JFG393218 JPB393218:JPC393218 JYX393218:JYY393218 KIT393218:KIU393218 KSP393218:KSQ393218 LCL393218:LCM393218 LMH393218:LMI393218 LWD393218:LWE393218 MFZ393218:MGA393218 MPV393218:MPW393218 MZR393218:MZS393218 NJN393218:NJO393218 NTJ393218:NTK393218 ODF393218:ODG393218 ONB393218:ONC393218 OWX393218:OWY393218 PGT393218:PGU393218 PQP393218:PQQ393218 QAL393218:QAM393218 QKH393218:QKI393218 QUD393218:QUE393218 RDZ393218:REA393218 RNV393218:RNW393218 RXR393218:RXS393218 SHN393218:SHO393218 SRJ393218:SRK393218 TBF393218:TBG393218 TLB393218:TLC393218 TUX393218:TUY393218 UET393218:UEU393218 UOP393218:UOQ393218 UYL393218:UYM393218 VIH393218:VII393218 VSD393218:VSE393218 WBZ393218:WCA393218 WLV393218:WLW393218 WVR393218:WVS393218 D458754:E458754 JF458754:JG458754 TB458754:TC458754 ACX458754:ACY458754 AMT458754:AMU458754 AWP458754:AWQ458754 BGL458754:BGM458754 BQH458754:BQI458754 CAD458754:CAE458754 CJZ458754:CKA458754 CTV458754:CTW458754 DDR458754:DDS458754 DNN458754:DNO458754 DXJ458754:DXK458754 EHF458754:EHG458754 ERB458754:ERC458754 FAX458754:FAY458754 FKT458754:FKU458754 FUP458754:FUQ458754 GEL458754:GEM458754 GOH458754:GOI458754 GYD458754:GYE458754 HHZ458754:HIA458754 HRV458754:HRW458754 IBR458754:IBS458754 ILN458754:ILO458754 IVJ458754:IVK458754 JFF458754:JFG458754 JPB458754:JPC458754 JYX458754:JYY458754 KIT458754:KIU458754 KSP458754:KSQ458754 LCL458754:LCM458754 LMH458754:LMI458754 LWD458754:LWE458754 MFZ458754:MGA458754 MPV458754:MPW458754 MZR458754:MZS458754 NJN458754:NJO458754 NTJ458754:NTK458754 ODF458754:ODG458754 ONB458754:ONC458754 OWX458754:OWY458754 PGT458754:PGU458754 PQP458754:PQQ458754 QAL458754:QAM458754 QKH458754:QKI458754 QUD458754:QUE458754 RDZ458754:REA458754 RNV458754:RNW458754 RXR458754:RXS458754 SHN458754:SHO458754 SRJ458754:SRK458754 TBF458754:TBG458754 TLB458754:TLC458754 TUX458754:TUY458754 UET458754:UEU458754 UOP458754:UOQ458754 UYL458754:UYM458754 VIH458754:VII458754 VSD458754:VSE458754 WBZ458754:WCA458754 WLV458754:WLW458754 WVR458754:WVS458754 D524290:E524290 JF524290:JG524290 TB524290:TC524290 ACX524290:ACY524290 AMT524290:AMU524290 AWP524290:AWQ524290 BGL524290:BGM524290 BQH524290:BQI524290 CAD524290:CAE524290 CJZ524290:CKA524290 CTV524290:CTW524290 DDR524290:DDS524290 DNN524290:DNO524290 DXJ524290:DXK524290 EHF524290:EHG524290 ERB524290:ERC524290 FAX524290:FAY524290 FKT524290:FKU524290 FUP524290:FUQ524290 GEL524290:GEM524290 GOH524290:GOI524290 GYD524290:GYE524290 HHZ524290:HIA524290 HRV524290:HRW524290 IBR524290:IBS524290 ILN524290:ILO524290 IVJ524290:IVK524290 JFF524290:JFG524290 JPB524290:JPC524290 JYX524290:JYY524290 KIT524290:KIU524290 KSP524290:KSQ524290 LCL524290:LCM524290 LMH524290:LMI524290 LWD524290:LWE524290 MFZ524290:MGA524290 MPV524290:MPW524290 MZR524290:MZS524290 NJN524290:NJO524290 NTJ524290:NTK524290 ODF524290:ODG524290 ONB524290:ONC524290 OWX524290:OWY524290 PGT524290:PGU524290 PQP524290:PQQ524290 QAL524290:QAM524290 QKH524290:QKI524290 QUD524290:QUE524290 RDZ524290:REA524290 RNV524290:RNW524290 RXR524290:RXS524290 SHN524290:SHO524290 SRJ524290:SRK524290 TBF524290:TBG524290 TLB524290:TLC524290 TUX524290:TUY524290 UET524290:UEU524290 UOP524290:UOQ524290 UYL524290:UYM524290 VIH524290:VII524290 VSD524290:VSE524290 WBZ524290:WCA524290 WLV524290:WLW524290 WVR524290:WVS524290 D589826:E589826 JF589826:JG589826 TB589826:TC589826 ACX589826:ACY589826 AMT589826:AMU589826 AWP589826:AWQ589826 BGL589826:BGM589826 BQH589826:BQI589826 CAD589826:CAE589826 CJZ589826:CKA589826 CTV589826:CTW589826 DDR589826:DDS589826 DNN589826:DNO589826 DXJ589826:DXK589826 EHF589826:EHG589826 ERB589826:ERC589826 FAX589826:FAY589826 FKT589826:FKU589826 FUP589826:FUQ589826 GEL589826:GEM589826 GOH589826:GOI589826 GYD589826:GYE589826 HHZ589826:HIA589826 HRV589826:HRW589826 IBR589826:IBS589826 ILN589826:ILO589826 IVJ589826:IVK589826 JFF589826:JFG589826 JPB589826:JPC589826 JYX589826:JYY589826 KIT589826:KIU589826 KSP589826:KSQ589826 LCL589826:LCM589826 LMH589826:LMI589826 LWD589826:LWE589826 MFZ589826:MGA589826 MPV589826:MPW589826 MZR589826:MZS589826 NJN589826:NJO589826 NTJ589826:NTK589826 ODF589826:ODG589826 ONB589826:ONC589826 OWX589826:OWY589826 PGT589826:PGU589826 PQP589826:PQQ589826 QAL589826:QAM589826 QKH589826:QKI589826 QUD589826:QUE589826 RDZ589826:REA589826 RNV589826:RNW589826 RXR589826:RXS589826 SHN589826:SHO589826 SRJ589826:SRK589826 TBF589826:TBG589826 TLB589826:TLC589826 TUX589826:TUY589826 UET589826:UEU589826 UOP589826:UOQ589826 UYL589826:UYM589826 VIH589826:VII589826 VSD589826:VSE589826 WBZ589826:WCA589826 WLV589826:WLW589826 WVR589826:WVS589826 D655362:E655362 JF655362:JG655362 TB655362:TC655362 ACX655362:ACY655362 AMT655362:AMU655362 AWP655362:AWQ655362 BGL655362:BGM655362 BQH655362:BQI655362 CAD655362:CAE655362 CJZ655362:CKA655362 CTV655362:CTW655362 DDR655362:DDS655362 DNN655362:DNO655362 DXJ655362:DXK655362 EHF655362:EHG655362 ERB655362:ERC655362 FAX655362:FAY655362 FKT655362:FKU655362 FUP655362:FUQ655362 GEL655362:GEM655362 GOH655362:GOI655362 GYD655362:GYE655362 HHZ655362:HIA655362 HRV655362:HRW655362 IBR655362:IBS655362 ILN655362:ILO655362 IVJ655362:IVK655362 JFF655362:JFG655362 JPB655362:JPC655362 JYX655362:JYY655362 KIT655362:KIU655362 KSP655362:KSQ655362 LCL655362:LCM655362 LMH655362:LMI655362 LWD655362:LWE655362 MFZ655362:MGA655362 MPV655362:MPW655362 MZR655362:MZS655362 NJN655362:NJO655362 NTJ655362:NTK655362 ODF655362:ODG655362 ONB655362:ONC655362 OWX655362:OWY655362 PGT655362:PGU655362 PQP655362:PQQ655362 QAL655362:QAM655362 QKH655362:QKI655362 QUD655362:QUE655362 RDZ655362:REA655362 RNV655362:RNW655362 RXR655362:RXS655362 SHN655362:SHO655362 SRJ655362:SRK655362 TBF655362:TBG655362 TLB655362:TLC655362 TUX655362:TUY655362 UET655362:UEU655362 UOP655362:UOQ655362 UYL655362:UYM655362 VIH655362:VII655362 VSD655362:VSE655362 WBZ655362:WCA655362 WLV655362:WLW655362 WVR655362:WVS655362 D720898:E720898 JF720898:JG720898 TB720898:TC720898 ACX720898:ACY720898 AMT720898:AMU720898 AWP720898:AWQ720898 BGL720898:BGM720898 BQH720898:BQI720898 CAD720898:CAE720898 CJZ720898:CKA720898 CTV720898:CTW720898 DDR720898:DDS720898 DNN720898:DNO720898 DXJ720898:DXK720898 EHF720898:EHG720898 ERB720898:ERC720898 FAX720898:FAY720898 FKT720898:FKU720898 FUP720898:FUQ720898 GEL720898:GEM720898 GOH720898:GOI720898 GYD720898:GYE720898 HHZ720898:HIA720898 HRV720898:HRW720898 IBR720898:IBS720898 ILN720898:ILO720898 IVJ720898:IVK720898 JFF720898:JFG720898 JPB720898:JPC720898 JYX720898:JYY720898 KIT720898:KIU720898 KSP720898:KSQ720898 LCL720898:LCM720898 LMH720898:LMI720898 LWD720898:LWE720898 MFZ720898:MGA720898 MPV720898:MPW720898 MZR720898:MZS720898 NJN720898:NJO720898 NTJ720898:NTK720898 ODF720898:ODG720898 ONB720898:ONC720898 OWX720898:OWY720898 PGT720898:PGU720898 PQP720898:PQQ720898 QAL720898:QAM720898 QKH720898:QKI720898 QUD720898:QUE720898 RDZ720898:REA720898 RNV720898:RNW720898 RXR720898:RXS720898 SHN720898:SHO720898 SRJ720898:SRK720898 TBF720898:TBG720898 TLB720898:TLC720898 TUX720898:TUY720898 UET720898:UEU720898 UOP720898:UOQ720898 UYL720898:UYM720898 VIH720898:VII720898 VSD720898:VSE720898 WBZ720898:WCA720898 WLV720898:WLW720898 WVR720898:WVS720898 D786434:E786434 JF786434:JG786434 TB786434:TC786434 ACX786434:ACY786434 AMT786434:AMU786434 AWP786434:AWQ786434 BGL786434:BGM786434 BQH786434:BQI786434 CAD786434:CAE786434 CJZ786434:CKA786434 CTV786434:CTW786434 DDR786434:DDS786434 DNN786434:DNO786434 DXJ786434:DXK786434 EHF786434:EHG786434 ERB786434:ERC786434 FAX786434:FAY786434 FKT786434:FKU786434 FUP786434:FUQ786434 GEL786434:GEM786434 GOH786434:GOI786434 GYD786434:GYE786434 HHZ786434:HIA786434 HRV786434:HRW786434 IBR786434:IBS786434 ILN786434:ILO786434 IVJ786434:IVK786434 JFF786434:JFG786434 JPB786434:JPC786434 JYX786434:JYY786434 KIT786434:KIU786434 KSP786434:KSQ786434 LCL786434:LCM786434 LMH786434:LMI786434 LWD786434:LWE786434 MFZ786434:MGA786434 MPV786434:MPW786434 MZR786434:MZS786434 NJN786434:NJO786434 NTJ786434:NTK786434 ODF786434:ODG786434 ONB786434:ONC786434 OWX786434:OWY786434 PGT786434:PGU786434 PQP786434:PQQ786434 QAL786434:QAM786434 QKH786434:QKI786434 QUD786434:QUE786434 RDZ786434:REA786434 RNV786434:RNW786434 RXR786434:RXS786434 SHN786434:SHO786434 SRJ786434:SRK786434 TBF786434:TBG786434 TLB786434:TLC786434 TUX786434:TUY786434 UET786434:UEU786434 UOP786434:UOQ786434 UYL786434:UYM786434 VIH786434:VII786434 VSD786434:VSE786434 WBZ786434:WCA786434 WLV786434:WLW786434 WVR786434:WVS786434 D851970:E851970 JF851970:JG851970 TB851970:TC851970 ACX851970:ACY851970 AMT851970:AMU851970 AWP851970:AWQ851970 BGL851970:BGM851970 BQH851970:BQI851970 CAD851970:CAE851970 CJZ851970:CKA851970 CTV851970:CTW851970 DDR851970:DDS851970 DNN851970:DNO851970 DXJ851970:DXK851970 EHF851970:EHG851970 ERB851970:ERC851970 FAX851970:FAY851970 FKT851970:FKU851970 FUP851970:FUQ851970 GEL851970:GEM851970 GOH851970:GOI851970 GYD851970:GYE851970 HHZ851970:HIA851970 HRV851970:HRW851970 IBR851970:IBS851970 ILN851970:ILO851970 IVJ851970:IVK851970 JFF851970:JFG851970 JPB851970:JPC851970 JYX851970:JYY851970 KIT851970:KIU851970 KSP851970:KSQ851970 LCL851970:LCM851970 LMH851970:LMI851970 LWD851970:LWE851970 MFZ851970:MGA851970 MPV851970:MPW851970 MZR851970:MZS851970 NJN851970:NJO851970 NTJ851970:NTK851970 ODF851970:ODG851970 ONB851970:ONC851970 OWX851970:OWY851970 PGT851970:PGU851970 PQP851970:PQQ851970 QAL851970:QAM851970 QKH851970:QKI851970 QUD851970:QUE851970 RDZ851970:REA851970 RNV851970:RNW851970 RXR851970:RXS851970 SHN851970:SHO851970 SRJ851970:SRK851970 TBF851970:TBG851970 TLB851970:TLC851970 TUX851970:TUY851970 UET851970:UEU851970 UOP851970:UOQ851970 UYL851970:UYM851970 VIH851970:VII851970 VSD851970:VSE851970 WBZ851970:WCA851970 WLV851970:WLW851970 WVR851970:WVS851970 D917506:E917506 JF917506:JG917506 TB917506:TC917506 ACX917506:ACY917506 AMT917506:AMU917506 AWP917506:AWQ917506 BGL917506:BGM917506 BQH917506:BQI917506 CAD917506:CAE917506 CJZ917506:CKA917506 CTV917506:CTW917506 DDR917506:DDS917506 DNN917506:DNO917506 DXJ917506:DXK917506 EHF917506:EHG917506 ERB917506:ERC917506 FAX917506:FAY917506 FKT917506:FKU917506 FUP917506:FUQ917506 GEL917506:GEM917506 GOH917506:GOI917506 GYD917506:GYE917506 HHZ917506:HIA917506 HRV917506:HRW917506 IBR917506:IBS917506 ILN917506:ILO917506 IVJ917506:IVK917506 JFF917506:JFG917506 JPB917506:JPC917506 JYX917506:JYY917506 KIT917506:KIU917506 KSP917506:KSQ917506 LCL917506:LCM917506 LMH917506:LMI917506 LWD917506:LWE917506 MFZ917506:MGA917506 MPV917506:MPW917506 MZR917506:MZS917506 NJN917506:NJO917506 NTJ917506:NTK917506 ODF917506:ODG917506 ONB917506:ONC917506 OWX917506:OWY917506 PGT917506:PGU917506 PQP917506:PQQ917506 QAL917506:QAM917506 QKH917506:QKI917506 QUD917506:QUE917506 RDZ917506:REA917506 RNV917506:RNW917506 RXR917506:RXS917506 SHN917506:SHO917506 SRJ917506:SRK917506 TBF917506:TBG917506 TLB917506:TLC917506 TUX917506:TUY917506 UET917506:UEU917506 UOP917506:UOQ917506 UYL917506:UYM917506 VIH917506:VII917506 VSD917506:VSE917506 WBZ917506:WCA917506 WLV917506:WLW917506 WVR917506:WVS917506 D983042:E983042 JF983042:JG983042 TB983042:TC983042 ACX983042:ACY983042 AMT983042:AMU983042 AWP983042:AWQ983042 BGL983042:BGM983042 BQH983042:BQI983042 CAD983042:CAE983042 CJZ983042:CKA983042 CTV983042:CTW983042 DDR983042:DDS983042 DNN983042:DNO983042 DXJ983042:DXK983042 EHF983042:EHG983042 ERB983042:ERC983042 FAX983042:FAY983042 FKT983042:FKU983042 FUP983042:FUQ983042 GEL983042:GEM983042 GOH983042:GOI983042 GYD983042:GYE983042 HHZ983042:HIA983042 HRV983042:HRW983042 IBR983042:IBS983042 ILN983042:ILO983042 IVJ983042:IVK983042 JFF983042:JFG983042 JPB983042:JPC983042 JYX983042:JYY983042 KIT983042:KIU983042 KSP983042:KSQ983042 LCL983042:LCM983042 LMH983042:LMI983042 LWD983042:LWE983042 MFZ983042:MGA983042 MPV983042:MPW983042 MZR983042:MZS983042 NJN983042:NJO983042 NTJ983042:NTK983042 ODF983042:ODG983042 ONB983042:ONC983042 OWX983042:OWY983042 PGT983042:PGU983042 PQP983042:PQQ983042 QAL983042:QAM983042 QKH983042:QKI983042 QUD983042:QUE983042 RDZ983042:REA983042 RNV983042:RNW983042 RXR983042:RXS983042 SHN983042:SHO983042 SRJ983042:SRK983042 TBF983042:TBG983042 TLB983042:TLC983042 TUX983042:TUY983042 UET983042:UEU983042 UOP983042:UOQ983042 UYL983042:UYM983042 VIH983042:VII983042 VSD983042:VSE983042 WBZ983042:WCA983042 WLV983042:WLW983042 WVR983042:WVS983042 C8 JI19:JJ33 TE19:TF33 ADA19:ADB33 AMW19:AMX33 AWS19:AWT33 BGO19:BGP33 BQK19:BQL33 CAG19:CAH33 CKC19:CKD33 CTY19:CTZ33 DDU19:DDV33 DNQ19:DNR33 DXM19:DXN33 EHI19:EHJ33 ERE19:ERF33 FBA19:FBB33 FKW19:FKX33 FUS19:FUT33 GEO19:GEP33 GOK19:GOL33 GYG19:GYH33 HIC19:HID33 HRY19:HRZ33 IBU19:IBV33 ILQ19:ILR33 IVM19:IVN33 JFI19:JFJ33 JPE19:JPF33 JZA19:JZB33 KIW19:KIX33 KSS19:KST33 LCO19:LCP33 LMK19:LML33 LWG19:LWH33 MGC19:MGD33 MPY19:MPZ33 MZU19:MZV33 NJQ19:NJR33 NTM19:NTN33 ODI19:ODJ33 ONE19:ONF33 OXA19:OXB33 PGW19:PGX33 PQS19:PQT33 QAO19:QAP33 QKK19:QKL33 QUG19:QUH33 REC19:RED33 RNY19:RNZ33 RXU19:RXV33 SHQ19:SHR33 SRM19:SRN33 TBI19:TBJ33 TLE19:TLF33 TVA19:TVB33 UEW19:UEX33 UOS19:UOT33 UYO19:UYP33 VIK19:VIL33 VSG19:VSH33 WCC19:WCD33 WLY19:WLZ33 WVU19:WVV33 G65544:H65558 JI65544:JJ65558 TE65544:TF65558 ADA65544:ADB65558 AMW65544:AMX65558 AWS65544:AWT65558 BGO65544:BGP65558 BQK65544:BQL65558 CAG65544:CAH65558 CKC65544:CKD65558 CTY65544:CTZ65558 DDU65544:DDV65558 DNQ65544:DNR65558 DXM65544:DXN65558 EHI65544:EHJ65558 ERE65544:ERF65558 FBA65544:FBB65558 FKW65544:FKX65558 FUS65544:FUT65558 GEO65544:GEP65558 GOK65544:GOL65558 GYG65544:GYH65558 HIC65544:HID65558 HRY65544:HRZ65558 IBU65544:IBV65558 ILQ65544:ILR65558 IVM65544:IVN65558 JFI65544:JFJ65558 JPE65544:JPF65558 JZA65544:JZB65558 KIW65544:KIX65558 KSS65544:KST65558 LCO65544:LCP65558 LMK65544:LML65558 LWG65544:LWH65558 MGC65544:MGD65558 MPY65544:MPZ65558 MZU65544:MZV65558 NJQ65544:NJR65558 NTM65544:NTN65558 ODI65544:ODJ65558 ONE65544:ONF65558 OXA65544:OXB65558 PGW65544:PGX65558 PQS65544:PQT65558 QAO65544:QAP65558 QKK65544:QKL65558 QUG65544:QUH65558 REC65544:RED65558 RNY65544:RNZ65558 RXU65544:RXV65558 SHQ65544:SHR65558 SRM65544:SRN65558 TBI65544:TBJ65558 TLE65544:TLF65558 TVA65544:TVB65558 UEW65544:UEX65558 UOS65544:UOT65558 UYO65544:UYP65558 VIK65544:VIL65558 VSG65544:VSH65558 WCC65544:WCD65558 WLY65544:WLZ65558 WVU65544:WVV65558 G131080:H131094 JI131080:JJ131094 TE131080:TF131094 ADA131080:ADB131094 AMW131080:AMX131094 AWS131080:AWT131094 BGO131080:BGP131094 BQK131080:BQL131094 CAG131080:CAH131094 CKC131080:CKD131094 CTY131080:CTZ131094 DDU131080:DDV131094 DNQ131080:DNR131094 DXM131080:DXN131094 EHI131080:EHJ131094 ERE131080:ERF131094 FBA131080:FBB131094 FKW131080:FKX131094 FUS131080:FUT131094 GEO131080:GEP131094 GOK131080:GOL131094 GYG131080:GYH131094 HIC131080:HID131094 HRY131080:HRZ131094 IBU131080:IBV131094 ILQ131080:ILR131094 IVM131080:IVN131094 JFI131080:JFJ131094 JPE131080:JPF131094 JZA131080:JZB131094 KIW131080:KIX131094 KSS131080:KST131094 LCO131080:LCP131094 LMK131080:LML131094 LWG131080:LWH131094 MGC131080:MGD131094 MPY131080:MPZ131094 MZU131080:MZV131094 NJQ131080:NJR131094 NTM131080:NTN131094 ODI131080:ODJ131094 ONE131080:ONF131094 OXA131080:OXB131094 PGW131080:PGX131094 PQS131080:PQT131094 QAO131080:QAP131094 QKK131080:QKL131094 QUG131080:QUH131094 REC131080:RED131094 RNY131080:RNZ131094 RXU131080:RXV131094 SHQ131080:SHR131094 SRM131080:SRN131094 TBI131080:TBJ131094 TLE131080:TLF131094 TVA131080:TVB131094 UEW131080:UEX131094 UOS131080:UOT131094 UYO131080:UYP131094 VIK131080:VIL131094 VSG131080:VSH131094 WCC131080:WCD131094 WLY131080:WLZ131094 WVU131080:WVV131094 G196616:H196630 JI196616:JJ196630 TE196616:TF196630 ADA196616:ADB196630 AMW196616:AMX196630 AWS196616:AWT196630 BGO196616:BGP196630 BQK196616:BQL196630 CAG196616:CAH196630 CKC196616:CKD196630 CTY196616:CTZ196630 DDU196616:DDV196630 DNQ196616:DNR196630 DXM196616:DXN196630 EHI196616:EHJ196630 ERE196616:ERF196630 FBA196616:FBB196630 FKW196616:FKX196630 FUS196616:FUT196630 GEO196616:GEP196630 GOK196616:GOL196630 GYG196616:GYH196630 HIC196616:HID196630 HRY196616:HRZ196630 IBU196616:IBV196630 ILQ196616:ILR196630 IVM196616:IVN196630 JFI196616:JFJ196630 JPE196616:JPF196630 JZA196616:JZB196630 KIW196616:KIX196630 KSS196616:KST196630 LCO196616:LCP196630 LMK196616:LML196630 LWG196616:LWH196630 MGC196616:MGD196630 MPY196616:MPZ196630 MZU196616:MZV196630 NJQ196616:NJR196630 NTM196616:NTN196630 ODI196616:ODJ196630 ONE196616:ONF196630 OXA196616:OXB196630 PGW196616:PGX196630 PQS196616:PQT196630 QAO196616:QAP196630 QKK196616:QKL196630 QUG196616:QUH196630 REC196616:RED196630 RNY196616:RNZ196630 RXU196616:RXV196630 SHQ196616:SHR196630 SRM196616:SRN196630 TBI196616:TBJ196630 TLE196616:TLF196630 TVA196616:TVB196630 UEW196616:UEX196630 UOS196616:UOT196630 UYO196616:UYP196630 VIK196616:VIL196630 VSG196616:VSH196630 WCC196616:WCD196630 WLY196616:WLZ196630 WVU196616:WVV196630 G262152:H262166 JI262152:JJ262166 TE262152:TF262166 ADA262152:ADB262166 AMW262152:AMX262166 AWS262152:AWT262166 BGO262152:BGP262166 BQK262152:BQL262166 CAG262152:CAH262166 CKC262152:CKD262166 CTY262152:CTZ262166 DDU262152:DDV262166 DNQ262152:DNR262166 DXM262152:DXN262166 EHI262152:EHJ262166 ERE262152:ERF262166 FBA262152:FBB262166 FKW262152:FKX262166 FUS262152:FUT262166 GEO262152:GEP262166 GOK262152:GOL262166 GYG262152:GYH262166 HIC262152:HID262166 HRY262152:HRZ262166 IBU262152:IBV262166 ILQ262152:ILR262166 IVM262152:IVN262166 JFI262152:JFJ262166 JPE262152:JPF262166 JZA262152:JZB262166 KIW262152:KIX262166 KSS262152:KST262166 LCO262152:LCP262166 LMK262152:LML262166 LWG262152:LWH262166 MGC262152:MGD262166 MPY262152:MPZ262166 MZU262152:MZV262166 NJQ262152:NJR262166 NTM262152:NTN262166 ODI262152:ODJ262166 ONE262152:ONF262166 OXA262152:OXB262166 PGW262152:PGX262166 PQS262152:PQT262166 QAO262152:QAP262166 QKK262152:QKL262166 QUG262152:QUH262166 REC262152:RED262166 RNY262152:RNZ262166 RXU262152:RXV262166 SHQ262152:SHR262166 SRM262152:SRN262166 TBI262152:TBJ262166 TLE262152:TLF262166 TVA262152:TVB262166 UEW262152:UEX262166 UOS262152:UOT262166 UYO262152:UYP262166 VIK262152:VIL262166 VSG262152:VSH262166 WCC262152:WCD262166 WLY262152:WLZ262166 WVU262152:WVV262166 G327688:H327702 JI327688:JJ327702 TE327688:TF327702 ADA327688:ADB327702 AMW327688:AMX327702 AWS327688:AWT327702 BGO327688:BGP327702 BQK327688:BQL327702 CAG327688:CAH327702 CKC327688:CKD327702 CTY327688:CTZ327702 DDU327688:DDV327702 DNQ327688:DNR327702 DXM327688:DXN327702 EHI327688:EHJ327702 ERE327688:ERF327702 FBA327688:FBB327702 FKW327688:FKX327702 FUS327688:FUT327702 GEO327688:GEP327702 GOK327688:GOL327702 GYG327688:GYH327702 HIC327688:HID327702 HRY327688:HRZ327702 IBU327688:IBV327702 ILQ327688:ILR327702 IVM327688:IVN327702 JFI327688:JFJ327702 JPE327688:JPF327702 JZA327688:JZB327702 KIW327688:KIX327702 KSS327688:KST327702 LCO327688:LCP327702 LMK327688:LML327702 LWG327688:LWH327702 MGC327688:MGD327702 MPY327688:MPZ327702 MZU327688:MZV327702 NJQ327688:NJR327702 NTM327688:NTN327702 ODI327688:ODJ327702 ONE327688:ONF327702 OXA327688:OXB327702 PGW327688:PGX327702 PQS327688:PQT327702 QAO327688:QAP327702 QKK327688:QKL327702 QUG327688:QUH327702 REC327688:RED327702 RNY327688:RNZ327702 RXU327688:RXV327702 SHQ327688:SHR327702 SRM327688:SRN327702 TBI327688:TBJ327702 TLE327688:TLF327702 TVA327688:TVB327702 UEW327688:UEX327702 UOS327688:UOT327702 UYO327688:UYP327702 VIK327688:VIL327702 VSG327688:VSH327702 WCC327688:WCD327702 WLY327688:WLZ327702 WVU327688:WVV327702 G393224:H393238 JI393224:JJ393238 TE393224:TF393238 ADA393224:ADB393238 AMW393224:AMX393238 AWS393224:AWT393238 BGO393224:BGP393238 BQK393224:BQL393238 CAG393224:CAH393238 CKC393224:CKD393238 CTY393224:CTZ393238 DDU393224:DDV393238 DNQ393224:DNR393238 DXM393224:DXN393238 EHI393224:EHJ393238 ERE393224:ERF393238 FBA393224:FBB393238 FKW393224:FKX393238 FUS393224:FUT393238 GEO393224:GEP393238 GOK393224:GOL393238 GYG393224:GYH393238 HIC393224:HID393238 HRY393224:HRZ393238 IBU393224:IBV393238 ILQ393224:ILR393238 IVM393224:IVN393238 JFI393224:JFJ393238 JPE393224:JPF393238 JZA393224:JZB393238 KIW393224:KIX393238 KSS393224:KST393238 LCO393224:LCP393238 LMK393224:LML393238 LWG393224:LWH393238 MGC393224:MGD393238 MPY393224:MPZ393238 MZU393224:MZV393238 NJQ393224:NJR393238 NTM393224:NTN393238 ODI393224:ODJ393238 ONE393224:ONF393238 OXA393224:OXB393238 PGW393224:PGX393238 PQS393224:PQT393238 QAO393224:QAP393238 QKK393224:QKL393238 QUG393224:QUH393238 REC393224:RED393238 RNY393224:RNZ393238 RXU393224:RXV393238 SHQ393224:SHR393238 SRM393224:SRN393238 TBI393224:TBJ393238 TLE393224:TLF393238 TVA393224:TVB393238 UEW393224:UEX393238 UOS393224:UOT393238 UYO393224:UYP393238 VIK393224:VIL393238 VSG393224:VSH393238 WCC393224:WCD393238 WLY393224:WLZ393238 WVU393224:WVV393238 G458760:H458774 JI458760:JJ458774 TE458760:TF458774 ADA458760:ADB458774 AMW458760:AMX458774 AWS458760:AWT458774 BGO458760:BGP458774 BQK458760:BQL458774 CAG458760:CAH458774 CKC458760:CKD458774 CTY458760:CTZ458774 DDU458760:DDV458774 DNQ458760:DNR458774 DXM458760:DXN458774 EHI458760:EHJ458774 ERE458760:ERF458774 FBA458760:FBB458774 FKW458760:FKX458774 FUS458760:FUT458774 GEO458760:GEP458774 GOK458760:GOL458774 GYG458760:GYH458774 HIC458760:HID458774 HRY458760:HRZ458774 IBU458760:IBV458774 ILQ458760:ILR458774 IVM458760:IVN458774 JFI458760:JFJ458774 JPE458760:JPF458774 JZA458760:JZB458774 KIW458760:KIX458774 KSS458760:KST458774 LCO458760:LCP458774 LMK458760:LML458774 LWG458760:LWH458774 MGC458760:MGD458774 MPY458760:MPZ458774 MZU458760:MZV458774 NJQ458760:NJR458774 NTM458760:NTN458774 ODI458760:ODJ458774 ONE458760:ONF458774 OXA458760:OXB458774 PGW458760:PGX458774 PQS458760:PQT458774 QAO458760:QAP458774 QKK458760:QKL458774 QUG458760:QUH458774 REC458760:RED458774 RNY458760:RNZ458774 RXU458760:RXV458774 SHQ458760:SHR458774 SRM458760:SRN458774 TBI458760:TBJ458774 TLE458760:TLF458774 TVA458760:TVB458774 UEW458760:UEX458774 UOS458760:UOT458774 UYO458760:UYP458774 VIK458760:VIL458774 VSG458760:VSH458774 WCC458760:WCD458774 WLY458760:WLZ458774 WVU458760:WVV458774 G524296:H524310 JI524296:JJ524310 TE524296:TF524310 ADA524296:ADB524310 AMW524296:AMX524310 AWS524296:AWT524310 BGO524296:BGP524310 BQK524296:BQL524310 CAG524296:CAH524310 CKC524296:CKD524310 CTY524296:CTZ524310 DDU524296:DDV524310 DNQ524296:DNR524310 DXM524296:DXN524310 EHI524296:EHJ524310 ERE524296:ERF524310 FBA524296:FBB524310 FKW524296:FKX524310 FUS524296:FUT524310 GEO524296:GEP524310 GOK524296:GOL524310 GYG524296:GYH524310 HIC524296:HID524310 HRY524296:HRZ524310 IBU524296:IBV524310 ILQ524296:ILR524310 IVM524296:IVN524310 JFI524296:JFJ524310 JPE524296:JPF524310 JZA524296:JZB524310 KIW524296:KIX524310 KSS524296:KST524310 LCO524296:LCP524310 LMK524296:LML524310 LWG524296:LWH524310 MGC524296:MGD524310 MPY524296:MPZ524310 MZU524296:MZV524310 NJQ524296:NJR524310 NTM524296:NTN524310 ODI524296:ODJ524310 ONE524296:ONF524310 OXA524296:OXB524310 PGW524296:PGX524310 PQS524296:PQT524310 QAO524296:QAP524310 QKK524296:QKL524310 QUG524296:QUH524310 REC524296:RED524310 RNY524296:RNZ524310 RXU524296:RXV524310 SHQ524296:SHR524310 SRM524296:SRN524310 TBI524296:TBJ524310 TLE524296:TLF524310 TVA524296:TVB524310 UEW524296:UEX524310 UOS524296:UOT524310 UYO524296:UYP524310 VIK524296:VIL524310 VSG524296:VSH524310 WCC524296:WCD524310 WLY524296:WLZ524310 WVU524296:WVV524310 G589832:H589846 JI589832:JJ589846 TE589832:TF589846 ADA589832:ADB589846 AMW589832:AMX589846 AWS589832:AWT589846 BGO589832:BGP589846 BQK589832:BQL589846 CAG589832:CAH589846 CKC589832:CKD589846 CTY589832:CTZ589846 DDU589832:DDV589846 DNQ589832:DNR589846 DXM589832:DXN589846 EHI589832:EHJ589846 ERE589832:ERF589846 FBA589832:FBB589846 FKW589832:FKX589846 FUS589832:FUT589846 GEO589832:GEP589846 GOK589832:GOL589846 GYG589832:GYH589846 HIC589832:HID589846 HRY589832:HRZ589846 IBU589832:IBV589846 ILQ589832:ILR589846 IVM589832:IVN589846 JFI589832:JFJ589846 JPE589832:JPF589846 JZA589832:JZB589846 KIW589832:KIX589846 KSS589832:KST589846 LCO589832:LCP589846 LMK589832:LML589846 LWG589832:LWH589846 MGC589832:MGD589846 MPY589832:MPZ589846 MZU589832:MZV589846 NJQ589832:NJR589846 NTM589832:NTN589846 ODI589832:ODJ589846 ONE589832:ONF589846 OXA589832:OXB589846 PGW589832:PGX589846 PQS589832:PQT589846 QAO589832:QAP589846 QKK589832:QKL589846 QUG589832:QUH589846 REC589832:RED589846 RNY589832:RNZ589846 RXU589832:RXV589846 SHQ589832:SHR589846 SRM589832:SRN589846 TBI589832:TBJ589846 TLE589832:TLF589846 TVA589832:TVB589846 UEW589832:UEX589846 UOS589832:UOT589846 UYO589832:UYP589846 VIK589832:VIL589846 VSG589832:VSH589846 WCC589832:WCD589846 WLY589832:WLZ589846 WVU589832:WVV589846 G655368:H655382 JI655368:JJ655382 TE655368:TF655382 ADA655368:ADB655382 AMW655368:AMX655382 AWS655368:AWT655382 BGO655368:BGP655382 BQK655368:BQL655382 CAG655368:CAH655382 CKC655368:CKD655382 CTY655368:CTZ655382 DDU655368:DDV655382 DNQ655368:DNR655382 DXM655368:DXN655382 EHI655368:EHJ655382 ERE655368:ERF655382 FBA655368:FBB655382 FKW655368:FKX655382 FUS655368:FUT655382 GEO655368:GEP655382 GOK655368:GOL655382 GYG655368:GYH655382 HIC655368:HID655382 HRY655368:HRZ655382 IBU655368:IBV655382 ILQ655368:ILR655382 IVM655368:IVN655382 JFI655368:JFJ655382 JPE655368:JPF655382 JZA655368:JZB655382 KIW655368:KIX655382 KSS655368:KST655382 LCO655368:LCP655382 LMK655368:LML655382 LWG655368:LWH655382 MGC655368:MGD655382 MPY655368:MPZ655382 MZU655368:MZV655382 NJQ655368:NJR655382 NTM655368:NTN655382 ODI655368:ODJ655382 ONE655368:ONF655382 OXA655368:OXB655382 PGW655368:PGX655382 PQS655368:PQT655382 QAO655368:QAP655382 QKK655368:QKL655382 QUG655368:QUH655382 REC655368:RED655382 RNY655368:RNZ655382 RXU655368:RXV655382 SHQ655368:SHR655382 SRM655368:SRN655382 TBI655368:TBJ655382 TLE655368:TLF655382 TVA655368:TVB655382 UEW655368:UEX655382 UOS655368:UOT655382 UYO655368:UYP655382 VIK655368:VIL655382 VSG655368:VSH655382 WCC655368:WCD655382 WLY655368:WLZ655382 WVU655368:WVV655382 G720904:H720918 JI720904:JJ720918 TE720904:TF720918 ADA720904:ADB720918 AMW720904:AMX720918 AWS720904:AWT720918 BGO720904:BGP720918 BQK720904:BQL720918 CAG720904:CAH720918 CKC720904:CKD720918 CTY720904:CTZ720918 DDU720904:DDV720918 DNQ720904:DNR720918 DXM720904:DXN720918 EHI720904:EHJ720918 ERE720904:ERF720918 FBA720904:FBB720918 FKW720904:FKX720918 FUS720904:FUT720918 GEO720904:GEP720918 GOK720904:GOL720918 GYG720904:GYH720918 HIC720904:HID720918 HRY720904:HRZ720918 IBU720904:IBV720918 ILQ720904:ILR720918 IVM720904:IVN720918 JFI720904:JFJ720918 JPE720904:JPF720918 JZA720904:JZB720918 KIW720904:KIX720918 KSS720904:KST720918 LCO720904:LCP720918 LMK720904:LML720918 LWG720904:LWH720918 MGC720904:MGD720918 MPY720904:MPZ720918 MZU720904:MZV720918 NJQ720904:NJR720918 NTM720904:NTN720918 ODI720904:ODJ720918 ONE720904:ONF720918 OXA720904:OXB720918 PGW720904:PGX720918 PQS720904:PQT720918 QAO720904:QAP720918 QKK720904:QKL720918 QUG720904:QUH720918 REC720904:RED720918 RNY720904:RNZ720918 RXU720904:RXV720918 SHQ720904:SHR720918 SRM720904:SRN720918 TBI720904:TBJ720918 TLE720904:TLF720918 TVA720904:TVB720918 UEW720904:UEX720918 UOS720904:UOT720918 UYO720904:UYP720918 VIK720904:VIL720918 VSG720904:VSH720918 WCC720904:WCD720918 WLY720904:WLZ720918 WVU720904:WVV720918 G786440:H786454 JI786440:JJ786454 TE786440:TF786454 ADA786440:ADB786454 AMW786440:AMX786454 AWS786440:AWT786454 BGO786440:BGP786454 BQK786440:BQL786454 CAG786440:CAH786454 CKC786440:CKD786454 CTY786440:CTZ786454 DDU786440:DDV786454 DNQ786440:DNR786454 DXM786440:DXN786454 EHI786440:EHJ786454 ERE786440:ERF786454 FBA786440:FBB786454 FKW786440:FKX786454 FUS786440:FUT786454 GEO786440:GEP786454 GOK786440:GOL786454 GYG786440:GYH786454 HIC786440:HID786454 HRY786440:HRZ786454 IBU786440:IBV786454 ILQ786440:ILR786454 IVM786440:IVN786454 JFI786440:JFJ786454 JPE786440:JPF786454 JZA786440:JZB786454 KIW786440:KIX786454 KSS786440:KST786454 LCO786440:LCP786454 LMK786440:LML786454 LWG786440:LWH786454 MGC786440:MGD786454 MPY786440:MPZ786454 MZU786440:MZV786454 NJQ786440:NJR786454 NTM786440:NTN786454 ODI786440:ODJ786454 ONE786440:ONF786454 OXA786440:OXB786454 PGW786440:PGX786454 PQS786440:PQT786454 QAO786440:QAP786454 QKK786440:QKL786454 QUG786440:QUH786454 REC786440:RED786454 RNY786440:RNZ786454 RXU786440:RXV786454 SHQ786440:SHR786454 SRM786440:SRN786454 TBI786440:TBJ786454 TLE786440:TLF786454 TVA786440:TVB786454 UEW786440:UEX786454 UOS786440:UOT786454 UYO786440:UYP786454 VIK786440:VIL786454 VSG786440:VSH786454 WCC786440:WCD786454 WLY786440:WLZ786454 WVU786440:WVV786454 G851976:H851990 JI851976:JJ851990 TE851976:TF851990 ADA851976:ADB851990 AMW851976:AMX851990 AWS851976:AWT851990 BGO851976:BGP851990 BQK851976:BQL851990 CAG851976:CAH851990 CKC851976:CKD851990 CTY851976:CTZ851990 DDU851976:DDV851990 DNQ851976:DNR851990 DXM851976:DXN851990 EHI851976:EHJ851990 ERE851976:ERF851990 FBA851976:FBB851990 FKW851976:FKX851990 FUS851976:FUT851990 GEO851976:GEP851990 GOK851976:GOL851990 GYG851976:GYH851990 HIC851976:HID851990 HRY851976:HRZ851990 IBU851976:IBV851990 ILQ851976:ILR851990 IVM851976:IVN851990 JFI851976:JFJ851990 JPE851976:JPF851990 JZA851976:JZB851990 KIW851976:KIX851990 KSS851976:KST851990 LCO851976:LCP851990 LMK851976:LML851990 LWG851976:LWH851990 MGC851976:MGD851990 MPY851976:MPZ851990 MZU851976:MZV851990 NJQ851976:NJR851990 NTM851976:NTN851990 ODI851976:ODJ851990 ONE851976:ONF851990 OXA851976:OXB851990 PGW851976:PGX851990 PQS851976:PQT851990 QAO851976:QAP851990 QKK851976:QKL851990 QUG851976:QUH851990 REC851976:RED851990 RNY851976:RNZ851990 RXU851976:RXV851990 SHQ851976:SHR851990 SRM851976:SRN851990 TBI851976:TBJ851990 TLE851976:TLF851990 TVA851976:TVB851990 UEW851976:UEX851990 UOS851976:UOT851990 UYO851976:UYP851990 VIK851976:VIL851990 VSG851976:VSH851990 WCC851976:WCD851990 WLY851976:WLZ851990 WVU851976:WVV851990 G917512:H917526 JI917512:JJ917526 TE917512:TF917526 ADA917512:ADB917526 AMW917512:AMX917526 AWS917512:AWT917526 BGO917512:BGP917526 BQK917512:BQL917526 CAG917512:CAH917526 CKC917512:CKD917526 CTY917512:CTZ917526 DDU917512:DDV917526 DNQ917512:DNR917526 DXM917512:DXN917526 EHI917512:EHJ917526 ERE917512:ERF917526 FBA917512:FBB917526 FKW917512:FKX917526 FUS917512:FUT917526 GEO917512:GEP917526 GOK917512:GOL917526 GYG917512:GYH917526 HIC917512:HID917526 HRY917512:HRZ917526 IBU917512:IBV917526 ILQ917512:ILR917526 IVM917512:IVN917526 JFI917512:JFJ917526 JPE917512:JPF917526 JZA917512:JZB917526 KIW917512:KIX917526 KSS917512:KST917526 LCO917512:LCP917526 LMK917512:LML917526 LWG917512:LWH917526 MGC917512:MGD917526 MPY917512:MPZ917526 MZU917512:MZV917526 NJQ917512:NJR917526 NTM917512:NTN917526 ODI917512:ODJ917526 ONE917512:ONF917526 OXA917512:OXB917526 PGW917512:PGX917526 PQS917512:PQT917526 QAO917512:QAP917526 QKK917512:QKL917526 QUG917512:QUH917526 REC917512:RED917526 RNY917512:RNZ917526 RXU917512:RXV917526 SHQ917512:SHR917526 SRM917512:SRN917526 TBI917512:TBJ917526 TLE917512:TLF917526 TVA917512:TVB917526 UEW917512:UEX917526 UOS917512:UOT917526 UYO917512:UYP917526 VIK917512:VIL917526 VSG917512:VSH917526 WCC917512:WCD917526 WLY917512:WLZ917526 WVU917512:WVV917526 G983048:H983062 JI983048:JJ983062 TE983048:TF983062 ADA983048:ADB983062 AMW983048:AMX983062 AWS983048:AWT983062 BGO983048:BGP983062 BQK983048:BQL983062 CAG983048:CAH983062 CKC983048:CKD983062 CTY983048:CTZ983062 DDU983048:DDV983062 DNQ983048:DNR983062 DXM983048:DXN983062 EHI983048:EHJ983062 ERE983048:ERF983062 FBA983048:FBB983062 FKW983048:FKX983062 FUS983048:FUT983062 GEO983048:GEP983062 GOK983048:GOL983062 GYG983048:GYH983062 HIC983048:HID983062 HRY983048:HRZ983062 IBU983048:IBV983062 ILQ983048:ILR983062 IVM983048:IVN983062 JFI983048:JFJ983062 JPE983048:JPF983062 JZA983048:JZB983062 KIW983048:KIX983062 KSS983048:KST983062 LCO983048:LCP983062 LMK983048:LML983062 LWG983048:LWH983062 MGC983048:MGD983062 MPY983048:MPZ983062 MZU983048:MZV983062 NJQ983048:NJR983062 NTM983048:NTN983062 ODI983048:ODJ983062 ONE983048:ONF983062 OXA983048:OXB983062 PGW983048:PGX983062 PQS983048:PQT983062 QAO983048:QAP983062 QKK983048:QKL983062 QUG983048:QUH983062 REC983048:RED983062 RNY983048:RNZ983062 RXU983048:RXV983062 SHQ983048:SHR983062 SRM983048:SRN983062 TBI983048:TBJ983062 TLE983048:TLF983062 TVA983048:TVB983062 UEW983048:UEX983062 UOS983048:UOT983062 UYO983048:UYP983062 VIK983048:VIL983062 VSG983048:VSH983062 WCC983048:WCD983062 WLY983048:WLZ983062 G19:H33" xr:uid="{8D64AB9F-C57D-4746-9072-CC7B132C503D}">
      <formula1>4</formula1>
    </dataValidation>
    <dataValidation type="textLength" operator="equal" allowBlank="1" showInputMessage="1" showErrorMessage="1" error="Company number must be 4 digits." sqref="A20:A33" xr:uid="{75792F3D-BC90-471F-9CBE-BEF8BADA4448}">
      <formula1>4</formula1>
    </dataValidation>
    <dataValidation type="whole" operator="notEqual" allowBlank="1" showInputMessage="1" showErrorMessage="1" errorTitle="Wrong Account" error="NCAS Account 438030 is NOT a transfer account. Contact your OSC analyst before proceeding._x000a_" sqref="C20:C34" xr:uid="{48BD0CCC-1A47-4DF5-B5D7-937D66FE0DB1}">
      <formula1>438030</formula1>
    </dataValidation>
  </dataValidations>
  <hyperlinks>
    <hyperlink ref="A41" r:id="rId1" xr:uid="{A012704D-4B60-4702-8DBC-FE22DF58B901}"/>
    <hyperlink ref="A1:Q1" location="Index!A1" display="Index!A1" xr:uid="{64E3F3C2-7E9A-4B8D-9379-A0BF63FEDE61}"/>
  </hyperlinks>
  <printOptions horizontalCentered="1"/>
  <pageMargins left="0.5" right="0.5" top="0.75" bottom="0.5" header="0.5" footer="0.5"/>
  <pageSetup scale="72" orientation="landscape" blackAndWhite="1" r:id="rId2"/>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8">
    <pageSetUpPr fitToPage="1"/>
  </sheetPr>
  <dimension ref="A1:Z170"/>
  <sheetViews>
    <sheetView showGridLines="0" zoomScaleNormal="100" workbookViewId="0">
      <selection sqref="A1:Q1"/>
    </sheetView>
  </sheetViews>
  <sheetFormatPr defaultRowHeight="15.75" x14ac:dyDescent="0.25"/>
  <cols>
    <col min="1" max="1" width="11.5703125" style="1755" customWidth="1"/>
    <col min="2" max="2" width="1.5703125" style="1755" customWidth="1"/>
    <col min="3" max="3" width="15.42578125" style="1755" customWidth="1"/>
    <col min="4" max="4" width="1.5703125" style="1755" customWidth="1"/>
    <col min="5" max="5" width="24" style="1755" customWidth="1"/>
    <col min="6" max="6" width="1.5703125" style="1755" customWidth="1"/>
    <col min="7" max="7" width="17.42578125" style="1755" customWidth="1"/>
    <col min="8" max="8" width="1.5703125" style="1755" customWidth="1"/>
    <col min="9" max="9" width="18.42578125" style="1755" customWidth="1"/>
    <col min="10" max="10" width="1.5703125" style="1755" customWidth="1"/>
    <col min="11" max="11" width="32.42578125" style="1755" customWidth="1"/>
    <col min="12" max="12" width="2.42578125" style="1755" customWidth="1"/>
    <col min="13" max="13" width="14.5703125" style="1755" customWidth="1"/>
    <col min="14" max="14" width="3" style="1755" customWidth="1"/>
    <col min="15" max="15" width="11" style="1755" customWidth="1"/>
    <col min="16" max="16" width="2.42578125" style="1755" customWidth="1"/>
    <col min="17" max="17" width="10.42578125" style="1755" customWidth="1"/>
    <col min="18" max="18" width="6.5703125" style="1755" customWidth="1"/>
    <col min="19" max="19" width="7" style="1755" hidden="1" customWidth="1"/>
    <col min="20" max="20" width="2" style="1755" hidden="1" customWidth="1"/>
    <col min="21" max="24" width="7" style="1755" hidden="1" customWidth="1"/>
    <col min="25" max="25" width="6.42578125" style="1755" hidden="1" customWidth="1"/>
    <col min="26" max="26" width="9.42578125" style="1755" hidden="1" customWidth="1"/>
    <col min="27" max="263" width="9.42578125" style="1755"/>
    <col min="264" max="264" width="0" style="1755" hidden="1" customWidth="1"/>
    <col min="265" max="265" width="15.42578125" style="1755" customWidth="1"/>
    <col min="266" max="266" width="1.5703125" style="1755" customWidth="1"/>
    <col min="267" max="267" width="22.5703125" style="1755" customWidth="1"/>
    <col min="268" max="268" width="1.5703125" style="1755" customWidth="1"/>
    <col min="269" max="269" width="17.42578125" style="1755" customWidth="1"/>
    <col min="270" max="270" width="1.5703125" style="1755" customWidth="1"/>
    <col min="271" max="271" width="14.42578125" style="1755" customWidth="1"/>
    <col min="272" max="272" width="1.5703125" style="1755" customWidth="1"/>
    <col min="273" max="273" width="28.5703125" style="1755" customWidth="1"/>
    <col min="274" max="274" width="4.5703125" style="1755" customWidth="1"/>
    <col min="275" max="281" width="0" style="1755" hidden="1" customWidth="1"/>
    <col min="282" max="519" width="9.42578125" style="1755"/>
    <col min="520" max="520" width="0" style="1755" hidden="1" customWidth="1"/>
    <col min="521" max="521" width="15.42578125" style="1755" customWidth="1"/>
    <col min="522" max="522" width="1.5703125" style="1755" customWidth="1"/>
    <col min="523" max="523" width="22.5703125" style="1755" customWidth="1"/>
    <col min="524" max="524" width="1.5703125" style="1755" customWidth="1"/>
    <col min="525" max="525" width="17.42578125" style="1755" customWidth="1"/>
    <col min="526" max="526" width="1.5703125" style="1755" customWidth="1"/>
    <col min="527" max="527" width="14.42578125" style="1755" customWidth="1"/>
    <col min="528" max="528" width="1.5703125" style="1755" customWidth="1"/>
    <col min="529" max="529" width="28.5703125" style="1755" customWidth="1"/>
    <col min="530" max="530" width="4.5703125" style="1755" customWidth="1"/>
    <col min="531" max="537" width="0" style="1755" hidden="1" customWidth="1"/>
    <col min="538" max="775" width="9.42578125" style="1755"/>
    <col min="776" max="776" width="0" style="1755" hidden="1" customWidth="1"/>
    <col min="777" max="777" width="15.42578125" style="1755" customWidth="1"/>
    <col min="778" max="778" width="1.5703125" style="1755" customWidth="1"/>
    <col min="779" max="779" width="22.5703125" style="1755" customWidth="1"/>
    <col min="780" max="780" width="1.5703125" style="1755" customWidth="1"/>
    <col min="781" max="781" width="17.42578125" style="1755" customWidth="1"/>
    <col min="782" max="782" width="1.5703125" style="1755" customWidth="1"/>
    <col min="783" max="783" width="14.42578125" style="1755" customWidth="1"/>
    <col min="784" max="784" width="1.5703125" style="1755" customWidth="1"/>
    <col min="785" max="785" width="28.5703125" style="1755" customWidth="1"/>
    <col min="786" max="786" width="4.5703125" style="1755" customWidth="1"/>
    <col min="787" max="793" width="0" style="1755" hidden="1" customWidth="1"/>
    <col min="794" max="1031" width="9.42578125" style="1755"/>
    <col min="1032" max="1032" width="0" style="1755" hidden="1" customWidth="1"/>
    <col min="1033" max="1033" width="15.42578125" style="1755" customWidth="1"/>
    <col min="1034" max="1034" width="1.5703125" style="1755" customWidth="1"/>
    <col min="1035" max="1035" width="22.5703125" style="1755" customWidth="1"/>
    <col min="1036" max="1036" width="1.5703125" style="1755" customWidth="1"/>
    <col min="1037" max="1037" width="17.42578125" style="1755" customWidth="1"/>
    <col min="1038" max="1038" width="1.5703125" style="1755" customWidth="1"/>
    <col min="1039" max="1039" width="14.42578125" style="1755" customWidth="1"/>
    <col min="1040" max="1040" width="1.5703125" style="1755" customWidth="1"/>
    <col min="1041" max="1041" width="28.5703125" style="1755" customWidth="1"/>
    <col min="1042" max="1042" width="4.5703125" style="1755" customWidth="1"/>
    <col min="1043" max="1049" width="0" style="1755" hidden="1" customWidth="1"/>
    <col min="1050" max="1287" width="9.42578125" style="1755"/>
    <col min="1288" max="1288" width="0" style="1755" hidden="1" customWidth="1"/>
    <col min="1289" max="1289" width="15.42578125" style="1755" customWidth="1"/>
    <col min="1290" max="1290" width="1.5703125" style="1755" customWidth="1"/>
    <col min="1291" max="1291" width="22.5703125" style="1755" customWidth="1"/>
    <col min="1292" max="1292" width="1.5703125" style="1755" customWidth="1"/>
    <col min="1293" max="1293" width="17.42578125" style="1755" customWidth="1"/>
    <col min="1294" max="1294" width="1.5703125" style="1755" customWidth="1"/>
    <col min="1295" max="1295" width="14.42578125" style="1755" customWidth="1"/>
    <col min="1296" max="1296" width="1.5703125" style="1755" customWidth="1"/>
    <col min="1297" max="1297" width="28.5703125" style="1755" customWidth="1"/>
    <col min="1298" max="1298" width="4.5703125" style="1755" customWidth="1"/>
    <col min="1299" max="1305" width="0" style="1755" hidden="1" customWidth="1"/>
    <col min="1306" max="1543" width="9.42578125" style="1755"/>
    <col min="1544" max="1544" width="0" style="1755" hidden="1" customWidth="1"/>
    <col min="1545" max="1545" width="15.42578125" style="1755" customWidth="1"/>
    <col min="1546" max="1546" width="1.5703125" style="1755" customWidth="1"/>
    <col min="1547" max="1547" width="22.5703125" style="1755" customWidth="1"/>
    <col min="1548" max="1548" width="1.5703125" style="1755" customWidth="1"/>
    <col min="1549" max="1549" width="17.42578125" style="1755" customWidth="1"/>
    <col min="1550" max="1550" width="1.5703125" style="1755" customWidth="1"/>
    <col min="1551" max="1551" width="14.42578125" style="1755" customWidth="1"/>
    <col min="1552" max="1552" width="1.5703125" style="1755" customWidth="1"/>
    <col min="1553" max="1553" width="28.5703125" style="1755" customWidth="1"/>
    <col min="1554" max="1554" width="4.5703125" style="1755" customWidth="1"/>
    <col min="1555" max="1561" width="0" style="1755" hidden="1" customWidth="1"/>
    <col min="1562" max="1799" width="9.42578125" style="1755"/>
    <col min="1800" max="1800" width="0" style="1755" hidden="1" customWidth="1"/>
    <col min="1801" max="1801" width="15.42578125" style="1755" customWidth="1"/>
    <col min="1802" max="1802" width="1.5703125" style="1755" customWidth="1"/>
    <col min="1803" max="1803" width="22.5703125" style="1755" customWidth="1"/>
    <col min="1804" max="1804" width="1.5703125" style="1755" customWidth="1"/>
    <col min="1805" max="1805" width="17.42578125" style="1755" customWidth="1"/>
    <col min="1806" max="1806" width="1.5703125" style="1755" customWidth="1"/>
    <col min="1807" max="1807" width="14.42578125" style="1755" customWidth="1"/>
    <col min="1808" max="1808" width="1.5703125" style="1755" customWidth="1"/>
    <col min="1809" max="1809" width="28.5703125" style="1755" customWidth="1"/>
    <col min="1810" max="1810" width="4.5703125" style="1755" customWidth="1"/>
    <col min="1811" max="1817" width="0" style="1755" hidden="1" customWidth="1"/>
    <col min="1818" max="2055" width="9.42578125" style="1755"/>
    <col min="2056" max="2056" width="0" style="1755" hidden="1" customWidth="1"/>
    <col min="2057" max="2057" width="15.42578125" style="1755" customWidth="1"/>
    <col min="2058" max="2058" width="1.5703125" style="1755" customWidth="1"/>
    <col min="2059" max="2059" width="22.5703125" style="1755" customWidth="1"/>
    <col min="2060" max="2060" width="1.5703125" style="1755" customWidth="1"/>
    <col min="2061" max="2061" width="17.42578125" style="1755" customWidth="1"/>
    <col min="2062" max="2062" width="1.5703125" style="1755" customWidth="1"/>
    <col min="2063" max="2063" width="14.42578125" style="1755" customWidth="1"/>
    <col min="2064" max="2064" width="1.5703125" style="1755" customWidth="1"/>
    <col min="2065" max="2065" width="28.5703125" style="1755" customWidth="1"/>
    <col min="2066" max="2066" width="4.5703125" style="1755" customWidth="1"/>
    <col min="2067" max="2073" width="0" style="1755" hidden="1" customWidth="1"/>
    <col min="2074" max="2311" width="9.42578125" style="1755"/>
    <col min="2312" max="2312" width="0" style="1755" hidden="1" customWidth="1"/>
    <col min="2313" max="2313" width="15.42578125" style="1755" customWidth="1"/>
    <col min="2314" max="2314" width="1.5703125" style="1755" customWidth="1"/>
    <col min="2315" max="2315" width="22.5703125" style="1755" customWidth="1"/>
    <col min="2316" max="2316" width="1.5703125" style="1755" customWidth="1"/>
    <col min="2317" max="2317" width="17.42578125" style="1755" customWidth="1"/>
    <col min="2318" max="2318" width="1.5703125" style="1755" customWidth="1"/>
    <col min="2319" max="2319" width="14.42578125" style="1755" customWidth="1"/>
    <col min="2320" max="2320" width="1.5703125" style="1755" customWidth="1"/>
    <col min="2321" max="2321" width="28.5703125" style="1755" customWidth="1"/>
    <col min="2322" max="2322" width="4.5703125" style="1755" customWidth="1"/>
    <col min="2323" max="2329" width="0" style="1755" hidden="1" customWidth="1"/>
    <col min="2330" max="2567" width="9.42578125" style="1755"/>
    <col min="2568" max="2568" width="0" style="1755" hidden="1" customWidth="1"/>
    <col min="2569" max="2569" width="15.42578125" style="1755" customWidth="1"/>
    <col min="2570" max="2570" width="1.5703125" style="1755" customWidth="1"/>
    <col min="2571" max="2571" width="22.5703125" style="1755" customWidth="1"/>
    <col min="2572" max="2572" width="1.5703125" style="1755" customWidth="1"/>
    <col min="2573" max="2573" width="17.42578125" style="1755" customWidth="1"/>
    <col min="2574" max="2574" width="1.5703125" style="1755" customWidth="1"/>
    <col min="2575" max="2575" width="14.42578125" style="1755" customWidth="1"/>
    <col min="2576" max="2576" width="1.5703125" style="1755" customWidth="1"/>
    <col min="2577" max="2577" width="28.5703125" style="1755" customWidth="1"/>
    <col min="2578" max="2578" width="4.5703125" style="1755" customWidth="1"/>
    <col min="2579" max="2585" width="0" style="1755" hidden="1" customWidth="1"/>
    <col min="2586" max="2823" width="9.42578125" style="1755"/>
    <col min="2824" max="2824" width="0" style="1755" hidden="1" customWidth="1"/>
    <col min="2825" max="2825" width="15.42578125" style="1755" customWidth="1"/>
    <col min="2826" max="2826" width="1.5703125" style="1755" customWidth="1"/>
    <col min="2827" max="2827" width="22.5703125" style="1755" customWidth="1"/>
    <col min="2828" max="2828" width="1.5703125" style="1755" customWidth="1"/>
    <col min="2829" max="2829" width="17.42578125" style="1755" customWidth="1"/>
    <col min="2830" max="2830" width="1.5703125" style="1755" customWidth="1"/>
    <col min="2831" max="2831" width="14.42578125" style="1755" customWidth="1"/>
    <col min="2832" max="2832" width="1.5703125" style="1755" customWidth="1"/>
    <col min="2833" max="2833" width="28.5703125" style="1755" customWidth="1"/>
    <col min="2834" max="2834" width="4.5703125" style="1755" customWidth="1"/>
    <col min="2835" max="2841" width="0" style="1755" hidden="1" customWidth="1"/>
    <col min="2842" max="3079" width="9.42578125" style="1755"/>
    <col min="3080" max="3080" width="0" style="1755" hidden="1" customWidth="1"/>
    <col min="3081" max="3081" width="15.42578125" style="1755" customWidth="1"/>
    <col min="3082" max="3082" width="1.5703125" style="1755" customWidth="1"/>
    <col min="3083" max="3083" width="22.5703125" style="1755" customWidth="1"/>
    <col min="3084" max="3084" width="1.5703125" style="1755" customWidth="1"/>
    <col min="3085" max="3085" width="17.42578125" style="1755" customWidth="1"/>
    <col min="3086" max="3086" width="1.5703125" style="1755" customWidth="1"/>
    <col min="3087" max="3087" width="14.42578125" style="1755" customWidth="1"/>
    <col min="3088" max="3088" width="1.5703125" style="1755" customWidth="1"/>
    <col min="3089" max="3089" width="28.5703125" style="1755" customWidth="1"/>
    <col min="3090" max="3090" width="4.5703125" style="1755" customWidth="1"/>
    <col min="3091" max="3097" width="0" style="1755" hidden="1" customWidth="1"/>
    <col min="3098" max="3335" width="9.42578125" style="1755"/>
    <col min="3336" max="3336" width="0" style="1755" hidden="1" customWidth="1"/>
    <col min="3337" max="3337" width="15.42578125" style="1755" customWidth="1"/>
    <col min="3338" max="3338" width="1.5703125" style="1755" customWidth="1"/>
    <col min="3339" max="3339" width="22.5703125" style="1755" customWidth="1"/>
    <col min="3340" max="3340" width="1.5703125" style="1755" customWidth="1"/>
    <col min="3341" max="3341" width="17.42578125" style="1755" customWidth="1"/>
    <col min="3342" max="3342" width="1.5703125" style="1755" customWidth="1"/>
    <col min="3343" max="3343" width="14.42578125" style="1755" customWidth="1"/>
    <col min="3344" max="3344" width="1.5703125" style="1755" customWidth="1"/>
    <col min="3345" max="3345" width="28.5703125" style="1755" customWidth="1"/>
    <col min="3346" max="3346" width="4.5703125" style="1755" customWidth="1"/>
    <col min="3347" max="3353" width="0" style="1755" hidden="1" customWidth="1"/>
    <col min="3354" max="3591" width="9.42578125" style="1755"/>
    <col min="3592" max="3592" width="0" style="1755" hidden="1" customWidth="1"/>
    <col min="3593" max="3593" width="15.42578125" style="1755" customWidth="1"/>
    <col min="3594" max="3594" width="1.5703125" style="1755" customWidth="1"/>
    <col min="3595" max="3595" width="22.5703125" style="1755" customWidth="1"/>
    <col min="3596" max="3596" width="1.5703125" style="1755" customWidth="1"/>
    <col min="3597" max="3597" width="17.42578125" style="1755" customWidth="1"/>
    <col min="3598" max="3598" width="1.5703125" style="1755" customWidth="1"/>
    <col min="3599" max="3599" width="14.42578125" style="1755" customWidth="1"/>
    <col min="3600" max="3600" width="1.5703125" style="1755" customWidth="1"/>
    <col min="3601" max="3601" width="28.5703125" style="1755" customWidth="1"/>
    <col min="3602" max="3602" width="4.5703125" style="1755" customWidth="1"/>
    <col min="3603" max="3609" width="0" style="1755" hidden="1" customWidth="1"/>
    <col min="3610" max="3847" width="9.42578125" style="1755"/>
    <col min="3848" max="3848" width="0" style="1755" hidden="1" customWidth="1"/>
    <col min="3849" max="3849" width="15.42578125" style="1755" customWidth="1"/>
    <col min="3850" max="3850" width="1.5703125" style="1755" customWidth="1"/>
    <col min="3851" max="3851" width="22.5703125" style="1755" customWidth="1"/>
    <col min="3852" max="3852" width="1.5703125" style="1755" customWidth="1"/>
    <col min="3853" max="3853" width="17.42578125" style="1755" customWidth="1"/>
    <col min="3854" max="3854" width="1.5703125" style="1755" customWidth="1"/>
    <col min="3855" max="3855" width="14.42578125" style="1755" customWidth="1"/>
    <col min="3856" max="3856" width="1.5703125" style="1755" customWidth="1"/>
    <col min="3857" max="3857" width="28.5703125" style="1755" customWidth="1"/>
    <col min="3858" max="3858" width="4.5703125" style="1755" customWidth="1"/>
    <col min="3859" max="3865" width="0" style="1755" hidden="1" customWidth="1"/>
    <col min="3866" max="4103" width="9.42578125" style="1755"/>
    <col min="4104" max="4104" width="0" style="1755" hidden="1" customWidth="1"/>
    <col min="4105" max="4105" width="15.42578125" style="1755" customWidth="1"/>
    <col min="4106" max="4106" width="1.5703125" style="1755" customWidth="1"/>
    <col min="4107" max="4107" width="22.5703125" style="1755" customWidth="1"/>
    <col min="4108" max="4108" width="1.5703125" style="1755" customWidth="1"/>
    <col min="4109" max="4109" width="17.42578125" style="1755" customWidth="1"/>
    <col min="4110" max="4110" width="1.5703125" style="1755" customWidth="1"/>
    <col min="4111" max="4111" width="14.42578125" style="1755" customWidth="1"/>
    <col min="4112" max="4112" width="1.5703125" style="1755" customWidth="1"/>
    <col min="4113" max="4113" width="28.5703125" style="1755" customWidth="1"/>
    <col min="4114" max="4114" width="4.5703125" style="1755" customWidth="1"/>
    <col min="4115" max="4121" width="0" style="1755" hidden="1" customWidth="1"/>
    <col min="4122" max="4359" width="9.42578125" style="1755"/>
    <col min="4360" max="4360" width="0" style="1755" hidden="1" customWidth="1"/>
    <col min="4361" max="4361" width="15.42578125" style="1755" customWidth="1"/>
    <col min="4362" max="4362" width="1.5703125" style="1755" customWidth="1"/>
    <col min="4363" max="4363" width="22.5703125" style="1755" customWidth="1"/>
    <col min="4364" max="4364" width="1.5703125" style="1755" customWidth="1"/>
    <col min="4365" max="4365" width="17.42578125" style="1755" customWidth="1"/>
    <col min="4366" max="4366" width="1.5703125" style="1755" customWidth="1"/>
    <col min="4367" max="4367" width="14.42578125" style="1755" customWidth="1"/>
    <col min="4368" max="4368" width="1.5703125" style="1755" customWidth="1"/>
    <col min="4369" max="4369" width="28.5703125" style="1755" customWidth="1"/>
    <col min="4370" max="4370" width="4.5703125" style="1755" customWidth="1"/>
    <col min="4371" max="4377" width="0" style="1755" hidden="1" customWidth="1"/>
    <col min="4378" max="4615" width="9.42578125" style="1755"/>
    <col min="4616" max="4616" width="0" style="1755" hidden="1" customWidth="1"/>
    <col min="4617" max="4617" width="15.42578125" style="1755" customWidth="1"/>
    <col min="4618" max="4618" width="1.5703125" style="1755" customWidth="1"/>
    <col min="4619" max="4619" width="22.5703125" style="1755" customWidth="1"/>
    <col min="4620" max="4620" width="1.5703125" style="1755" customWidth="1"/>
    <col min="4621" max="4621" width="17.42578125" style="1755" customWidth="1"/>
    <col min="4622" max="4622" width="1.5703125" style="1755" customWidth="1"/>
    <col min="4623" max="4623" width="14.42578125" style="1755" customWidth="1"/>
    <col min="4624" max="4624" width="1.5703125" style="1755" customWidth="1"/>
    <col min="4625" max="4625" width="28.5703125" style="1755" customWidth="1"/>
    <col min="4626" max="4626" width="4.5703125" style="1755" customWidth="1"/>
    <col min="4627" max="4633" width="0" style="1755" hidden="1" customWidth="1"/>
    <col min="4634" max="4871" width="9.42578125" style="1755"/>
    <col min="4872" max="4872" width="0" style="1755" hidden="1" customWidth="1"/>
    <col min="4873" max="4873" width="15.42578125" style="1755" customWidth="1"/>
    <col min="4874" max="4874" width="1.5703125" style="1755" customWidth="1"/>
    <col min="4875" max="4875" width="22.5703125" style="1755" customWidth="1"/>
    <col min="4876" max="4876" width="1.5703125" style="1755" customWidth="1"/>
    <col min="4877" max="4877" width="17.42578125" style="1755" customWidth="1"/>
    <col min="4878" max="4878" width="1.5703125" style="1755" customWidth="1"/>
    <col min="4879" max="4879" width="14.42578125" style="1755" customWidth="1"/>
    <col min="4880" max="4880" width="1.5703125" style="1755" customWidth="1"/>
    <col min="4881" max="4881" width="28.5703125" style="1755" customWidth="1"/>
    <col min="4882" max="4882" width="4.5703125" style="1755" customWidth="1"/>
    <col min="4883" max="4889" width="0" style="1755" hidden="1" customWidth="1"/>
    <col min="4890" max="5127" width="9.42578125" style="1755"/>
    <col min="5128" max="5128" width="0" style="1755" hidden="1" customWidth="1"/>
    <col min="5129" max="5129" width="15.42578125" style="1755" customWidth="1"/>
    <col min="5130" max="5130" width="1.5703125" style="1755" customWidth="1"/>
    <col min="5131" max="5131" width="22.5703125" style="1755" customWidth="1"/>
    <col min="5132" max="5132" width="1.5703125" style="1755" customWidth="1"/>
    <col min="5133" max="5133" width="17.42578125" style="1755" customWidth="1"/>
    <col min="5134" max="5134" width="1.5703125" style="1755" customWidth="1"/>
    <col min="5135" max="5135" width="14.42578125" style="1755" customWidth="1"/>
    <col min="5136" max="5136" width="1.5703125" style="1755" customWidth="1"/>
    <col min="5137" max="5137" width="28.5703125" style="1755" customWidth="1"/>
    <col min="5138" max="5138" width="4.5703125" style="1755" customWidth="1"/>
    <col min="5139" max="5145" width="0" style="1755" hidden="1" customWidth="1"/>
    <col min="5146" max="5383" width="9.42578125" style="1755"/>
    <col min="5384" max="5384" width="0" style="1755" hidden="1" customWidth="1"/>
    <col min="5385" max="5385" width="15.42578125" style="1755" customWidth="1"/>
    <col min="5386" max="5386" width="1.5703125" style="1755" customWidth="1"/>
    <col min="5387" max="5387" width="22.5703125" style="1755" customWidth="1"/>
    <col min="5388" max="5388" width="1.5703125" style="1755" customWidth="1"/>
    <col min="5389" max="5389" width="17.42578125" style="1755" customWidth="1"/>
    <col min="5390" max="5390" width="1.5703125" style="1755" customWidth="1"/>
    <col min="5391" max="5391" width="14.42578125" style="1755" customWidth="1"/>
    <col min="5392" max="5392" width="1.5703125" style="1755" customWidth="1"/>
    <col min="5393" max="5393" width="28.5703125" style="1755" customWidth="1"/>
    <col min="5394" max="5394" width="4.5703125" style="1755" customWidth="1"/>
    <col min="5395" max="5401" width="0" style="1755" hidden="1" customWidth="1"/>
    <col min="5402" max="5639" width="9.42578125" style="1755"/>
    <col min="5640" max="5640" width="0" style="1755" hidden="1" customWidth="1"/>
    <col min="5641" max="5641" width="15.42578125" style="1755" customWidth="1"/>
    <col min="5642" max="5642" width="1.5703125" style="1755" customWidth="1"/>
    <col min="5643" max="5643" width="22.5703125" style="1755" customWidth="1"/>
    <col min="5644" max="5644" width="1.5703125" style="1755" customWidth="1"/>
    <col min="5645" max="5645" width="17.42578125" style="1755" customWidth="1"/>
    <col min="5646" max="5646" width="1.5703125" style="1755" customWidth="1"/>
    <col min="5647" max="5647" width="14.42578125" style="1755" customWidth="1"/>
    <col min="5648" max="5648" width="1.5703125" style="1755" customWidth="1"/>
    <col min="5649" max="5649" width="28.5703125" style="1755" customWidth="1"/>
    <col min="5650" max="5650" width="4.5703125" style="1755" customWidth="1"/>
    <col min="5651" max="5657" width="0" style="1755" hidden="1" customWidth="1"/>
    <col min="5658" max="5895" width="9.42578125" style="1755"/>
    <col min="5896" max="5896" width="0" style="1755" hidden="1" customWidth="1"/>
    <col min="5897" max="5897" width="15.42578125" style="1755" customWidth="1"/>
    <col min="5898" max="5898" width="1.5703125" style="1755" customWidth="1"/>
    <col min="5899" max="5899" width="22.5703125" style="1755" customWidth="1"/>
    <col min="5900" max="5900" width="1.5703125" style="1755" customWidth="1"/>
    <col min="5901" max="5901" width="17.42578125" style="1755" customWidth="1"/>
    <col min="5902" max="5902" width="1.5703125" style="1755" customWidth="1"/>
    <col min="5903" max="5903" width="14.42578125" style="1755" customWidth="1"/>
    <col min="5904" max="5904" width="1.5703125" style="1755" customWidth="1"/>
    <col min="5905" max="5905" width="28.5703125" style="1755" customWidth="1"/>
    <col min="5906" max="5906" width="4.5703125" style="1755" customWidth="1"/>
    <col min="5907" max="5913" width="0" style="1755" hidden="1" customWidth="1"/>
    <col min="5914" max="6151" width="9.42578125" style="1755"/>
    <col min="6152" max="6152" width="0" style="1755" hidden="1" customWidth="1"/>
    <col min="6153" max="6153" width="15.42578125" style="1755" customWidth="1"/>
    <col min="6154" max="6154" width="1.5703125" style="1755" customWidth="1"/>
    <col min="6155" max="6155" width="22.5703125" style="1755" customWidth="1"/>
    <col min="6156" max="6156" width="1.5703125" style="1755" customWidth="1"/>
    <col min="6157" max="6157" width="17.42578125" style="1755" customWidth="1"/>
    <col min="6158" max="6158" width="1.5703125" style="1755" customWidth="1"/>
    <col min="6159" max="6159" width="14.42578125" style="1755" customWidth="1"/>
    <col min="6160" max="6160" width="1.5703125" style="1755" customWidth="1"/>
    <col min="6161" max="6161" width="28.5703125" style="1755" customWidth="1"/>
    <col min="6162" max="6162" width="4.5703125" style="1755" customWidth="1"/>
    <col min="6163" max="6169" width="0" style="1755" hidden="1" customWidth="1"/>
    <col min="6170" max="6407" width="9.42578125" style="1755"/>
    <col min="6408" max="6408" width="0" style="1755" hidden="1" customWidth="1"/>
    <col min="6409" max="6409" width="15.42578125" style="1755" customWidth="1"/>
    <col min="6410" max="6410" width="1.5703125" style="1755" customWidth="1"/>
    <col min="6411" max="6411" width="22.5703125" style="1755" customWidth="1"/>
    <col min="6412" max="6412" width="1.5703125" style="1755" customWidth="1"/>
    <col min="6413" max="6413" width="17.42578125" style="1755" customWidth="1"/>
    <col min="6414" max="6414" width="1.5703125" style="1755" customWidth="1"/>
    <col min="6415" max="6415" width="14.42578125" style="1755" customWidth="1"/>
    <col min="6416" max="6416" width="1.5703125" style="1755" customWidth="1"/>
    <col min="6417" max="6417" width="28.5703125" style="1755" customWidth="1"/>
    <col min="6418" max="6418" width="4.5703125" style="1755" customWidth="1"/>
    <col min="6419" max="6425" width="0" style="1755" hidden="1" customWidth="1"/>
    <col min="6426" max="6663" width="9.42578125" style="1755"/>
    <col min="6664" max="6664" width="0" style="1755" hidden="1" customWidth="1"/>
    <col min="6665" max="6665" width="15.42578125" style="1755" customWidth="1"/>
    <col min="6666" max="6666" width="1.5703125" style="1755" customWidth="1"/>
    <col min="6667" max="6667" width="22.5703125" style="1755" customWidth="1"/>
    <col min="6668" max="6668" width="1.5703125" style="1755" customWidth="1"/>
    <col min="6669" max="6669" width="17.42578125" style="1755" customWidth="1"/>
    <col min="6670" max="6670" width="1.5703125" style="1755" customWidth="1"/>
    <col min="6671" max="6671" width="14.42578125" style="1755" customWidth="1"/>
    <col min="6672" max="6672" width="1.5703125" style="1755" customWidth="1"/>
    <col min="6673" max="6673" width="28.5703125" style="1755" customWidth="1"/>
    <col min="6674" max="6674" width="4.5703125" style="1755" customWidth="1"/>
    <col min="6675" max="6681" width="0" style="1755" hidden="1" customWidth="1"/>
    <col min="6682" max="6919" width="9.42578125" style="1755"/>
    <col min="6920" max="6920" width="0" style="1755" hidden="1" customWidth="1"/>
    <col min="6921" max="6921" width="15.42578125" style="1755" customWidth="1"/>
    <col min="6922" max="6922" width="1.5703125" style="1755" customWidth="1"/>
    <col min="6923" max="6923" width="22.5703125" style="1755" customWidth="1"/>
    <col min="6924" max="6924" width="1.5703125" style="1755" customWidth="1"/>
    <col min="6925" max="6925" width="17.42578125" style="1755" customWidth="1"/>
    <col min="6926" max="6926" width="1.5703125" style="1755" customWidth="1"/>
    <col min="6927" max="6927" width="14.42578125" style="1755" customWidth="1"/>
    <col min="6928" max="6928" width="1.5703125" style="1755" customWidth="1"/>
    <col min="6929" max="6929" width="28.5703125" style="1755" customWidth="1"/>
    <col min="6930" max="6930" width="4.5703125" style="1755" customWidth="1"/>
    <col min="6931" max="6937" width="0" style="1755" hidden="1" customWidth="1"/>
    <col min="6938" max="7175" width="9.42578125" style="1755"/>
    <col min="7176" max="7176" width="0" style="1755" hidden="1" customWidth="1"/>
    <col min="7177" max="7177" width="15.42578125" style="1755" customWidth="1"/>
    <col min="7178" max="7178" width="1.5703125" style="1755" customWidth="1"/>
    <col min="7179" max="7179" width="22.5703125" style="1755" customWidth="1"/>
    <col min="7180" max="7180" width="1.5703125" style="1755" customWidth="1"/>
    <col min="7181" max="7181" width="17.42578125" style="1755" customWidth="1"/>
    <col min="7182" max="7182" width="1.5703125" style="1755" customWidth="1"/>
    <col min="7183" max="7183" width="14.42578125" style="1755" customWidth="1"/>
    <col min="7184" max="7184" width="1.5703125" style="1755" customWidth="1"/>
    <col min="7185" max="7185" width="28.5703125" style="1755" customWidth="1"/>
    <col min="7186" max="7186" width="4.5703125" style="1755" customWidth="1"/>
    <col min="7187" max="7193" width="0" style="1755" hidden="1" customWidth="1"/>
    <col min="7194" max="7431" width="9.42578125" style="1755"/>
    <col min="7432" max="7432" width="0" style="1755" hidden="1" customWidth="1"/>
    <col min="7433" max="7433" width="15.42578125" style="1755" customWidth="1"/>
    <col min="7434" max="7434" width="1.5703125" style="1755" customWidth="1"/>
    <col min="7435" max="7435" width="22.5703125" style="1755" customWidth="1"/>
    <col min="7436" max="7436" width="1.5703125" style="1755" customWidth="1"/>
    <col min="7437" max="7437" width="17.42578125" style="1755" customWidth="1"/>
    <col min="7438" max="7438" width="1.5703125" style="1755" customWidth="1"/>
    <col min="7439" max="7439" width="14.42578125" style="1755" customWidth="1"/>
    <col min="7440" max="7440" width="1.5703125" style="1755" customWidth="1"/>
    <col min="7441" max="7441" width="28.5703125" style="1755" customWidth="1"/>
    <col min="7442" max="7442" width="4.5703125" style="1755" customWidth="1"/>
    <col min="7443" max="7449" width="0" style="1755" hidden="1" customWidth="1"/>
    <col min="7450" max="7687" width="9.42578125" style="1755"/>
    <col min="7688" max="7688" width="0" style="1755" hidden="1" customWidth="1"/>
    <col min="7689" max="7689" width="15.42578125" style="1755" customWidth="1"/>
    <col min="7690" max="7690" width="1.5703125" style="1755" customWidth="1"/>
    <col min="7691" max="7691" width="22.5703125" style="1755" customWidth="1"/>
    <col min="7692" max="7692" width="1.5703125" style="1755" customWidth="1"/>
    <col min="7693" max="7693" width="17.42578125" style="1755" customWidth="1"/>
    <col min="7694" max="7694" width="1.5703125" style="1755" customWidth="1"/>
    <col min="7695" max="7695" width="14.42578125" style="1755" customWidth="1"/>
    <col min="7696" max="7696" width="1.5703125" style="1755" customWidth="1"/>
    <col min="7697" max="7697" width="28.5703125" style="1755" customWidth="1"/>
    <col min="7698" max="7698" width="4.5703125" style="1755" customWidth="1"/>
    <col min="7699" max="7705" width="0" style="1755" hidden="1" customWidth="1"/>
    <col min="7706" max="7943" width="9.42578125" style="1755"/>
    <col min="7944" max="7944" width="0" style="1755" hidden="1" customWidth="1"/>
    <col min="7945" max="7945" width="15.42578125" style="1755" customWidth="1"/>
    <col min="7946" max="7946" width="1.5703125" style="1755" customWidth="1"/>
    <col min="7947" max="7947" width="22.5703125" style="1755" customWidth="1"/>
    <col min="7948" max="7948" width="1.5703125" style="1755" customWidth="1"/>
    <col min="7949" max="7949" width="17.42578125" style="1755" customWidth="1"/>
    <col min="7950" max="7950" width="1.5703125" style="1755" customWidth="1"/>
    <col min="7951" max="7951" width="14.42578125" style="1755" customWidth="1"/>
    <col min="7952" max="7952" width="1.5703125" style="1755" customWidth="1"/>
    <col min="7953" max="7953" width="28.5703125" style="1755" customWidth="1"/>
    <col min="7954" max="7954" width="4.5703125" style="1755" customWidth="1"/>
    <col min="7955" max="7961" width="0" style="1755" hidden="1" customWidth="1"/>
    <col min="7962" max="8199" width="9.42578125" style="1755"/>
    <col min="8200" max="8200" width="0" style="1755" hidden="1" customWidth="1"/>
    <col min="8201" max="8201" width="15.42578125" style="1755" customWidth="1"/>
    <col min="8202" max="8202" width="1.5703125" style="1755" customWidth="1"/>
    <col min="8203" max="8203" width="22.5703125" style="1755" customWidth="1"/>
    <col min="8204" max="8204" width="1.5703125" style="1755" customWidth="1"/>
    <col min="8205" max="8205" width="17.42578125" style="1755" customWidth="1"/>
    <col min="8206" max="8206" width="1.5703125" style="1755" customWidth="1"/>
    <col min="8207" max="8207" width="14.42578125" style="1755" customWidth="1"/>
    <col min="8208" max="8208" width="1.5703125" style="1755" customWidth="1"/>
    <col min="8209" max="8209" width="28.5703125" style="1755" customWidth="1"/>
    <col min="8210" max="8210" width="4.5703125" style="1755" customWidth="1"/>
    <col min="8211" max="8217" width="0" style="1755" hidden="1" customWidth="1"/>
    <col min="8218" max="8455" width="9.42578125" style="1755"/>
    <col min="8456" max="8456" width="0" style="1755" hidden="1" customWidth="1"/>
    <col min="8457" max="8457" width="15.42578125" style="1755" customWidth="1"/>
    <col min="8458" max="8458" width="1.5703125" style="1755" customWidth="1"/>
    <col min="8459" max="8459" width="22.5703125" style="1755" customWidth="1"/>
    <col min="8460" max="8460" width="1.5703125" style="1755" customWidth="1"/>
    <col min="8461" max="8461" width="17.42578125" style="1755" customWidth="1"/>
    <col min="8462" max="8462" width="1.5703125" style="1755" customWidth="1"/>
    <col min="8463" max="8463" width="14.42578125" style="1755" customWidth="1"/>
    <col min="8464" max="8464" width="1.5703125" style="1755" customWidth="1"/>
    <col min="8465" max="8465" width="28.5703125" style="1755" customWidth="1"/>
    <col min="8466" max="8466" width="4.5703125" style="1755" customWidth="1"/>
    <col min="8467" max="8473" width="0" style="1755" hidden="1" customWidth="1"/>
    <col min="8474" max="8711" width="9.42578125" style="1755"/>
    <col min="8712" max="8712" width="0" style="1755" hidden="1" customWidth="1"/>
    <col min="8713" max="8713" width="15.42578125" style="1755" customWidth="1"/>
    <col min="8714" max="8714" width="1.5703125" style="1755" customWidth="1"/>
    <col min="8715" max="8715" width="22.5703125" style="1755" customWidth="1"/>
    <col min="8716" max="8716" width="1.5703125" style="1755" customWidth="1"/>
    <col min="8717" max="8717" width="17.42578125" style="1755" customWidth="1"/>
    <col min="8718" max="8718" width="1.5703125" style="1755" customWidth="1"/>
    <col min="8719" max="8719" width="14.42578125" style="1755" customWidth="1"/>
    <col min="8720" max="8720" width="1.5703125" style="1755" customWidth="1"/>
    <col min="8721" max="8721" width="28.5703125" style="1755" customWidth="1"/>
    <col min="8722" max="8722" width="4.5703125" style="1755" customWidth="1"/>
    <col min="8723" max="8729" width="0" style="1755" hidden="1" customWidth="1"/>
    <col min="8730" max="8967" width="9.42578125" style="1755"/>
    <col min="8968" max="8968" width="0" style="1755" hidden="1" customWidth="1"/>
    <col min="8969" max="8969" width="15.42578125" style="1755" customWidth="1"/>
    <col min="8970" max="8970" width="1.5703125" style="1755" customWidth="1"/>
    <col min="8971" max="8971" width="22.5703125" style="1755" customWidth="1"/>
    <col min="8972" max="8972" width="1.5703125" style="1755" customWidth="1"/>
    <col min="8973" max="8973" width="17.42578125" style="1755" customWidth="1"/>
    <col min="8974" max="8974" width="1.5703125" style="1755" customWidth="1"/>
    <col min="8975" max="8975" width="14.42578125" style="1755" customWidth="1"/>
    <col min="8976" max="8976" width="1.5703125" style="1755" customWidth="1"/>
    <col min="8977" max="8977" width="28.5703125" style="1755" customWidth="1"/>
    <col min="8978" max="8978" width="4.5703125" style="1755" customWidth="1"/>
    <col min="8979" max="8985" width="0" style="1755" hidden="1" customWidth="1"/>
    <col min="8986" max="9223" width="9.42578125" style="1755"/>
    <col min="9224" max="9224" width="0" style="1755" hidden="1" customWidth="1"/>
    <col min="9225" max="9225" width="15.42578125" style="1755" customWidth="1"/>
    <col min="9226" max="9226" width="1.5703125" style="1755" customWidth="1"/>
    <col min="9227" max="9227" width="22.5703125" style="1755" customWidth="1"/>
    <col min="9228" max="9228" width="1.5703125" style="1755" customWidth="1"/>
    <col min="9229" max="9229" width="17.42578125" style="1755" customWidth="1"/>
    <col min="9230" max="9230" width="1.5703125" style="1755" customWidth="1"/>
    <col min="9231" max="9231" width="14.42578125" style="1755" customWidth="1"/>
    <col min="9232" max="9232" width="1.5703125" style="1755" customWidth="1"/>
    <col min="9233" max="9233" width="28.5703125" style="1755" customWidth="1"/>
    <col min="9234" max="9234" width="4.5703125" style="1755" customWidth="1"/>
    <col min="9235" max="9241" width="0" style="1755" hidden="1" customWidth="1"/>
    <col min="9242" max="9479" width="9.42578125" style="1755"/>
    <col min="9480" max="9480" width="0" style="1755" hidden="1" customWidth="1"/>
    <col min="9481" max="9481" width="15.42578125" style="1755" customWidth="1"/>
    <col min="9482" max="9482" width="1.5703125" style="1755" customWidth="1"/>
    <col min="9483" max="9483" width="22.5703125" style="1755" customWidth="1"/>
    <col min="9484" max="9484" width="1.5703125" style="1755" customWidth="1"/>
    <col min="9485" max="9485" width="17.42578125" style="1755" customWidth="1"/>
    <col min="9486" max="9486" width="1.5703125" style="1755" customWidth="1"/>
    <col min="9487" max="9487" width="14.42578125" style="1755" customWidth="1"/>
    <col min="9488" max="9488" width="1.5703125" style="1755" customWidth="1"/>
    <col min="9489" max="9489" width="28.5703125" style="1755" customWidth="1"/>
    <col min="9490" max="9490" width="4.5703125" style="1755" customWidth="1"/>
    <col min="9491" max="9497" width="0" style="1755" hidden="1" customWidth="1"/>
    <col min="9498" max="9735" width="9.42578125" style="1755"/>
    <col min="9736" max="9736" width="0" style="1755" hidden="1" customWidth="1"/>
    <col min="9737" max="9737" width="15.42578125" style="1755" customWidth="1"/>
    <col min="9738" max="9738" width="1.5703125" style="1755" customWidth="1"/>
    <col min="9739" max="9739" width="22.5703125" style="1755" customWidth="1"/>
    <col min="9740" max="9740" width="1.5703125" style="1755" customWidth="1"/>
    <col min="9741" max="9741" width="17.42578125" style="1755" customWidth="1"/>
    <col min="9742" max="9742" width="1.5703125" style="1755" customWidth="1"/>
    <col min="9743" max="9743" width="14.42578125" style="1755" customWidth="1"/>
    <col min="9744" max="9744" width="1.5703125" style="1755" customWidth="1"/>
    <col min="9745" max="9745" width="28.5703125" style="1755" customWidth="1"/>
    <col min="9746" max="9746" width="4.5703125" style="1755" customWidth="1"/>
    <col min="9747" max="9753" width="0" style="1755" hidden="1" customWidth="1"/>
    <col min="9754" max="9991" width="9.42578125" style="1755"/>
    <col min="9992" max="9992" width="0" style="1755" hidden="1" customWidth="1"/>
    <col min="9993" max="9993" width="15.42578125" style="1755" customWidth="1"/>
    <col min="9994" max="9994" width="1.5703125" style="1755" customWidth="1"/>
    <col min="9995" max="9995" width="22.5703125" style="1755" customWidth="1"/>
    <col min="9996" max="9996" width="1.5703125" style="1755" customWidth="1"/>
    <col min="9997" max="9997" width="17.42578125" style="1755" customWidth="1"/>
    <col min="9998" max="9998" width="1.5703125" style="1755" customWidth="1"/>
    <col min="9999" max="9999" width="14.42578125" style="1755" customWidth="1"/>
    <col min="10000" max="10000" width="1.5703125" style="1755" customWidth="1"/>
    <col min="10001" max="10001" width="28.5703125" style="1755" customWidth="1"/>
    <col min="10002" max="10002" width="4.5703125" style="1755" customWidth="1"/>
    <col min="10003" max="10009" width="0" style="1755" hidden="1" customWidth="1"/>
    <col min="10010" max="10247" width="9.42578125" style="1755"/>
    <col min="10248" max="10248" width="0" style="1755" hidden="1" customWidth="1"/>
    <col min="10249" max="10249" width="15.42578125" style="1755" customWidth="1"/>
    <col min="10250" max="10250" width="1.5703125" style="1755" customWidth="1"/>
    <col min="10251" max="10251" width="22.5703125" style="1755" customWidth="1"/>
    <col min="10252" max="10252" width="1.5703125" style="1755" customWidth="1"/>
    <col min="10253" max="10253" width="17.42578125" style="1755" customWidth="1"/>
    <col min="10254" max="10254" width="1.5703125" style="1755" customWidth="1"/>
    <col min="10255" max="10255" width="14.42578125" style="1755" customWidth="1"/>
    <col min="10256" max="10256" width="1.5703125" style="1755" customWidth="1"/>
    <col min="10257" max="10257" width="28.5703125" style="1755" customWidth="1"/>
    <col min="10258" max="10258" width="4.5703125" style="1755" customWidth="1"/>
    <col min="10259" max="10265" width="0" style="1755" hidden="1" customWidth="1"/>
    <col min="10266" max="10503" width="9.42578125" style="1755"/>
    <col min="10504" max="10504" width="0" style="1755" hidden="1" customWidth="1"/>
    <col min="10505" max="10505" width="15.42578125" style="1755" customWidth="1"/>
    <col min="10506" max="10506" width="1.5703125" style="1755" customWidth="1"/>
    <col min="10507" max="10507" width="22.5703125" style="1755" customWidth="1"/>
    <col min="10508" max="10508" width="1.5703125" style="1755" customWidth="1"/>
    <col min="10509" max="10509" width="17.42578125" style="1755" customWidth="1"/>
    <col min="10510" max="10510" width="1.5703125" style="1755" customWidth="1"/>
    <col min="10511" max="10511" width="14.42578125" style="1755" customWidth="1"/>
    <col min="10512" max="10512" width="1.5703125" style="1755" customWidth="1"/>
    <col min="10513" max="10513" width="28.5703125" style="1755" customWidth="1"/>
    <col min="10514" max="10514" width="4.5703125" style="1755" customWidth="1"/>
    <col min="10515" max="10521" width="0" style="1755" hidden="1" customWidth="1"/>
    <col min="10522" max="10759" width="9.42578125" style="1755"/>
    <col min="10760" max="10760" width="0" style="1755" hidden="1" customWidth="1"/>
    <col min="10761" max="10761" width="15.42578125" style="1755" customWidth="1"/>
    <col min="10762" max="10762" width="1.5703125" style="1755" customWidth="1"/>
    <col min="10763" max="10763" width="22.5703125" style="1755" customWidth="1"/>
    <col min="10764" max="10764" width="1.5703125" style="1755" customWidth="1"/>
    <col min="10765" max="10765" width="17.42578125" style="1755" customWidth="1"/>
    <col min="10766" max="10766" width="1.5703125" style="1755" customWidth="1"/>
    <col min="10767" max="10767" width="14.42578125" style="1755" customWidth="1"/>
    <col min="10768" max="10768" width="1.5703125" style="1755" customWidth="1"/>
    <col min="10769" max="10769" width="28.5703125" style="1755" customWidth="1"/>
    <col min="10770" max="10770" width="4.5703125" style="1755" customWidth="1"/>
    <col min="10771" max="10777" width="0" style="1755" hidden="1" customWidth="1"/>
    <col min="10778" max="11015" width="9.42578125" style="1755"/>
    <col min="11016" max="11016" width="0" style="1755" hidden="1" customWidth="1"/>
    <col min="11017" max="11017" width="15.42578125" style="1755" customWidth="1"/>
    <col min="11018" max="11018" width="1.5703125" style="1755" customWidth="1"/>
    <col min="11019" max="11019" width="22.5703125" style="1755" customWidth="1"/>
    <col min="11020" max="11020" width="1.5703125" style="1755" customWidth="1"/>
    <col min="11021" max="11021" width="17.42578125" style="1755" customWidth="1"/>
    <col min="11022" max="11022" width="1.5703125" style="1755" customWidth="1"/>
    <col min="11023" max="11023" width="14.42578125" style="1755" customWidth="1"/>
    <col min="11024" max="11024" width="1.5703125" style="1755" customWidth="1"/>
    <col min="11025" max="11025" width="28.5703125" style="1755" customWidth="1"/>
    <col min="11026" max="11026" width="4.5703125" style="1755" customWidth="1"/>
    <col min="11027" max="11033" width="0" style="1755" hidden="1" customWidth="1"/>
    <col min="11034" max="11271" width="9.42578125" style="1755"/>
    <col min="11272" max="11272" width="0" style="1755" hidden="1" customWidth="1"/>
    <col min="11273" max="11273" width="15.42578125" style="1755" customWidth="1"/>
    <col min="11274" max="11274" width="1.5703125" style="1755" customWidth="1"/>
    <col min="11275" max="11275" width="22.5703125" style="1755" customWidth="1"/>
    <col min="11276" max="11276" width="1.5703125" style="1755" customWidth="1"/>
    <col min="11277" max="11277" width="17.42578125" style="1755" customWidth="1"/>
    <col min="11278" max="11278" width="1.5703125" style="1755" customWidth="1"/>
    <col min="11279" max="11279" width="14.42578125" style="1755" customWidth="1"/>
    <col min="11280" max="11280" width="1.5703125" style="1755" customWidth="1"/>
    <col min="11281" max="11281" width="28.5703125" style="1755" customWidth="1"/>
    <col min="11282" max="11282" width="4.5703125" style="1755" customWidth="1"/>
    <col min="11283" max="11289" width="0" style="1755" hidden="1" customWidth="1"/>
    <col min="11290" max="11527" width="9.42578125" style="1755"/>
    <col min="11528" max="11528" width="0" style="1755" hidden="1" customWidth="1"/>
    <col min="11529" max="11529" width="15.42578125" style="1755" customWidth="1"/>
    <col min="11530" max="11530" width="1.5703125" style="1755" customWidth="1"/>
    <col min="11531" max="11531" width="22.5703125" style="1755" customWidth="1"/>
    <col min="11532" max="11532" width="1.5703125" style="1755" customWidth="1"/>
    <col min="11533" max="11533" width="17.42578125" style="1755" customWidth="1"/>
    <col min="11534" max="11534" width="1.5703125" style="1755" customWidth="1"/>
    <col min="11535" max="11535" width="14.42578125" style="1755" customWidth="1"/>
    <col min="11536" max="11536" width="1.5703125" style="1755" customWidth="1"/>
    <col min="11537" max="11537" width="28.5703125" style="1755" customWidth="1"/>
    <col min="11538" max="11538" width="4.5703125" style="1755" customWidth="1"/>
    <col min="11539" max="11545" width="0" style="1755" hidden="1" customWidth="1"/>
    <col min="11546" max="11783" width="9.42578125" style="1755"/>
    <col min="11784" max="11784" width="0" style="1755" hidden="1" customWidth="1"/>
    <col min="11785" max="11785" width="15.42578125" style="1755" customWidth="1"/>
    <col min="11786" max="11786" width="1.5703125" style="1755" customWidth="1"/>
    <col min="11787" max="11787" width="22.5703125" style="1755" customWidth="1"/>
    <col min="11788" max="11788" width="1.5703125" style="1755" customWidth="1"/>
    <col min="11789" max="11789" width="17.42578125" style="1755" customWidth="1"/>
    <col min="11790" max="11790" width="1.5703125" style="1755" customWidth="1"/>
    <col min="11791" max="11791" width="14.42578125" style="1755" customWidth="1"/>
    <col min="11792" max="11792" width="1.5703125" style="1755" customWidth="1"/>
    <col min="11793" max="11793" width="28.5703125" style="1755" customWidth="1"/>
    <col min="11794" max="11794" width="4.5703125" style="1755" customWidth="1"/>
    <col min="11795" max="11801" width="0" style="1755" hidden="1" customWidth="1"/>
    <col min="11802" max="12039" width="9.42578125" style="1755"/>
    <col min="12040" max="12040" width="0" style="1755" hidden="1" customWidth="1"/>
    <col min="12041" max="12041" width="15.42578125" style="1755" customWidth="1"/>
    <col min="12042" max="12042" width="1.5703125" style="1755" customWidth="1"/>
    <col min="12043" max="12043" width="22.5703125" style="1755" customWidth="1"/>
    <col min="12044" max="12044" width="1.5703125" style="1755" customWidth="1"/>
    <col min="12045" max="12045" width="17.42578125" style="1755" customWidth="1"/>
    <col min="12046" max="12046" width="1.5703125" style="1755" customWidth="1"/>
    <col min="12047" max="12047" width="14.42578125" style="1755" customWidth="1"/>
    <col min="12048" max="12048" width="1.5703125" style="1755" customWidth="1"/>
    <col min="12049" max="12049" width="28.5703125" style="1755" customWidth="1"/>
    <col min="12050" max="12050" width="4.5703125" style="1755" customWidth="1"/>
    <col min="12051" max="12057" width="0" style="1755" hidden="1" customWidth="1"/>
    <col min="12058" max="12295" width="9.42578125" style="1755"/>
    <col min="12296" max="12296" width="0" style="1755" hidden="1" customWidth="1"/>
    <col min="12297" max="12297" width="15.42578125" style="1755" customWidth="1"/>
    <col min="12298" max="12298" width="1.5703125" style="1755" customWidth="1"/>
    <col min="12299" max="12299" width="22.5703125" style="1755" customWidth="1"/>
    <col min="12300" max="12300" width="1.5703125" style="1755" customWidth="1"/>
    <col min="12301" max="12301" width="17.42578125" style="1755" customWidth="1"/>
    <col min="12302" max="12302" width="1.5703125" style="1755" customWidth="1"/>
    <col min="12303" max="12303" width="14.42578125" style="1755" customWidth="1"/>
    <col min="12304" max="12304" width="1.5703125" style="1755" customWidth="1"/>
    <col min="12305" max="12305" width="28.5703125" style="1755" customWidth="1"/>
    <col min="12306" max="12306" width="4.5703125" style="1755" customWidth="1"/>
    <col min="12307" max="12313" width="0" style="1755" hidden="1" customWidth="1"/>
    <col min="12314" max="12551" width="9.42578125" style="1755"/>
    <col min="12552" max="12552" width="0" style="1755" hidden="1" customWidth="1"/>
    <col min="12553" max="12553" width="15.42578125" style="1755" customWidth="1"/>
    <col min="12554" max="12554" width="1.5703125" style="1755" customWidth="1"/>
    <col min="12555" max="12555" width="22.5703125" style="1755" customWidth="1"/>
    <col min="12556" max="12556" width="1.5703125" style="1755" customWidth="1"/>
    <col min="12557" max="12557" width="17.42578125" style="1755" customWidth="1"/>
    <col min="12558" max="12558" width="1.5703125" style="1755" customWidth="1"/>
    <col min="12559" max="12559" width="14.42578125" style="1755" customWidth="1"/>
    <col min="12560" max="12560" width="1.5703125" style="1755" customWidth="1"/>
    <col min="12561" max="12561" width="28.5703125" style="1755" customWidth="1"/>
    <col min="12562" max="12562" width="4.5703125" style="1755" customWidth="1"/>
    <col min="12563" max="12569" width="0" style="1755" hidden="1" customWidth="1"/>
    <col min="12570" max="12807" width="9.42578125" style="1755"/>
    <col min="12808" max="12808" width="0" style="1755" hidden="1" customWidth="1"/>
    <col min="12809" max="12809" width="15.42578125" style="1755" customWidth="1"/>
    <col min="12810" max="12810" width="1.5703125" style="1755" customWidth="1"/>
    <col min="12811" max="12811" width="22.5703125" style="1755" customWidth="1"/>
    <col min="12812" max="12812" width="1.5703125" style="1755" customWidth="1"/>
    <col min="12813" max="12813" width="17.42578125" style="1755" customWidth="1"/>
    <col min="12814" max="12814" width="1.5703125" style="1755" customWidth="1"/>
    <col min="12815" max="12815" width="14.42578125" style="1755" customWidth="1"/>
    <col min="12816" max="12816" width="1.5703125" style="1755" customWidth="1"/>
    <col min="12817" max="12817" width="28.5703125" style="1755" customWidth="1"/>
    <col min="12818" max="12818" width="4.5703125" style="1755" customWidth="1"/>
    <col min="12819" max="12825" width="0" style="1755" hidden="1" customWidth="1"/>
    <col min="12826" max="13063" width="9.42578125" style="1755"/>
    <col min="13064" max="13064" width="0" style="1755" hidden="1" customWidth="1"/>
    <col min="13065" max="13065" width="15.42578125" style="1755" customWidth="1"/>
    <col min="13066" max="13066" width="1.5703125" style="1755" customWidth="1"/>
    <col min="13067" max="13067" width="22.5703125" style="1755" customWidth="1"/>
    <col min="13068" max="13068" width="1.5703125" style="1755" customWidth="1"/>
    <col min="13069" max="13069" width="17.42578125" style="1755" customWidth="1"/>
    <col min="13070" max="13070" width="1.5703125" style="1755" customWidth="1"/>
    <col min="13071" max="13071" width="14.42578125" style="1755" customWidth="1"/>
    <col min="13072" max="13072" width="1.5703125" style="1755" customWidth="1"/>
    <col min="13073" max="13073" width="28.5703125" style="1755" customWidth="1"/>
    <col min="13074" max="13074" width="4.5703125" style="1755" customWidth="1"/>
    <col min="13075" max="13081" width="0" style="1755" hidden="1" customWidth="1"/>
    <col min="13082" max="13319" width="9.42578125" style="1755"/>
    <col min="13320" max="13320" width="0" style="1755" hidden="1" customWidth="1"/>
    <col min="13321" max="13321" width="15.42578125" style="1755" customWidth="1"/>
    <col min="13322" max="13322" width="1.5703125" style="1755" customWidth="1"/>
    <col min="13323" max="13323" width="22.5703125" style="1755" customWidth="1"/>
    <col min="13324" max="13324" width="1.5703125" style="1755" customWidth="1"/>
    <col min="13325" max="13325" width="17.42578125" style="1755" customWidth="1"/>
    <col min="13326" max="13326" width="1.5703125" style="1755" customWidth="1"/>
    <col min="13327" max="13327" width="14.42578125" style="1755" customWidth="1"/>
    <col min="13328" max="13328" width="1.5703125" style="1755" customWidth="1"/>
    <col min="13329" max="13329" width="28.5703125" style="1755" customWidth="1"/>
    <col min="13330" max="13330" width="4.5703125" style="1755" customWidth="1"/>
    <col min="13331" max="13337" width="0" style="1755" hidden="1" customWidth="1"/>
    <col min="13338" max="13575" width="9.42578125" style="1755"/>
    <col min="13576" max="13576" width="0" style="1755" hidden="1" customWidth="1"/>
    <col min="13577" max="13577" width="15.42578125" style="1755" customWidth="1"/>
    <col min="13578" max="13578" width="1.5703125" style="1755" customWidth="1"/>
    <col min="13579" max="13579" width="22.5703125" style="1755" customWidth="1"/>
    <col min="13580" max="13580" width="1.5703125" style="1755" customWidth="1"/>
    <col min="13581" max="13581" width="17.42578125" style="1755" customWidth="1"/>
    <col min="13582" max="13582" width="1.5703125" style="1755" customWidth="1"/>
    <col min="13583" max="13583" width="14.42578125" style="1755" customWidth="1"/>
    <col min="13584" max="13584" width="1.5703125" style="1755" customWidth="1"/>
    <col min="13585" max="13585" width="28.5703125" style="1755" customWidth="1"/>
    <col min="13586" max="13586" width="4.5703125" style="1755" customWidth="1"/>
    <col min="13587" max="13593" width="0" style="1755" hidden="1" customWidth="1"/>
    <col min="13594" max="13831" width="9.42578125" style="1755"/>
    <col min="13832" max="13832" width="0" style="1755" hidden="1" customWidth="1"/>
    <col min="13833" max="13833" width="15.42578125" style="1755" customWidth="1"/>
    <col min="13834" max="13834" width="1.5703125" style="1755" customWidth="1"/>
    <col min="13835" max="13835" width="22.5703125" style="1755" customWidth="1"/>
    <col min="13836" max="13836" width="1.5703125" style="1755" customWidth="1"/>
    <col min="13837" max="13837" width="17.42578125" style="1755" customWidth="1"/>
    <col min="13838" max="13838" width="1.5703125" style="1755" customWidth="1"/>
    <col min="13839" max="13839" width="14.42578125" style="1755" customWidth="1"/>
    <col min="13840" max="13840" width="1.5703125" style="1755" customWidth="1"/>
    <col min="13841" max="13841" width="28.5703125" style="1755" customWidth="1"/>
    <col min="13842" max="13842" width="4.5703125" style="1755" customWidth="1"/>
    <col min="13843" max="13849" width="0" style="1755" hidden="1" customWidth="1"/>
    <col min="13850" max="14087" width="9.42578125" style="1755"/>
    <col min="14088" max="14088" width="0" style="1755" hidden="1" customWidth="1"/>
    <col min="14089" max="14089" width="15.42578125" style="1755" customWidth="1"/>
    <col min="14090" max="14090" width="1.5703125" style="1755" customWidth="1"/>
    <col min="14091" max="14091" width="22.5703125" style="1755" customWidth="1"/>
    <col min="14092" max="14092" width="1.5703125" style="1755" customWidth="1"/>
    <col min="14093" max="14093" width="17.42578125" style="1755" customWidth="1"/>
    <col min="14094" max="14094" width="1.5703125" style="1755" customWidth="1"/>
    <col min="14095" max="14095" width="14.42578125" style="1755" customWidth="1"/>
    <col min="14096" max="14096" width="1.5703125" style="1755" customWidth="1"/>
    <col min="14097" max="14097" width="28.5703125" style="1755" customWidth="1"/>
    <col min="14098" max="14098" width="4.5703125" style="1755" customWidth="1"/>
    <col min="14099" max="14105" width="0" style="1755" hidden="1" customWidth="1"/>
    <col min="14106" max="14343" width="9.42578125" style="1755"/>
    <col min="14344" max="14344" width="0" style="1755" hidden="1" customWidth="1"/>
    <col min="14345" max="14345" width="15.42578125" style="1755" customWidth="1"/>
    <col min="14346" max="14346" width="1.5703125" style="1755" customWidth="1"/>
    <col min="14347" max="14347" width="22.5703125" style="1755" customWidth="1"/>
    <col min="14348" max="14348" width="1.5703125" style="1755" customWidth="1"/>
    <col min="14349" max="14349" width="17.42578125" style="1755" customWidth="1"/>
    <col min="14350" max="14350" width="1.5703125" style="1755" customWidth="1"/>
    <col min="14351" max="14351" width="14.42578125" style="1755" customWidth="1"/>
    <col min="14352" max="14352" width="1.5703125" style="1755" customWidth="1"/>
    <col min="14353" max="14353" width="28.5703125" style="1755" customWidth="1"/>
    <col min="14354" max="14354" width="4.5703125" style="1755" customWidth="1"/>
    <col min="14355" max="14361" width="0" style="1755" hidden="1" customWidth="1"/>
    <col min="14362" max="14599" width="9.42578125" style="1755"/>
    <col min="14600" max="14600" width="0" style="1755" hidden="1" customWidth="1"/>
    <col min="14601" max="14601" width="15.42578125" style="1755" customWidth="1"/>
    <col min="14602" max="14602" width="1.5703125" style="1755" customWidth="1"/>
    <col min="14603" max="14603" width="22.5703125" style="1755" customWidth="1"/>
    <col min="14604" max="14604" width="1.5703125" style="1755" customWidth="1"/>
    <col min="14605" max="14605" width="17.42578125" style="1755" customWidth="1"/>
    <col min="14606" max="14606" width="1.5703125" style="1755" customWidth="1"/>
    <col min="14607" max="14607" width="14.42578125" style="1755" customWidth="1"/>
    <col min="14608" max="14608" width="1.5703125" style="1755" customWidth="1"/>
    <col min="14609" max="14609" width="28.5703125" style="1755" customWidth="1"/>
    <col min="14610" max="14610" width="4.5703125" style="1755" customWidth="1"/>
    <col min="14611" max="14617" width="0" style="1755" hidden="1" customWidth="1"/>
    <col min="14618" max="14855" width="9.42578125" style="1755"/>
    <col min="14856" max="14856" width="0" style="1755" hidden="1" customWidth="1"/>
    <col min="14857" max="14857" width="15.42578125" style="1755" customWidth="1"/>
    <col min="14858" max="14858" width="1.5703125" style="1755" customWidth="1"/>
    <col min="14859" max="14859" width="22.5703125" style="1755" customWidth="1"/>
    <col min="14860" max="14860" width="1.5703125" style="1755" customWidth="1"/>
    <col min="14861" max="14861" width="17.42578125" style="1755" customWidth="1"/>
    <col min="14862" max="14862" width="1.5703125" style="1755" customWidth="1"/>
    <col min="14863" max="14863" width="14.42578125" style="1755" customWidth="1"/>
    <col min="14864" max="14864" width="1.5703125" style="1755" customWidth="1"/>
    <col min="14865" max="14865" width="28.5703125" style="1755" customWidth="1"/>
    <col min="14866" max="14866" width="4.5703125" style="1755" customWidth="1"/>
    <col min="14867" max="14873" width="0" style="1755" hidden="1" customWidth="1"/>
    <col min="14874" max="15111" width="9.42578125" style="1755"/>
    <col min="15112" max="15112" width="0" style="1755" hidden="1" customWidth="1"/>
    <col min="15113" max="15113" width="15.42578125" style="1755" customWidth="1"/>
    <col min="15114" max="15114" width="1.5703125" style="1755" customWidth="1"/>
    <col min="15115" max="15115" width="22.5703125" style="1755" customWidth="1"/>
    <col min="15116" max="15116" width="1.5703125" style="1755" customWidth="1"/>
    <col min="15117" max="15117" width="17.42578125" style="1755" customWidth="1"/>
    <col min="15118" max="15118" width="1.5703125" style="1755" customWidth="1"/>
    <col min="15119" max="15119" width="14.42578125" style="1755" customWidth="1"/>
    <col min="15120" max="15120" width="1.5703125" style="1755" customWidth="1"/>
    <col min="15121" max="15121" width="28.5703125" style="1755" customWidth="1"/>
    <col min="15122" max="15122" width="4.5703125" style="1755" customWidth="1"/>
    <col min="15123" max="15129" width="0" style="1755" hidden="1" customWidth="1"/>
    <col min="15130" max="15367" width="9.42578125" style="1755"/>
    <col min="15368" max="15368" width="0" style="1755" hidden="1" customWidth="1"/>
    <col min="15369" max="15369" width="15.42578125" style="1755" customWidth="1"/>
    <col min="15370" max="15370" width="1.5703125" style="1755" customWidth="1"/>
    <col min="15371" max="15371" width="22.5703125" style="1755" customWidth="1"/>
    <col min="15372" max="15372" width="1.5703125" style="1755" customWidth="1"/>
    <col min="15373" max="15373" width="17.42578125" style="1755" customWidth="1"/>
    <col min="15374" max="15374" width="1.5703125" style="1755" customWidth="1"/>
    <col min="15375" max="15375" width="14.42578125" style="1755" customWidth="1"/>
    <col min="15376" max="15376" width="1.5703125" style="1755" customWidth="1"/>
    <col min="15377" max="15377" width="28.5703125" style="1755" customWidth="1"/>
    <col min="15378" max="15378" width="4.5703125" style="1755" customWidth="1"/>
    <col min="15379" max="15385" width="0" style="1755" hidden="1" customWidth="1"/>
    <col min="15386" max="15623" width="9.42578125" style="1755"/>
    <col min="15624" max="15624" width="0" style="1755" hidden="1" customWidth="1"/>
    <col min="15625" max="15625" width="15.42578125" style="1755" customWidth="1"/>
    <col min="15626" max="15626" width="1.5703125" style="1755" customWidth="1"/>
    <col min="15627" max="15627" width="22.5703125" style="1755" customWidth="1"/>
    <col min="15628" max="15628" width="1.5703125" style="1755" customWidth="1"/>
    <col min="15629" max="15629" width="17.42578125" style="1755" customWidth="1"/>
    <col min="15630" max="15630" width="1.5703125" style="1755" customWidth="1"/>
    <col min="15631" max="15631" width="14.42578125" style="1755" customWidth="1"/>
    <col min="15632" max="15632" width="1.5703125" style="1755" customWidth="1"/>
    <col min="15633" max="15633" width="28.5703125" style="1755" customWidth="1"/>
    <col min="15634" max="15634" width="4.5703125" style="1755" customWidth="1"/>
    <col min="15635" max="15641" width="0" style="1755" hidden="1" customWidth="1"/>
    <col min="15642" max="15879" width="9.42578125" style="1755"/>
    <col min="15880" max="15880" width="0" style="1755" hidden="1" customWidth="1"/>
    <col min="15881" max="15881" width="15.42578125" style="1755" customWidth="1"/>
    <col min="15882" max="15882" width="1.5703125" style="1755" customWidth="1"/>
    <col min="15883" max="15883" width="22.5703125" style="1755" customWidth="1"/>
    <col min="15884" max="15884" width="1.5703125" style="1755" customWidth="1"/>
    <col min="15885" max="15885" width="17.42578125" style="1755" customWidth="1"/>
    <col min="15886" max="15886" width="1.5703125" style="1755" customWidth="1"/>
    <col min="15887" max="15887" width="14.42578125" style="1755" customWidth="1"/>
    <col min="15888" max="15888" width="1.5703125" style="1755" customWidth="1"/>
    <col min="15889" max="15889" width="28.5703125" style="1755" customWidth="1"/>
    <col min="15890" max="15890" width="4.5703125" style="1755" customWidth="1"/>
    <col min="15891" max="15897" width="0" style="1755" hidden="1" customWidth="1"/>
    <col min="15898" max="16135" width="9.42578125" style="1755"/>
    <col min="16136" max="16136" width="0" style="1755" hidden="1" customWidth="1"/>
    <col min="16137" max="16137" width="15.42578125" style="1755" customWidth="1"/>
    <col min="16138" max="16138" width="1.5703125" style="1755" customWidth="1"/>
    <col min="16139" max="16139" width="22.5703125" style="1755" customWidth="1"/>
    <col min="16140" max="16140" width="1.5703125" style="1755" customWidth="1"/>
    <col min="16141" max="16141" width="17.42578125" style="1755" customWidth="1"/>
    <col min="16142" max="16142" width="1.5703125" style="1755" customWidth="1"/>
    <col min="16143" max="16143" width="14.42578125" style="1755" customWidth="1"/>
    <col min="16144" max="16144" width="1.5703125" style="1755" customWidth="1"/>
    <col min="16145" max="16145" width="28.5703125" style="1755" customWidth="1"/>
    <col min="16146" max="16146" width="4.5703125" style="1755" customWidth="1"/>
    <col min="16147" max="16153" width="0" style="1755" hidden="1" customWidth="1"/>
    <col min="16154" max="16384" width="9.42578125" style="1755"/>
  </cols>
  <sheetData>
    <row r="1" spans="1:24" s="1738"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7"/>
      <c r="O1" s="2767"/>
      <c r="P1" s="2767"/>
      <c r="Q1" s="2767"/>
      <c r="R1" s="2829" t="str">
        <f>IF(Index!$B$74="na","NA","")</f>
        <v/>
      </c>
      <c r="S1" s="182"/>
      <c r="T1" s="182"/>
      <c r="U1" s="182"/>
      <c r="V1" s="182"/>
      <c r="W1" s="182"/>
      <c r="X1" s="182"/>
    </row>
    <row r="2" spans="1:24" s="1738" customFormat="1" ht="15" customHeight="1" x14ac:dyDescent="0.25">
      <c r="A2" s="3099" t="str">
        <f>Index!A2</f>
        <v>2022 ACFR Worksheets</v>
      </c>
      <c r="B2" s="3099"/>
      <c r="C2" s="3099"/>
      <c r="D2" s="3099"/>
      <c r="E2" s="3099"/>
      <c r="F2" s="3099"/>
      <c r="G2" s="3099"/>
      <c r="H2" s="3099"/>
      <c r="I2" s="3099"/>
      <c r="J2" s="3099"/>
      <c r="K2" s="3099"/>
      <c r="L2" s="3099"/>
      <c r="M2" s="3099"/>
      <c r="N2" s="3099"/>
      <c r="O2" s="3099"/>
      <c r="P2" s="3099"/>
      <c r="Q2" s="3099"/>
      <c r="R2" s="2829"/>
      <c r="S2" s="182"/>
      <c r="T2" s="182"/>
      <c r="U2" s="182"/>
      <c r="V2" s="182"/>
      <c r="W2" s="182"/>
      <c r="X2" s="182"/>
    </row>
    <row r="3" spans="1:24" s="1738" customFormat="1" ht="15" customHeight="1" x14ac:dyDescent="0.25">
      <c r="A3" s="3099" t="s">
        <v>4597</v>
      </c>
      <c r="B3" s="3099"/>
      <c r="C3" s="3099"/>
      <c r="D3" s="3099"/>
      <c r="E3" s="3099"/>
      <c r="F3" s="3099"/>
      <c r="G3" s="3099"/>
      <c r="H3" s="3099"/>
      <c r="I3" s="3099"/>
      <c r="J3" s="3099"/>
      <c r="K3" s="3099"/>
      <c r="L3" s="3099"/>
      <c r="M3" s="3099"/>
      <c r="N3" s="3099"/>
      <c r="O3" s="3099"/>
      <c r="P3" s="3099"/>
      <c r="Q3" s="3099"/>
      <c r="R3" s="2829"/>
      <c r="S3" s="182"/>
      <c r="T3" s="182"/>
      <c r="U3" s="182"/>
      <c r="V3" s="182"/>
      <c r="W3" s="182"/>
      <c r="X3" s="182"/>
    </row>
    <row r="4" spans="1:24" s="1738" customFormat="1" ht="15" customHeight="1" x14ac:dyDescent="0.25">
      <c r="A4" s="3099" t="s">
        <v>4310</v>
      </c>
      <c r="B4" s="3099"/>
      <c r="C4" s="3099"/>
      <c r="D4" s="3099"/>
      <c r="E4" s="3099"/>
      <c r="F4" s="3099"/>
      <c r="G4" s="3099"/>
      <c r="H4" s="3099"/>
      <c r="I4" s="3099"/>
      <c r="J4" s="3099"/>
      <c r="K4" s="3099"/>
      <c r="L4" s="3099"/>
      <c r="M4" s="3099"/>
      <c r="N4" s="3099"/>
      <c r="O4" s="3099"/>
      <c r="P4" s="3099"/>
      <c r="Q4" s="3099"/>
    </row>
    <row r="5" spans="1:24" s="1739" customFormat="1" ht="15" customHeight="1" x14ac:dyDescent="0.25">
      <c r="C5" s="1740"/>
      <c r="D5" s="1741"/>
      <c r="E5" s="1741"/>
      <c r="F5" s="1741"/>
      <c r="G5" s="1741"/>
      <c r="H5" s="1741"/>
      <c r="I5" s="1741"/>
      <c r="J5" s="1741"/>
      <c r="K5" s="1742"/>
      <c r="L5" s="1742"/>
      <c r="M5" s="1742"/>
      <c r="N5" s="1742"/>
      <c r="O5" s="1742" t="s">
        <v>4303</v>
      </c>
      <c r="P5" s="1742"/>
      <c r="Q5" s="1742"/>
    </row>
    <row r="6" spans="1:24" s="1739" customFormat="1" ht="15" customHeight="1" x14ac:dyDescent="0.2">
      <c r="A6" s="1743" t="s">
        <v>327</v>
      </c>
      <c r="C6" s="1744" t="str">
        <f>Index!E10</f>
        <v>01</v>
      </c>
      <c r="D6" s="1744"/>
      <c r="E6" s="1744"/>
      <c r="H6" s="1745"/>
      <c r="I6" s="1775"/>
      <c r="J6" s="1775"/>
      <c r="K6" s="1775"/>
      <c r="L6" s="1745" t="s">
        <v>972</v>
      </c>
      <c r="M6" s="3100" t="str">
        <f>CONCATENATE(Index!$E$12," ",Index!$E$14)</f>
        <v xml:space="preserve"> </v>
      </c>
      <c r="N6" s="3100"/>
      <c r="O6" s="3100"/>
      <c r="P6" s="3100"/>
      <c r="Q6" s="3100"/>
    </row>
    <row r="7" spans="1:24" s="1739" customFormat="1" ht="15" customHeight="1" x14ac:dyDescent="0.2">
      <c r="A7" s="1743" t="s">
        <v>1154</v>
      </c>
      <c r="C7" s="3104" t="str">
        <f>Index!E11</f>
        <v>North Carolina General Assembly</v>
      </c>
      <c r="D7" s="3104"/>
      <c r="E7" s="3104"/>
      <c r="G7" s="1745"/>
      <c r="I7" s="1767"/>
      <c r="J7" s="1767"/>
      <c r="K7" s="1767"/>
      <c r="L7" s="1745" t="s">
        <v>348</v>
      </c>
      <c r="M7" s="3106">
        <f>Index!E13</f>
        <v>0</v>
      </c>
      <c r="N7" s="3106"/>
      <c r="O7" s="3106"/>
      <c r="P7" s="3106"/>
      <c r="Q7" s="3106"/>
    </row>
    <row r="8" spans="1:24" s="1739" customFormat="1" ht="15" customHeight="1" x14ac:dyDescent="0.2">
      <c r="A8" s="1743" t="s">
        <v>723</v>
      </c>
      <c r="C8" s="3105"/>
      <c r="D8" s="3105"/>
      <c r="E8" s="3105"/>
    </row>
    <row r="9" spans="1:24" s="1739" customFormat="1" ht="15" customHeight="1" thickBot="1" x14ac:dyDescent="0.25">
      <c r="A9" s="1746"/>
      <c r="B9" s="1746"/>
      <c r="C9" s="1746"/>
      <c r="D9" s="1746"/>
      <c r="E9" s="1746"/>
      <c r="F9" s="1746"/>
      <c r="G9" s="1746"/>
      <c r="H9" s="1746"/>
      <c r="I9" s="1746"/>
      <c r="J9" s="1746"/>
      <c r="K9" s="1746"/>
      <c r="L9" s="1746"/>
      <c r="M9" s="1746"/>
      <c r="N9" s="1746"/>
      <c r="O9" s="1746"/>
      <c r="P9" s="1746"/>
      <c r="Q9" s="1746"/>
    </row>
    <row r="10" spans="1:24" s="1739" customFormat="1" ht="15" customHeight="1" x14ac:dyDescent="0.2">
      <c r="A10" s="3101" t="s">
        <v>4465</v>
      </c>
      <c r="B10" s="3102"/>
      <c r="C10" s="3103"/>
      <c r="E10" s="3101" t="s">
        <v>4464</v>
      </c>
      <c r="F10" s="3102"/>
      <c r="G10" s="3103"/>
    </row>
    <row r="11" spans="1:24" s="1739" customFormat="1" ht="15" customHeight="1" x14ac:dyDescent="0.2">
      <c r="A11" s="1855"/>
      <c r="C11" s="1856" t="s">
        <v>1064</v>
      </c>
      <c r="E11" s="1855" t="s">
        <v>973</v>
      </c>
      <c r="G11" s="1860"/>
      <c r="H11" s="1747" t="s">
        <v>973</v>
      </c>
      <c r="J11" s="1740"/>
    </row>
    <row r="12" spans="1:24" s="1739" customFormat="1" ht="15" customHeight="1" x14ac:dyDescent="0.2">
      <c r="A12" s="1855"/>
      <c r="C12" s="1856" t="s">
        <v>4305</v>
      </c>
      <c r="E12" s="1855"/>
      <c r="G12" s="1856"/>
      <c r="J12" s="1740"/>
    </row>
    <row r="13" spans="1:24" s="1739" customFormat="1" ht="15" customHeight="1" x14ac:dyDescent="0.2">
      <c r="A13" s="1855"/>
      <c r="C13" s="1856" t="s">
        <v>5530</v>
      </c>
      <c r="E13" s="1855"/>
      <c r="G13" s="1856"/>
      <c r="J13" s="1740"/>
    </row>
    <row r="14" spans="1:24" s="1739" customFormat="1" ht="15" customHeight="1" thickBot="1" x14ac:dyDescent="0.25">
      <c r="A14" s="1855"/>
      <c r="C14" s="2629" t="s">
        <v>5529</v>
      </c>
      <c r="E14" s="1855"/>
      <c r="G14" s="1856"/>
      <c r="J14" s="1740"/>
      <c r="M14" s="2157"/>
      <c r="N14" s="2158"/>
      <c r="O14" s="2158"/>
      <c r="P14" s="2158"/>
      <c r="Q14" s="2158"/>
    </row>
    <row r="15" spans="1:24" s="1739" customFormat="1" ht="15" customHeight="1" thickBot="1" x14ac:dyDescent="0.25">
      <c r="A15" s="1855"/>
      <c r="C15" s="1856" t="s">
        <v>5661</v>
      </c>
      <c r="E15" s="1855"/>
      <c r="G15" s="1856"/>
      <c r="J15" s="1740"/>
      <c r="M15" s="221" t="s">
        <v>352</v>
      </c>
      <c r="N15" s="1969"/>
      <c r="O15" s="1969"/>
      <c r="P15" s="1969"/>
      <c r="Q15" s="1969"/>
    </row>
    <row r="16" spans="1:24" s="1739" customFormat="1" ht="15" customHeight="1" x14ac:dyDescent="0.2">
      <c r="A16" s="1855" t="s">
        <v>4304</v>
      </c>
      <c r="C16" s="1856" t="s">
        <v>5662</v>
      </c>
      <c r="E16" s="1855" t="s">
        <v>4306</v>
      </c>
      <c r="G16" s="1856" t="s">
        <v>4307</v>
      </c>
      <c r="J16" s="1740"/>
      <c r="M16" s="1970"/>
      <c r="N16" s="1970"/>
      <c r="O16" s="1970"/>
      <c r="P16" s="1970"/>
      <c r="Q16" s="220" t="s">
        <v>86</v>
      </c>
    </row>
    <row r="17" spans="1:26" s="1739" customFormat="1" ht="15" customHeight="1" thickBot="1" x14ac:dyDescent="0.25">
      <c r="A17" s="1857" t="s">
        <v>808</v>
      </c>
      <c r="C17" s="1858" t="s">
        <v>4311</v>
      </c>
      <c r="E17" s="1857" t="s">
        <v>4312</v>
      </c>
      <c r="G17" s="1858" t="s">
        <v>4312</v>
      </c>
      <c r="I17" s="1748" t="s">
        <v>1156</v>
      </c>
      <c r="K17" s="1748" t="s">
        <v>4600</v>
      </c>
      <c r="L17" s="1747"/>
      <c r="M17" s="224" t="s">
        <v>1198</v>
      </c>
      <c r="N17" s="219"/>
      <c r="O17" s="224" t="s">
        <v>1199</v>
      </c>
      <c r="P17" s="1971"/>
      <c r="Q17" s="224" t="s">
        <v>1200</v>
      </c>
      <c r="R17" s="1747" t="s">
        <v>973</v>
      </c>
      <c r="S17" s="1747"/>
      <c r="T17" s="1747"/>
      <c r="U17" s="1747"/>
      <c r="V17" s="1747"/>
      <c r="W17" s="1747"/>
      <c r="X17" s="1747"/>
    </row>
    <row r="18" spans="1:26" s="1739" customFormat="1" ht="15" customHeight="1" x14ac:dyDescent="0.2">
      <c r="A18" s="1972" t="s">
        <v>4460</v>
      </c>
      <c r="C18" s="1973">
        <v>538101</v>
      </c>
      <c r="E18" s="1974" t="s">
        <v>4468</v>
      </c>
      <c r="G18" s="1973">
        <v>1100</v>
      </c>
      <c r="H18" s="1750"/>
      <c r="I18" s="1975">
        <v>3000000</v>
      </c>
      <c r="K18" s="1976" t="s">
        <v>4461</v>
      </c>
      <c r="L18" s="1977"/>
      <c r="M18" s="1978" t="s">
        <v>4601</v>
      </c>
      <c r="N18" s="1979"/>
      <c r="O18" s="1978"/>
      <c r="P18" s="1979"/>
      <c r="Q18" s="1978"/>
      <c r="R18" s="552" t="str">
        <f t="shared" ref="R18:R32" si="0">IF(AND(S18,Y18),"","*")</f>
        <v/>
      </c>
      <c r="S18" s="1752" t="b">
        <f>IF(OR(T18=0,T18=5),TRUE, FALSE)</f>
        <v>1</v>
      </c>
      <c r="T18" s="1752">
        <f>COUNTIF(U18:Z18,FALSE)</f>
        <v>5</v>
      </c>
      <c r="U18" s="1753" t="b">
        <f>ISBLANK(C18)</f>
        <v>0</v>
      </c>
      <c r="V18" s="1753" t="b">
        <f>ISBLANK(E18)</f>
        <v>0</v>
      </c>
      <c r="W18" s="1753" t="b">
        <f>ISBLANK(G18)</f>
        <v>0</v>
      </c>
      <c r="X18" s="1753" t="b">
        <f>ISBLANK(I18)</f>
        <v>0</v>
      </c>
      <c r="Y18" s="1754" t="b">
        <f>IF(ISBLANK(C18),TRUE,OR(TEXT(LEFT(C18,4),"0000")="5381",TEXT(LEFT(C18,4),"0000")="5380",TEXT(LEFT(C18,4),"0000")="538F"))</f>
        <v>1</v>
      </c>
      <c r="Z18" s="1739" t="b">
        <f t="shared" ref="Z18:Z32" si="1">AND(ISBLANK(M18),ISBLANK(O18),ISBLANK(Q18))</f>
        <v>0</v>
      </c>
    </row>
    <row r="19" spans="1:26" s="1739" customFormat="1" ht="15" customHeight="1" x14ac:dyDescent="0.2">
      <c r="A19" s="1862"/>
      <c r="C19" s="1859"/>
      <c r="E19" s="1861"/>
      <c r="G19" s="1859"/>
      <c r="H19" s="1750"/>
      <c r="I19" s="1751"/>
      <c r="K19" s="1749"/>
      <c r="L19" s="1854"/>
      <c r="M19" s="1996"/>
      <c r="N19" s="1997"/>
      <c r="O19" s="1998"/>
      <c r="P19" s="1997"/>
      <c r="Q19" s="1998"/>
      <c r="R19" s="552" t="str">
        <f t="shared" si="0"/>
        <v/>
      </c>
      <c r="S19" s="1752" t="b">
        <f t="shared" ref="S19:S32" si="2">IF(OR(T19=0,T19=5),TRUE, FALSE)</f>
        <v>1</v>
      </c>
      <c r="T19" s="1752">
        <f t="shared" ref="T19:T32" si="3">COUNTIF(U19:Z19,FALSE)</f>
        <v>0</v>
      </c>
      <c r="U19" s="1753" t="b">
        <f t="shared" ref="U19:U32" si="4">ISBLANK(C19)</f>
        <v>1</v>
      </c>
      <c r="V19" s="1753" t="b">
        <f t="shared" ref="V19:V32" si="5">ISBLANK(E19)</f>
        <v>1</v>
      </c>
      <c r="W19" s="1753" t="b">
        <f t="shared" ref="W19:W32" si="6">ISBLANK(G19)</f>
        <v>1</v>
      </c>
      <c r="X19" s="1753" t="b">
        <f t="shared" ref="X19:X32" si="7">ISBLANK(I19)</f>
        <v>1</v>
      </c>
      <c r="Y19" s="1754" t="b">
        <f t="shared" ref="Y19:Y32" si="8">IF(ISBLANK(C19),TRUE,OR(TEXT(LEFT(C19,4),"0000")="5381",TEXT(LEFT(C19,4),"0000")="5380",TEXT(LEFT(C19,4),"0000")="538F"))</f>
        <v>1</v>
      </c>
      <c r="Z19" s="1739" t="b">
        <f t="shared" si="1"/>
        <v>1</v>
      </c>
    </row>
    <row r="20" spans="1:26" s="1739" customFormat="1" ht="15" customHeight="1" x14ac:dyDescent="0.2">
      <c r="A20" s="1862"/>
      <c r="C20" s="1859"/>
      <c r="E20" s="1861"/>
      <c r="G20" s="1859"/>
      <c r="H20" s="1750"/>
      <c r="I20" s="1751"/>
      <c r="K20" s="1749"/>
      <c r="L20" s="1854"/>
      <c r="M20" s="1998"/>
      <c r="N20" s="1997"/>
      <c r="O20" s="1998"/>
      <c r="P20" s="1997"/>
      <c r="Q20" s="1998"/>
      <c r="R20" s="552" t="str">
        <f t="shared" si="0"/>
        <v/>
      </c>
      <c r="S20" s="1752" t="b">
        <f t="shared" si="2"/>
        <v>1</v>
      </c>
      <c r="T20" s="1752">
        <f t="shared" si="3"/>
        <v>0</v>
      </c>
      <c r="U20" s="1753" t="b">
        <f t="shared" si="4"/>
        <v>1</v>
      </c>
      <c r="V20" s="1753" t="b">
        <f t="shared" si="5"/>
        <v>1</v>
      </c>
      <c r="W20" s="1753" t="b">
        <f t="shared" si="6"/>
        <v>1</v>
      </c>
      <c r="X20" s="1753" t="b">
        <f t="shared" si="7"/>
        <v>1</v>
      </c>
      <c r="Y20" s="1754" t="b">
        <f t="shared" si="8"/>
        <v>1</v>
      </c>
      <c r="Z20" s="1739" t="b">
        <f t="shared" si="1"/>
        <v>1</v>
      </c>
    </row>
    <row r="21" spans="1:26" s="1739" customFormat="1" ht="15" customHeight="1" x14ac:dyDescent="0.2">
      <c r="A21" s="1862"/>
      <c r="C21" s="1859"/>
      <c r="E21" s="1861"/>
      <c r="G21" s="1859"/>
      <c r="H21" s="1750"/>
      <c r="I21" s="1751"/>
      <c r="K21" s="1749"/>
      <c r="L21" s="1854"/>
      <c r="M21" s="1998"/>
      <c r="N21" s="1997"/>
      <c r="O21" s="1998"/>
      <c r="P21" s="1997"/>
      <c r="Q21" s="1998"/>
      <c r="R21" s="552" t="str">
        <f t="shared" si="0"/>
        <v/>
      </c>
      <c r="S21" s="1752" t="b">
        <f t="shared" si="2"/>
        <v>1</v>
      </c>
      <c r="T21" s="1752">
        <f t="shared" si="3"/>
        <v>0</v>
      </c>
      <c r="U21" s="1753" t="b">
        <f t="shared" si="4"/>
        <v>1</v>
      </c>
      <c r="V21" s="1753" t="b">
        <f t="shared" si="5"/>
        <v>1</v>
      </c>
      <c r="W21" s="1753" t="b">
        <f t="shared" si="6"/>
        <v>1</v>
      </c>
      <c r="X21" s="1753" t="b">
        <f t="shared" si="7"/>
        <v>1</v>
      </c>
      <c r="Y21" s="1754" t="b">
        <f t="shared" si="8"/>
        <v>1</v>
      </c>
      <c r="Z21" s="1739" t="b">
        <f t="shared" si="1"/>
        <v>1</v>
      </c>
    </row>
    <row r="22" spans="1:26" s="1739" customFormat="1" ht="15" customHeight="1" x14ac:dyDescent="0.2">
      <c r="A22" s="1862"/>
      <c r="C22" s="1859"/>
      <c r="E22" s="1861"/>
      <c r="G22" s="1859"/>
      <c r="H22" s="1750"/>
      <c r="I22" s="1751"/>
      <c r="K22" s="1749"/>
      <c r="L22" s="1854"/>
      <c r="M22" s="1998"/>
      <c r="N22" s="1997"/>
      <c r="O22" s="1998"/>
      <c r="P22" s="1997"/>
      <c r="Q22" s="1998"/>
      <c r="R22" s="552" t="str">
        <f t="shared" si="0"/>
        <v/>
      </c>
      <c r="S22" s="1752" t="b">
        <f t="shared" si="2"/>
        <v>1</v>
      </c>
      <c r="T22" s="1752">
        <f t="shared" si="3"/>
        <v>0</v>
      </c>
      <c r="U22" s="1753" t="b">
        <f t="shared" si="4"/>
        <v>1</v>
      </c>
      <c r="V22" s="1753" t="b">
        <f t="shared" si="5"/>
        <v>1</v>
      </c>
      <c r="W22" s="1753" t="b">
        <f t="shared" si="6"/>
        <v>1</v>
      </c>
      <c r="X22" s="1753" t="b">
        <f t="shared" si="7"/>
        <v>1</v>
      </c>
      <c r="Y22" s="1754" t="b">
        <f t="shared" si="8"/>
        <v>1</v>
      </c>
      <c r="Z22" s="1739" t="b">
        <f t="shared" si="1"/>
        <v>1</v>
      </c>
    </row>
    <row r="23" spans="1:26" s="1739" customFormat="1" ht="15" customHeight="1" x14ac:dyDescent="0.2">
      <c r="A23" s="1862"/>
      <c r="C23" s="1859"/>
      <c r="E23" s="1861"/>
      <c r="G23" s="1859"/>
      <c r="H23" s="1750"/>
      <c r="I23" s="1751"/>
      <c r="K23" s="1749"/>
      <c r="L23" s="1854"/>
      <c r="M23" s="1998"/>
      <c r="N23" s="1997"/>
      <c r="O23" s="1998"/>
      <c r="P23" s="1997"/>
      <c r="Q23" s="1998"/>
      <c r="R23" s="552" t="str">
        <f t="shared" si="0"/>
        <v/>
      </c>
      <c r="S23" s="1752" t="b">
        <f t="shared" si="2"/>
        <v>1</v>
      </c>
      <c r="T23" s="1752">
        <f t="shared" si="3"/>
        <v>0</v>
      </c>
      <c r="U23" s="1753" t="b">
        <f t="shared" si="4"/>
        <v>1</v>
      </c>
      <c r="V23" s="1753" t="b">
        <f t="shared" si="5"/>
        <v>1</v>
      </c>
      <c r="W23" s="1753" t="b">
        <f t="shared" si="6"/>
        <v>1</v>
      </c>
      <c r="X23" s="1753" t="b">
        <f t="shared" si="7"/>
        <v>1</v>
      </c>
      <c r="Y23" s="1754" t="b">
        <f t="shared" si="8"/>
        <v>1</v>
      </c>
      <c r="Z23" s="1739" t="b">
        <f t="shared" si="1"/>
        <v>1</v>
      </c>
    </row>
    <row r="24" spans="1:26" s="1739" customFormat="1" ht="15" customHeight="1" x14ac:dyDescent="0.2">
      <c r="A24" s="1862"/>
      <c r="C24" s="1859"/>
      <c r="E24" s="1861"/>
      <c r="G24" s="1859"/>
      <c r="H24" s="1750"/>
      <c r="I24" s="1751"/>
      <c r="K24" s="1749"/>
      <c r="L24" s="1854"/>
      <c r="M24" s="1998"/>
      <c r="N24" s="1997"/>
      <c r="O24" s="1998"/>
      <c r="P24" s="1997"/>
      <c r="Q24" s="1998"/>
      <c r="R24" s="552" t="str">
        <f t="shared" si="0"/>
        <v/>
      </c>
      <c r="S24" s="1752" t="b">
        <f t="shared" si="2"/>
        <v>1</v>
      </c>
      <c r="T24" s="1752">
        <f t="shared" si="3"/>
        <v>0</v>
      </c>
      <c r="U24" s="1753" t="b">
        <f t="shared" si="4"/>
        <v>1</v>
      </c>
      <c r="V24" s="1753" t="b">
        <f t="shared" si="5"/>
        <v>1</v>
      </c>
      <c r="W24" s="1753" t="b">
        <f t="shared" si="6"/>
        <v>1</v>
      </c>
      <c r="X24" s="1753" t="b">
        <f t="shared" si="7"/>
        <v>1</v>
      </c>
      <c r="Y24" s="1754" t="b">
        <f t="shared" si="8"/>
        <v>1</v>
      </c>
      <c r="Z24" s="1739" t="b">
        <f t="shared" si="1"/>
        <v>1</v>
      </c>
    </row>
    <row r="25" spans="1:26" s="1739" customFormat="1" ht="15" customHeight="1" x14ac:dyDescent="0.2">
      <c r="A25" s="1862"/>
      <c r="C25" s="1859"/>
      <c r="E25" s="1861"/>
      <c r="G25" s="1859"/>
      <c r="H25" s="1750"/>
      <c r="I25" s="1751"/>
      <c r="K25" s="1749"/>
      <c r="L25" s="1854"/>
      <c r="M25" s="1998"/>
      <c r="N25" s="1997"/>
      <c r="O25" s="1998"/>
      <c r="P25" s="1997"/>
      <c r="Q25" s="1998"/>
      <c r="R25" s="552" t="str">
        <f t="shared" si="0"/>
        <v/>
      </c>
      <c r="S25" s="1752" t="b">
        <f t="shared" si="2"/>
        <v>1</v>
      </c>
      <c r="T25" s="1752">
        <f t="shared" si="3"/>
        <v>0</v>
      </c>
      <c r="U25" s="1753" t="b">
        <f t="shared" si="4"/>
        <v>1</v>
      </c>
      <c r="V25" s="1753" t="b">
        <f t="shared" si="5"/>
        <v>1</v>
      </c>
      <c r="W25" s="1753" t="b">
        <f t="shared" si="6"/>
        <v>1</v>
      </c>
      <c r="X25" s="1753" t="b">
        <f t="shared" si="7"/>
        <v>1</v>
      </c>
      <c r="Y25" s="1754" t="b">
        <f t="shared" si="8"/>
        <v>1</v>
      </c>
      <c r="Z25" s="1739" t="b">
        <f t="shared" si="1"/>
        <v>1</v>
      </c>
    </row>
    <row r="26" spans="1:26" s="1739" customFormat="1" ht="15" customHeight="1" x14ac:dyDescent="0.2">
      <c r="A26" s="1862"/>
      <c r="C26" s="1859"/>
      <c r="E26" s="1861"/>
      <c r="G26" s="1859"/>
      <c r="H26" s="1750"/>
      <c r="I26" s="1751"/>
      <c r="K26" s="1749"/>
      <c r="L26" s="1854"/>
      <c r="M26" s="1998"/>
      <c r="N26" s="1997"/>
      <c r="O26" s="1998"/>
      <c r="P26" s="1997"/>
      <c r="Q26" s="1998"/>
      <c r="R26" s="552" t="str">
        <f t="shared" si="0"/>
        <v/>
      </c>
      <c r="S26" s="1752" t="b">
        <f t="shared" si="2"/>
        <v>1</v>
      </c>
      <c r="T26" s="1752">
        <f t="shared" si="3"/>
        <v>0</v>
      </c>
      <c r="U26" s="1753" t="b">
        <f t="shared" si="4"/>
        <v>1</v>
      </c>
      <c r="V26" s="1753" t="b">
        <f t="shared" si="5"/>
        <v>1</v>
      </c>
      <c r="W26" s="1753" t="b">
        <f t="shared" si="6"/>
        <v>1</v>
      </c>
      <c r="X26" s="1753" t="b">
        <f t="shared" si="7"/>
        <v>1</v>
      </c>
      <c r="Y26" s="1754" t="b">
        <f t="shared" si="8"/>
        <v>1</v>
      </c>
      <c r="Z26" s="1739" t="b">
        <f t="shared" si="1"/>
        <v>1</v>
      </c>
    </row>
    <row r="27" spans="1:26" s="1739" customFormat="1" ht="15" customHeight="1" x14ac:dyDescent="0.2">
      <c r="A27" s="1862"/>
      <c r="C27" s="1859"/>
      <c r="E27" s="1861"/>
      <c r="G27" s="1859"/>
      <c r="H27" s="1750"/>
      <c r="I27" s="1751"/>
      <c r="K27" s="1749"/>
      <c r="L27" s="1854"/>
      <c r="M27" s="1998"/>
      <c r="N27" s="1997"/>
      <c r="O27" s="1998"/>
      <c r="P27" s="1997"/>
      <c r="Q27" s="1998"/>
      <c r="R27" s="552" t="str">
        <f t="shared" si="0"/>
        <v/>
      </c>
      <c r="S27" s="1752" t="b">
        <f t="shared" si="2"/>
        <v>1</v>
      </c>
      <c r="T27" s="1752">
        <f t="shared" si="3"/>
        <v>0</v>
      </c>
      <c r="U27" s="1753" t="b">
        <f t="shared" si="4"/>
        <v>1</v>
      </c>
      <c r="V27" s="1753" t="b">
        <f t="shared" si="5"/>
        <v>1</v>
      </c>
      <c r="W27" s="1753" t="b">
        <f t="shared" si="6"/>
        <v>1</v>
      </c>
      <c r="X27" s="1753" t="b">
        <f t="shared" si="7"/>
        <v>1</v>
      </c>
      <c r="Y27" s="1754" t="b">
        <f t="shared" si="8"/>
        <v>1</v>
      </c>
      <c r="Z27" s="1739" t="b">
        <f t="shared" si="1"/>
        <v>1</v>
      </c>
    </row>
    <row r="28" spans="1:26" s="1739" customFormat="1" ht="15" customHeight="1" x14ac:dyDescent="0.2">
      <c r="A28" s="1862"/>
      <c r="C28" s="1859"/>
      <c r="E28" s="1861"/>
      <c r="G28" s="1859"/>
      <c r="H28" s="1750"/>
      <c r="I28" s="1751"/>
      <c r="K28" s="1749"/>
      <c r="L28" s="1854"/>
      <c r="M28" s="1998"/>
      <c r="N28" s="1997"/>
      <c r="O28" s="1998"/>
      <c r="P28" s="1997"/>
      <c r="Q28" s="1998"/>
      <c r="R28" s="552" t="str">
        <f t="shared" si="0"/>
        <v/>
      </c>
      <c r="S28" s="1752" t="b">
        <f t="shared" si="2"/>
        <v>1</v>
      </c>
      <c r="T28" s="1752">
        <f t="shared" si="3"/>
        <v>0</v>
      </c>
      <c r="U28" s="1753" t="b">
        <f t="shared" si="4"/>
        <v>1</v>
      </c>
      <c r="V28" s="1753" t="b">
        <f t="shared" si="5"/>
        <v>1</v>
      </c>
      <c r="W28" s="1753" t="b">
        <f t="shared" si="6"/>
        <v>1</v>
      </c>
      <c r="X28" s="1753" t="b">
        <f t="shared" si="7"/>
        <v>1</v>
      </c>
      <c r="Y28" s="1754" t="b">
        <f t="shared" si="8"/>
        <v>1</v>
      </c>
      <c r="Z28" s="1739" t="b">
        <f t="shared" si="1"/>
        <v>1</v>
      </c>
    </row>
    <row r="29" spans="1:26" s="1739" customFormat="1" ht="15" customHeight="1" x14ac:dyDescent="0.2">
      <c r="A29" s="1862"/>
      <c r="C29" s="1859"/>
      <c r="E29" s="1861"/>
      <c r="G29" s="1859"/>
      <c r="H29" s="1750"/>
      <c r="I29" s="1751"/>
      <c r="K29" s="1749"/>
      <c r="L29" s="1854"/>
      <c r="M29" s="1998"/>
      <c r="N29" s="1997"/>
      <c r="O29" s="1998"/>
      <c r="P29" s="1997"/>
      <c r="Q29" s="1998"/>
      <c r="R29" s="552" t="str">
        <f t="shared" si="0"/>
        <v/>
      </c>
      <c r="S29" s="1752" t="b">
        <f t="shared" si="2"/>
        <v>1</v>
      </c>
      <c r="T29" s="1752">
        <f t="shared" si="3"/>
        <v>0</v>
      </c>
      <c r="U29" s="1753" t="b">
        <f t="shared" si="4"/>
        <v>1</v>
      </c>
      <c r="V29" s="1753" t="b">
        <f t="shared" si="5"/>
        <v>1</v>
      </c>
      <c r="W29" s="1753" t="b">
        <f t="shared" si="6"/>
        <v>1</v>
      </c>
      <c r="X29" s="1753" t="b">
        <f t="shared" si="7"/>
        <v>1</v>
      </c>
      <c r="Y29" s="1754" t="b">
        <f t="shared" si="8"/>
        <v>1</v>
      </c>
      <c r="Z29" s="1739" t="b">
        <f t="shared" si="1"/>
        <v>1</v>
      </c>
    </row>
    <row r="30" spans="1:26" s="1739" customFormat="1" ht="15" customHeight="1" x14ac:dyDescent="0.2">
      <c r="A30" s="1862"/>
      <c r="C30" s="1859"/>
      <c r="E30" s="1861"/>
      <c r="G30" s="1859"/>
      <c r="H30" s="1750"/>
      <c r="I30" s="1751"/>
      <c r="K30" s="1749"/>
      <c r="L30" s="1854"/>
      <c r="M30" s="1998"/>
      <c r="N30" s="1997"/>
      <c r="O30" s="1998"/>
      <c r="P30" s="1997"/>
      <c r="Q30" s="1998"/>
      <c r="R30" s="552" t="str">
        <f t="shared" si="0"/>
        <v/>
      </c>
      <c r="S30" s="1752" t="b">
        <f t="shared" si="2"/>
        <v>1</v>
      </c>
      <c r="T30" s="1752">
        <f t="shared" si="3"/>
        <v>0</v>
      </c>
      <c r="U30" s="1753" t="b">
        <f t="shared" si="4"/>
        <v>1</v>
      </c>
      <c r="V30" s="1753" t="b">
        <f t="shared" si="5"/>
        <v>1</v>
      </c>
      <c r="W30" s="1753" t="b">
        <f t="shared" si="6"/>
        <v>1</v>
      </c>
      <c r="X30" s="1753" t="b">
        <f t="shared" si="7"/>
        <v>1</v>
      </c>
      <c r="Y30" s="1754" t="b">
        <f t="shared" si="8"/>
        <v>1</v>
      </c>
      <c r="Z30" s="1739" t="b">
        <f t="shared" si="1"/>
        <v>1</v>
      </c>
    </row>
    <row r="31" spans="1:26" s="1739" customFormat="1" ht="15" customHeight="1" x14ac:dyDescent="0.2">
      <c r="A31" s="1862"/>
      <c r="C31" s="1859"/>
      <c r="E31" s="1861"/>
      <c r="G31" s="1859"/>
      <c r="H31" s="1750"/>
      <c r="I31" s="1751"/>
      <c r="K31" s="1749"/>
      <c r="L31" s="1854"/>
      <c r="M31" s="1998"/>
      <c r="N31" s="1997"/>
      <c r="O31" s="1998"/>
      <c r="P31" s="1997"/>
      <c r="Q31" s="1998"/>
      <c r="R31" s="552" t="str">
        <f t="shared" si="0"/>
        <v/>
      </c>
      <c r="S31" s="1752" t="b">
        <f t="shared" si="2"/>
        <v>1</v>
      </c>
      <c r="T31" s="1752">
        <f t="shared" si="3"/>
        <v>0</v>
      </c>
      <c r="U31" s="1753" t="b">
        <f t="shared" si="4"/>
        <v>1</v>
      </c>
      <c r="V31" s="1753" t="b">
        <f t="shared" si="5"/>
        <v>1</v>
      </c>
      <c r="W31" s="1753" t="b">
        <f t="shared" si="6"/>
        <v>1</v>
      </c>
      <c r="X31" s="1753" t="b">
        <f t="shared" si="7"/>
        <v>1</v>
      </c>
      <c r="Y31" s="1754" t="b">
        <f t="shared" si="8"/>
        <v>1</v>
      </c>
      <c r="Z31" s="1739" t="b">
        <f t="shared" si="1"/>
        <v>1</v>
      </c>
    </row>
    <row r="32" spans="1:26" s="1739" customFormat="1" ht="15" customHeight="1" x14ac:dyDescent="0.2">
      <c r="A32" s="1862"/>
      <c r="C32" s="1859"/>
      <c r="E32" s="1861"/>
      <c r="G32" s="1859"/>
      <c r="H32" s="1750"/>
      <c r="I32" s="1751"/>
      <c r="K32" s="1749"/>
      <c r="L32" s="1854"/>
      <c r="M32" s="1998"/>
      <c r="N32" s="1997"/>
      <c r="O32" s="1998"/>
      <c r="P32" s="1997"/>
      <c r="Q32" s="1998"/>
      <c r="R32" s="552" t="str">
        <f t="shared" si="0"/>
        <v/>
      </c>
      <c r="S32" s="1752" t="b">
        <f t="shared" si="2"/>
        <v>1</v>
      </c>
      <c r="T32" s="1752">
        <f t="shared" si="3"/>
        <v>0</v>
      </c>
      <c r="U32" s="1753" t="b">
        <f t="shared" si="4"/>
        <v>1</v>
      </c>
      <c r="V32" s="1753" t="b">
        <f t="shared" si="5"/>
        <v>1</v>
      </c>
      <c r="W32" s="1753" t="b">
        <f t="shared" si="6"/>
        <v>1</v>
      </c>
      <c r="X32" s="1753" t="b">
        <f t="shared" si="7"/>
        <v>1</v>
      </c>
      <c r="Y32" s="1754" t="b">
        <f t="shared" si="8"/>
        <v>1</v>
      </c>
      <c r="Z32" s="1739" t="b">
        <f t="shared" si="1"/>
        <v>1</v>
      </c>
    </row>
    <row r="33" spans="1:25" ht="20.100000000000001" customHeight="1" thickBot="1" x14ac:dyDescent="0.3">
      <c r="A33" s="1980"/>
      <c r="B33" s="1981"/>
      <c r="C33" s="1982"/>
      <c r="D33" s="1756"/>
      <c r="E33" s="1983"/>
      <c r="F33" s="1984"/>
      <c r="G33" s="1982"/>
      <c r="H33" s="1757"/>
      <c r="I33" s="1756"/>
      <c r="J33" s="1756"/>
      <c r="K33" s="1756"/>
      <c r="L33" s="1756"/>
      <c r="M33" s="1756"/>
      <c r="N33" s="1756"/>
      <c r="O33" s="1756"/>
      <c r="P33" s="1756"/>
      <c r="Q33" s="1756"/>
      <c r="R33" s="1758"/>
      <c r="S33" s="1752">
        <f>COUNTIF(S18:S32,FALSE)</f>
        <v>0</v>
      </c>
      <c r="T33" s="1758"/>
      <c r="U33" s="1758"/>
      <c r="V33" s="1758"/>
      <c r="W33" s="1758"/>
      <c r="X33" s="1758"/>
      <c r="Y33" s="1759">
        <f>COUNTIF(Y18:Y32,FALSE)</f>
        <v>0</v>
      </c>
    </row>
    <row r="34" spans="1:25" ht="6" customHeight="1" x14ac:dyDescent="0.25">
      <c r="C34" s="1756"/>
      <c r="D34" s="1756"/>
      <c r="E34" s="1756"/>
      <c r="F34" s="1756"/>
      <c r="G34" s="1756"/>
      <c r="H34" s="1757"/>
      <c r="I34" s="1756"/>
      <c r="J34" s="1756"/>
      <c r="K34" s="1756"/>
      <c r="L34" s="1756"/>
      <c r="M34" s="1756"/>
      <c r="N34" s="1756"/>
      <c r="O34" s="1756"/>
      <c r="P34" s="1756"/>
      <c r="Q34" s="1756"/>
      <c r="R34" s="1758"/>
      <c r="S34" s="1752"/>
      <c r="T34" s="1758"/>
      <c r="U34" s="1758"/>
      <c r="V34" s="1758"/>
      <c r="W34" s="1758"/>
      <c r="X34" s="1758"/>
      <c r="Y34" s="1759"/>
    </row>
    <row r="35" spans="1:25" s="1760" customFormat="1" ht="11.25" customHeight="1" x14ac:dyDescent="0.2">
      <c r="A35" s="1783" t="s">
        <v>4796</v>
      </c>
    </row>
    <row r="36" spans="1:25" s="1763" customFormat="1" ht="14.25" customHeight="1" x14ac:dyDescent="0.2">
      <c r="A36" s="1761"/>
      <c r="B36" s="1762"/>
      <c r="C36" s="1762"/>
      <c r="D36" s="1761"/>
      <c r="E36" s="1761"/>
      <c r="F36" s="1761"/>
      <c r="G36" s="1761"/>
      <c r="H36" s="1761"/>
      <c r="I36" s="1761"/>
      <c r="J36" s="1761"/>
      <c r="K36" s="1761"/>
      <c r="L36" s="1761"/>
      <c r="M36" s="1761"/>
      <c r="N36" s="1761"/>
      <c r="O36" s="1761"/>
      <c r="P36" s="1761"/>
      <c r="Q36" s="1761"/>
    </row>
    <row r="37" spans="1:25" s="1763" customFormat="1" ht="15" customHeight="1" x14ac:dyDescent="0.2">
      <c r="A37" s="1761"/>
      <c r="B37" s="1764"/>
      <c r="C37" s="1764"/>
      <c r="D37" s="1761"/>
      <c r="E37" s="1761"/>
      <c r="F37" s="1761"/>
      <c r="G37" s="1761"/>
      <c r="H37" s="1761"/>
      <c r="I37" s="1761"/>
      <c r="J37" s="1761"/>
      <c r="K37" s="1765"/>
      <c r="L37" s="1765"/>
      <c r="M37" s="1765"/>
      <c r="N37" s="1765"/>
      <c r="O37" s="1765"/>
      <c r="P37" s="1765"/>
      <c r="Q37" s="1765"/>
    </row>
    <row r="38" spans="1:25" s="1763" customFormat="1" ht="15" customHeight="1" x14ac:dyDescent="0.2">
      <c r="A38" s="1765"/>
      <c r="B38" s="1762"/>
      <c r="C38" s="1762"/>
      <c r="D38" s="1765"/>
      <c r="E38" s="1765"/>
      <c r="F38" s="1765"/>
      <c r="G38" s="1765"/>
      <c r="H38" s="1765"/>
      <c r="I38" s="1765"/>
      <c r="J38" s="1765"/>
      <c r="K38" s="1765"/>
      <c r="L38" s="1765"/>
      <c r="M38" s="1765"/>
      <c r="N38" s="1765"/>
      <c r="O38" s="1765"/>
      <c r="P38" s="1765"/>
      <c r="Q38" s="1765"/>
    </row>
    <row r="39" spans="1:25" ht="26.1" customHeight="1" x14ac:dyDescent="0.25">
      <c r="A39" s="1985" t="s">
        <v>5663</v>
      </c>
      <c r="F39" s="1756"/>
    </row>
    <row r="40" spans="1:25" ht="20.85" customHeight="1" x14ac:dyDescent="0.25">
      <c r="A40" s="1161" t="s">
        <v>4467</v>
      </c>
      <c r="F40" s="1756"/>
    </row>
    <row r="41" spans="1:25" ht="20.85" customHeight="1" x14ac:dyDescent="0.25">
      <c r="B41" s="794"/>
      <c r="C41" s="794"/>
      <c r="F41" s="1756"/>
    </row>
    <row r="42" spans="1:25" ht="20.85" customHeight="1" x14ac:dyDescent="0.25">
      <c r="F42" s="1756"/>
      <c r="G42" s="1755" t="s">
        <v>973</v>
      </c>
    </row>
    <row r="43" spans="1:25" ht="20.85" customHeight="1" x14ac:dyDescent="0.25">
      <c r="F43" s="1756"/>
    </row>
    <row r="44" spans="1:25" ht="20.85" customHeight="1" x14ac:dyDescent="0.25">
      <c r="F44" s="1756"/>
    </row>
    <row r="45" spans="1:25" ht="20.85" customHeight="1" x14ac:dyDescent="0.25">
      <c r="F45" s="1756"/>
      <c r="G45" s="1766" t="s">
        <v>973</v>
      </c>
      <c r="H45" s="1766"/>
      <c r="R45" s="1766" t="s">
        <v>973</v>
      </c>
      <c r="S45" s="1766"/>
      <c r="T45" s="1766"/>
      <c r="U45" s="1766"/>
      <c r="V45" s="1766"/>
      <c r="W45" s="1766"/>
      <c r="X45" s="1766"/>
    </row>
    <row r="46" spans="1:25" x14ac:dyDescent="0.25">
      <c r="F46" s="1756"/>
    </row>
    <row r="47" spans="1:25" x14ac:dyDescent="0.25">
      <c r="F47" s="1756"/>
    </row>
    <row r="48" spans="1:25" x14ac:dyDescent="0.25">
      <c r="F48" s="1756"/>
    </row>
    <row r="49" spans="6:6" x14ac:dyDescent="0.25">
      <c r="F49" s="1756"/>
    </row>
    <row r="50" spans="6:6" x14ac:dyDescent="0.25">
      <c r="F50" s="1756"/>
    </row>
    <row r="51" spans="6:6" x14ac:dyDescent="0.25">
      <c r="F51" s="1756"/>
    </row>
    <row r="52" spans="6:6" x14ac:dyDescent="0.25">
      <c r="F52" s="1756"/>
    </row>
    <row r="53" spans="6:6" x14ac:dyDescent="0.25">
      <c r="F53" s="1756"/>
    </row>
    <row r="54" spans="6:6" x14ac:dyDescent="0.25">
      <c r="F54" s="1756"/>
    </row>
    <row r="55" spans="6:6" x14ac:dyDescent="0.25">
      <c r="F55" s="1756"/>
    </row>
    <row r="56" spans="6:6" x14ac:dyDescent="0.25">
      <c r="F56" s="1756"/>
    </row>
    <row r="57" spans="6:6" x14ac:dyDescent="0.25">
      <c r="F57" s="1756"/>
    </row>
    <row r="58" spans="6:6" x14ac:dyDescent="0.25">
      <c r="F58" s="1756"/>
    </row>
    <row r="59" spans="6:6" x14ac:dyDescent="0.25">
      <c r="F59" s="1756"/>
    </row>
    <row r="60" spans="6:6" x14ac:dyDescent="0.25">
      <c r="F60" s="1756"/>
    </row>
    <row r="61" spans="6:6" x14ac:dyDescent="0.25">
      <c r="F61" s="1756"/>
    </row>
    <row r="62" spans="6:6" x14ac:dyDescent="0.25">
      <c r="F62" s="1756"/>
    </row>
    <row r="63" spans="6:6" x14ac:dyDescent="0.25">
      <c r="F63" s="1756"/>
    </row>
    <row r="64" spans="6:6" x14ac:dyDescent="0.25">
      <c r="F64" s="1756"/>
    </row>
    <row r="65" spans="6:6" x14ac:dyDescent="0.25">
      <c r="F65" s="1756"/>
    </row>
    <row r="66" spans="6:6" x14ac:dyDescent="0.25">
      <c r="F66" s="1756"/>
    </row>
    <row r="67" spans="6:6" x14ac:dyDescent="0.25">
      <c r="F67" s="1756"/>
    </row>
    <row r="68" spans="6:6" x14ac:dyDescent="0.25">
      <c r="F68" s="1756"/>
    </row>
    <row r="69" spans="6:6" x14ac:dyDescent="0.25">
      <c r="F69" s="1756"/>
    </row>
    <row r="70" spans="6:6" x14ac:dyDescent="0.25">
      <c r="F70" s="1756"/>
    </row>
    <row r="71" spans="6:6" x14ac:dyDescent="0.25">
      <c r="F71" s="1756"/>
    </row>
    <row r="72" spans="6:6" x14ac:dyDescent="0.25">
      <c r="F72" s="1756"/>
    </row>
    <row r="73" spans="6:6" x14ac:dyDescent="0.25">
      <c r="F73" s="1756"/>
    </row>
    <row r="74" spans="6:6" x14ac:dyDescent="0.25">
      <c r="F74" s="1756"/>
    </row>
    <row r="75" spans="6:6" x14ac:dyDescent="0.25">
      <c r="F75" s="1756"/>
    </row>
    <row r="76" spans="6:6" x14ac:dyDescent="0.25">
      <c r="F76" s="1756"/>
    </row>
    <row r="77" spans="6:6" x14ac:dyDescent="0.25">
      <c r="F77" s="1756"/>
    </row>
    <row r="78" spans="6:6" x14ac:dyDescent="0.25">
      <c r="F78" s="1756"/>
    </row>
    <row r="79" spans="6:6" x14ac:dyDescent="0.25">
      <c r="F79" s="1756"/>
    </row>
    <row r="80" spans="6:6" x14ac:dyDescent="0.25">
      <c r="F80" s="1756"/>
    </row>
    <row r="81" spans="6:6" x14ac:dyDescent="0.25">
      <c r="F81" s="1756"/>
    </row>
    <row r="82" spans="6:6" x14ac:dyDescent="0.25">
      <c r="F82" s="1756"/>
    </row>
    <row r="83" spans="6:6" x14ac:dyDescent="0.25">
      <c r="F83" s="1756"/>
    </row>
    <row r="84" spans="6:6" x14ac:dyDescent="0.25">
      <c r="F84" s="1756"/>
    </row>
    <row r="85" spans="6:6" x14ac:dyDescent="0.25">
      <c r="F85" s="1756"/>
    </row>
    <row r="86" spans="6:6" x14ac:dyDescent="0.25">
      <c r="F86" s="1756"/>
    </row>
    <row r="87" spans="6:6" x14ac:dyDescent="0.25">
      <c r="F87" s="1756"/>
    </row>
    <row r="88" spans="6:6" x14ac:dyDescent="0.25">
      <c r="F88" s="1756"/>
    </row>
    <row r="89" spans="6:6" x14ac:dyDescent="0.25">
      <c r="F89" s="1756"/>
    </row>
    <row r="90" spans="6:6" x14ac:dyDescent="0.25">
      <c r="F90" s="1756"/>
    </row>
    <row r="91" spans="6:6" x14ac:dyDescent="0.25">
      <c r="F91" s="1756"/>
    </row>
    <row r="92" spans="6:6" x14ac:dyDescent="0.25">
      <c r="F92" s="1756"/>
    </row>
    <row r="93" spans="6:6" x14ac:dyDescent="0.25">
      <c r="F93" s="1756"/>
    </row>
    <row r="94" spans="6:6" x14ac:dyDescent="0.25">
      <c r="F94" s="1756"/>
    </row>
    <row r="95" spans="6:6" x14ac:dyDescent="0.25">
      <c r="F95" s="1756"/>
    </row>
    <row r="96" spans="6:6" x14ac:dyDescent="0.25">
      <c r="F96" s="1756"/>
    </row>
    <row r="97" spans="6:6" x14ac:dyDescent="0.25">
      <c r="F97" s="1756"/>
    </row>
    <row r="98" spans="6:6" x14ac:dyDescent="0.25">
      <c r="F98" s="1756"/>
    </row>
    <row r="99" spans="6:6" x14ac:dyDescent="0.25">
      <c r="F99" s="1756"/>
    </row>
    <row r="100" spans="6:6" x14ac:dyDescent="0.25">
      <c r="F100" s="1756"/>
    </row>
    <row r="101" spans="6:6" x14ac:dyDescent="0.25">
      <c r="F101" s="1756"/>
    </row>
    <row r="102" spans="6:6" x14ac:dyDescent="0.25">
      <c r="F102" s="1756"/>
    </row>
    <row r="103" spans="6:6" x14ac:dyDescent="0.25">
      <c r="F103" s="1756"/>
    </row>
    <row r="104" spans="6:6" x14ac:dyDescent="0.25">
      <c r="F104" s="1756"/>
    </row>
    <row r="105" spans="6:6" x14ac:dyDescent="0.25">
      <c r="F105" s="1756"/>
    </row>
    <row r="106" spans="6:6" x14ac:dyDescent="0.25">
      <c r="F106" s="1756"/>
    </row>
    <row r="107" spans="6:6" x14ac:dyDescent="0.25">
      <c r="F107" s="1756"/>
    </row>
    <row r="108" spans="6:6" x14ac:dyDescent="0.25">
      <c r="F108" s="1756"/>
    </row>
    <row r="109" spans="6:6" x14ac:dyDescent="0.25">
      <c r="F109" s="1756"/>
    </row>
    <row r="110" spans="6:6" x14ac:dyDescent="0.25">
      <c r="F110" s="1756"/>
    </row>
    <row r="111" spans="6:6" x14ac:dyDescent="0.25">
      <c r="F111" s="1756"/>
    </row>
    <row r="112" spans="6:6" x14ac:dyDescent="0.25">
      <c r="F112" s="1756"/>
    </row>
    <row r="113" spans="6:6" x14ac:dyDescent="0.25">
      <c r="F113" s="1756"/>
    </row>
    <row r="114" spans="6:6" x14ac:dyDescent="0.25">
      <c r="F114" s="1756"/>
    </row>
    <row r="115" spans="6:6" x14ac:dyDescent="0.25">
      <c r="F115" s="1756"/>
    </row>
    <row r="116" spans="6:6" x14ac:dyDescent="0.25">
      <c r="F116" s="1756"/>
    </row>
    <row r="117" spans="6:6" x14ac:dyDescent="0.25">
      <c r="F117" s="1756"/>
    </row>
    <row r="118" spans="6:6" x14ac:dyDescent="0.25">
      <c r="F118" s="1756"/>
    </row>
    <row r="119" spans="6:6" x14ac:dyDescent="0.25">
      <c r="F119" s="1756"/>
    </row>
    <row r="120" spans="6:6" x14ac:dyDescent="0.25">
      <c r="F120" s="1756"/>
    </row>
    <row r="121" spans="6:6" x14ac:dyDescent="0.25">
      <c r="F121" s="1756"/>
    </row>
    <row r="122" spans="6:6" x14ac:dyDescent="0.25">
      <c r="F122" s="1756"/>
    </row>
    <row r="123" spans="6:6" x14ac:dyDescent="0.25">
      <c r="F123" s="1756"/>
    </row>
    <row r="124" spans="6:6" x14ac:dyDescent="0.25">
      <c r="F124" s="1756"/>
    </row>
    <row r="125" spans="6:6" x14ac:dyDescent="0.25">
      <c r="F125" s="1756"/>
    </row>
    <row r="126" spans="6:6" x14ac:dyDescent="0.25">
      <c r="F126" s="1756"/>
    </row>
    <row r="127" spans="6:6" x14ac:dyDescent="0.25">
      <c r="F127" s="1756"/>
    </row>
    <row r="128" spans="6:6" x14ac:dyDescent="0.25">
      <c r="F128" s="1756"/>
    </row>
    <row r="129" spans="6:6" x14ac:dyDescent="0.25">
      <c r="F129" s="1756"/>
    </row>
    <row r="130" spans="6:6" x14ac:dyDescent="0.25">
      <c r="F130" s="1756"/>
    </row>
    <row r="131" spans="6:6" x14ac:dyDescent="0.25">
      <c r="F131" s="1756"/>
    </row>
    <row r="132" spans="6:6" x14ac:dyDescent="0.25">
      <c r="F132" s="1756"/>
    </row>
    <row r="133" spans="6:6" x14ac:dyDescent="0.25">
      <c r="F133" s="1756"/>
    </row>
    <row r="134" spans="6:6" x14ac:dyDescent="0.25">
      <c r="F134" s="1756"/>
    </row>
    <row r="135" spans="6:6" x14ac:dyDescent="0.25">
      <c r="F135" s="1756"/>
    </row>
    <row r="136" spans="6:6" x14ac:dyDescent="0.25">
      <c r="F136" s="1756"/>
    </row>
    <row r="137" spans="6:6" x14ac:dyDescent="0.25">
      <c r="F137" s="1756"/>
    </row>
    <row r="138" spans="6:6" x14ac:dyDescent="0.25">
      <c r="F138" s="1756"/>
    </row>
    <row r="139" spans="6:6" x14ac:dyDescent="0.25">
      <c r="F139" s="1756"/>
    </row>
    <row r="140" spans="6:6" x14ac:dyDescent="0.25">
      <c r="F140" s="1756"/>
    </row>
    <row r="141" spans="6:6" x14ac:dyDescent="0.25">
      <c r="F141" s="1756"/>
    </row>
    <row r="142" spans="6:6" x14ac:dyDescent="0.25">
      <c r="F142" s="1756"/>
    </row>
    <row r="143" spans="6:6" x14ac:dyDescent="0.25">
      <c r="F143" s="1756"/>
    </row>
    <row r="144" spans="6:6" x14ac:dyDescent="0.25">
      <c r="F144" s="1756"/>
    </row>
    <row r="145" spans="6:6" x14ac:dyDescent="0.25">
      <c r="F145" s="1756"/>
    </row>
    <row r="146" spans="6:6" x14ac:dyDescent="0.25">
      <c r="F146" s="1756"/>
    </row>
    <row r="147" spans="6:6" x14ac:dyDescent="0.25">
      <c r="F147" s="1756"/>
    </row>
    <row r="148" spans="6:6" x14ac:dyDescent="0.25">
      <c r="F148" s="1756"/>
    </row>
    <row r="149" spans="6:6" x14ac:dyDescent="0.25">
      <c r="F149" s="1756"/>
    </row>
    <row r="150" spans="6:6" x14ac:dyDescent="0.25">
      <c r="F150" s="1756"/>
    </row>
    <row r="151" spans="6:6" x14ac:dyDescent="0.25">
      <c r="F151" s="1756"/>
    </row>
    <row r="152" spans="6:6" x14ac:dyDescent="0.25">
      <c r="F152" s="1756"/>
    </row>
    <row r="153" spans="6:6" x14ac:dyDescent="0.25">
      <c r="F153" s="1756"/>
    </row>
    <row r="154" spans="6:6" x14ac:dyDescent="0.25">
      <c r="F154" s="1756"/>
    </row>
    <row r="155" spans="6:6" x14ac:dyDescent="0.25">
      <c r="F155" s="1756"/>
    </row>
    <row r="156" spans="6:6" x14ac:dyDescent="0.25">
      <c r="F156" s="1756"/>
    </row>
    <row r="157" spans="6:6" x14ac:dyDescent="0.25">
      <c r="F157" s="1756"/>
    </row>
    <row r="158" spans="6:6" x14ac:dyDescent="0.25">
      <c r="F158" s="1756"/>
    </row>
    <row r="159" spans="6:6" x14ac:dyDescent="0.25">
      <c r="F159" s="1756"/>
    </row>
    <row r="160" spans="6:6" x14ac:dyDescent="0.25">
      <c r="F160" s="1756"/>
    </row>
    <row r="161" spans="6:6" x14ac:dyDescent="0.25">
      <c r="F161" s="1756"/>
    </row>
    <row r="162" spans="6:6" x14ac:dyDescent="0.25">
      <c r="F162" s="1756"/>
    </row>
    <row r="163" spans="6:6" x14ac:dyDescent="0.25">
      <c r="F163" s="1756"/>
    </row>
    <row r="164" spans="6:6" x14ac:dyDescent="0.25">
      <c r="F164" s="1756"/>
    </row>
    <row r="165" spans="6:6" x14ac:dyDescent="0.25">
      <c r="F165" s="1756"/>
    </row>
    <row r="166" spans="6:6" x14ac:dyDescent="0.25">
      <c r="F166" s="1756"/>
    </row>
    <row r="167" spans="6:6" x14ac:dyDescent="0.25">
      <c r="F167" s="1756"/>
    </row>
    <row r="168" spans="6:6" x14ac:dyDescent="0.25">
      <c r="F168" s="1756"/>
    </row>
    <row r="169" spans="6:6" x14ac:dyDescent="0.25">
      <c r="F169" s="1756"/>
    </row>
    <row r="170" spans="6:6" x14ac:dyDescent="0.25">
      <c r="F170" s="1756"/>
    </row>
  </sheetData>
  <sheetProtection algorithmName="SHA-512" hashValue="BIRMn06//DN7ElTb1o84aTuAdbNdO+oeG97wp8phkP9MJX0oVGsWGOmPCukoEeO9hG4Z3WXwqcmPPcpLRtLLbQ==" saltValue="FZLLWwm13v3iDWOxrucpOg==" spinCount="100000" sheet="1" objects="1" scenarios="1" autoFilter="0"/>
  <dataConsolidate link="1"/>
  <mergeCells count="11">
    <mergeCell ref="A10:C10"/>
    <mergeCell ref="E10:G10"/>
    <mergeCell ref="C7:E7"/>
    <mergeCell ref="M7:Q7"/>
    <mergeCell ref="C8:E8"/>
    <mergeCell ref="R1:R3"/>
    <mergeCell ref="A2:Q2"/>
    <mergeCell ref="A3:Q3"/>
    <mergeCell ref="A4:Q4"/>
    <mergeCell ref="M6:Q6"/>
    <mergeCell ref="A1:Q1"/>
  </mergeCells>
  <conditionalFormatting sqref="S1:X3">
    <cfRule type="cellIs" dxfId="55" priority="2" stopIfTrue="1" operator="equal">
      <formula>"na"</formula>
    </cfRule>
  </conditionalFormatting>
  <conditionalFormatting sqref="R1:R3">
    <cfRule type="cellIs" dxfId="54" priority="1" stopIfTrue="1" operator="equal">
      <formula>"na"</formula>
    </cfRule>
  </conditionalFormatting>
  <dataValidations count="3">
    <dataValidation type="textLength" operator="equal" allowBlank="1" showInputMessage="1" showErrorMessage="1" errorTitle="Invalid data!" error="GASB number must be 4 digits." sqref="WVU983047:WVV983061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7:E65537 JF65537:JG65537 TB65537:TC65537 ACX65537:ACY65537 AMT65537:AMU65537 AWP65537:AWQ65537 BGL65537:BGM65537 BQH65537:BQI65537 CAD65537:CAE65537 CJZ65537:CKA65537 CTV65537:CTW65537 DDR65537:DDS65537 DNN65537:DNO65537 DXJ65537:DXK65537 EHF65537:EHG65537 ERB65537:ERC65537 FAX65537:FAY65537 FKT65537:FKU65537 FUP65537:FUQ65537 GEL65537:GEM65537 GOH65537:GOI65537 GYD65537:GYE65537 HHZ65537:HIA65537 HRV65537:HRW65537 IBR65537:IBS65537 ILN65537:ILO65537 IVJ65537:IVK65537 JFF65537:JFG65537 JPB65537:JPC65537 JYX65537:JYY65537 KIT65537:KIU65537 KSP65537:KSQ65537 LCL65537:LCM65537 LMH65537:LMI65537 LWD65537:LWE65537 MFZ65537:MGA65537 MPV65537:MPW65537 MZR65537:MZS65537 NJN65537:NJO65537 NTJ65537:NTK65537 ODF65537:ODG65537 ONB65537:ONC65537 OWX65537:OWY65537 PGT65537:PGU65537 PQP65537:PQQ65537 QAL65537:QAM65537 QKH65537:QKI65537 QUD65537:QUE65537 RDZ65537:REA65537 RNV65537:RNW65537 RXR65537:RXS65537 SHN65537:SHO65537 SRJ65537:SRK65537 TBF65537:TBG65537 TLB65537:TLC65537 TUX65537:TUY65537 UET65537:UEU65537 UOP65537:UOQ65537 UYL65537:UYM65537 VIH65537:VII65537 VSD65537:VSE65537 WBZ65537:WCA65537 WLV65537:WLW65537 WVR65537:WVS65537 D131073:E131073 JF131073:JG131073 TB131073:TC131073 ACX131073:ACY131073 AMT131073:AMU131073 AWP131073:AWQ131073 BGL131073:BGM131073 BQH131073:BQI131073 CAD131073:CAE131073 CJZ131073:CKA131073 CTV131073:CTW131073 DDR131073:DDS131073 DNN131073:DNO131073 DXJ131073:DXK131073 EHF131073:EHG131073 ERB131073:ERC131073 FAX131073:FAY131073 FKT131073:FKU131073 FUP131073:FUQ131073 GEL131073:GEM131073 GOH131073:GOI131073 GYD131073:GYE131073 HHZ131073:HIA131073 HRV131073:HRW131073 IBR131073:IBS131073 ILN131073:ILO131073 IVJ131073:IVK131073 JFF131073:JFG131073 JPB131073:JPC131073 JYX131073:JYY131073 KIT131073:KIU131073 KSP131073:KSQ131073 LCL131073:LCM131073 LMH131073:LMI131073 LWD131073:LWE131073 MFZ131073:MGA131073 MPV131073:MPW131073 MZR131073:MZS131073 NJN131073:NJO131073 NTJ131073:NTK131073 ODF131073:ODG131073 ONB131073:ONC131073 OWX131073:OWY131073 PGT131073:PGU131073 PQP131073:PQQ131073 QAL131073:QAM131073 QKH131073:QKI131073 QUD131073:QUE131073 RDZ131073:REA131073 RNV131073:RNW131073 RXR131073:RXS131073 SHN131073:SHO131073 SRJ131073:SRK131073 TBF131073:TBG131073 TLB131073:TLC131073 TUX131073:TUY131073 UET131073:UEU131073 UOP131073:UOQ131073 UYL131073:UYM131073 VIH131073:VII131073 VSD131073:VSE131073 WBZ131073:WCA131073 WLV131073:WLW131073 WVR131073:WVS131073 D196609:E196609 JF196609:JG196609 TB196609:TC196609 ACX196609:ACY196609 AMT196609:AMU196609 AWP196609:AWQ196609 BGL196609:BGM196609 BQH196609:BQI196609 CAD196609:CAE196609 CJZ196609:CKA196609 CTV196609:CTW196609 DDR196609:DDS196609 DNN196609:DNO196609 DXJ196609:DXK196609 EHF196609:EHG196609 ERB196609:ERC196609 FAX196609:FAY196609 FKT196609:FKU196609 FUP196609:FUQ196609 GEL196609:GEM196609 GOH196609:GOI196609 GYD196609:GYE196609 HHZ196609:HIA196609 HRV196609:HRW196609 IBR196609:IBS196609 ILN196609:ILO196609 IVJ196609:IVK196609 JFF196609:JFG196609 JPB196609:JPC196609 JYX196609:JYY196609 KIT196609:KIU196609 KSP196609:KSQ196609 LCL196609:LCM196609 LMH196609:LMI196609 LWD196609:LWE196609 MFZ196609:MGA196609 MPV196609:MPW196609 MZR196609:MZS196609 NJN196609:NJO196609 NTJ196609:NTK196609 ODF196609:ODG196609 ONB196609:ONC196609 OWX196609:OWY196609 PGT196609:PGU196609 PQP196609:PQQ196609 QAL196609:QAM196609 QKH196609:QKI196609 QUD196609:QUE196609 RDZ196609:REA196609 RNV196609:RNW196609 RXR196609:RXS196609 SHN196609:SHO196609 SRJ196609:SRK196609 TBF196609:TBG196609 TLB196609:TLC196609 TUX196609:TUY196609 UET196609:UEU196609 UOP196609:UOQ196609 UYL196609:UYM196609 VIH196609:VII196609 VSD196609:VSE196609 WBZ196609:WCA196609 WLV196609:WLW196609 WVR196609:WVS196609 D262145:E262145 JF262145:JG262145 TB262145:TC262145 ACX262145:ACY262145 AMT262145:AMU262145 AWP262145:AWQ262145 BGL262145:BGM262145 BQH262145:BQI262145 CAD262145:CAE262145 CJZ262145:CKA262145 CTV262145:CTW262145 DDR262145:DDS262145 DNN262145:DNO262145 DXJ262145:DXK262145 EHF262145:EHG262145 ERB262145:ERC262145 FAX262145:FAY262145 FKT262145:FKU262145 FUP262145:FUQ262145 GEL262145:GEM262145 GOH262145:GOI262145 GYD262145:GYE262145 HHZ262145:HIA262145 HRV262145:HRW262145 IBR262145:IBS262145 ILN262145:ILO262145 IVJ262145:IVK262145 JFF262145:JFG262145 JPB262145:JPC262145 JYX262145:JYY262145 KIT262145:KIU262145 KSP262145:KSQ262145 LCL262145:LCM262145 LMH262145:LMI262145 LWD262145:LWE262145 MFZ262145:MGA262145 MPV262145:MPW262145 MZR262145:MZS262145 NJN262145:NJO262145 NTJ262145:NTK262145 ODF262145:ODG262145 ONB262145:ONC262145 OWX262145:OWY262145 PGT262145:PGU262145 PQP262145:PQQ262145 QAL262145:QAM262145 QKH262145:QKI262145 QUD262145:QUE262145 RDZ262145:REA262145 RNV262145:RNW262145 RXR262145:RXS262145 SHN262145:SHO262145 SRJ262145:SRK262145 TBF262145:TBG262145 TLB262145:TLC262145 TUX262145:TUY262145 UET262145:UEU262145 UOP262145:UOQ262145 UYL262145:UYM262145 VIH262145:VII262145 VSD262145:VSE262145 WBZ262145:WCA262145 WLV262145:WLW262145 WVR262145:WVS262145 D327681:E327681 JF327681:JG327681 TB327681:TC327681 ACX327681:ACY327681 AMT327681:AMU327681 AWP327681:AWQ327681 BGL327681:BGM327681 BQH327681:BQI327681 CAD327681:CAE327681 CJZ327681:CKA327681 CTV327681:CTW327681 DDR327681:DDS327681 DNN327681:DNO327681 DXJ327681:DXK327681 EHF327681:EHG327681 ERB327681:ERC327681 FAX327681:FAY327681 FKT327681:FKU327681 FUP327681:FUQ327681 GEL327681:GEM327681 GOH327681:GOI327681 GYD327681:GYE327681 HHZ327681:HIA327681 HRV327681:HRW327681 IBR327681:IBS327681 ILN327681:ILO327681 IVJ327681:IVK327681 JFF327681:JFG327681 JPB327681:JPC327681 JYX327681:JYY327681 KIT327681:KIU327681 KSP327681:KSQ327681 LCL327681:LCM327681 LMH327681:LMI327681 LWD327681:LWE327681 MFZ327681:MGA327681 MPV327681:MPW327681 MZR327681:MZS327681 NJN327681:NJO327681 NTJ327681:NTK327681 ODF327681:ODG327681 ONB327681:ONC327681 OWX327681:OWY327681 PGT327681:PGU327681 PQP327681:PQQ327681 QAL327681:QAM327681 QKH327681:QKI327681 QUD327681:QUE327681 RDZ327681:REA327681 RNV327681:RNW327681 RXR327681:RXS327681 SHN327681:SHO327681 SRJ327681:SRK327681 TBF327681:TBG327681 TLB327681:TLC327681 TUX327681:TUY327681 UET327681:UEU327681 UOP327681:UOQ327681 UYL327681:UYM327681 VIH327681:VII327681 VSD327681:VSE327681 WBZ327681:WCA327681 WLV327681:WLW327681 WVR327681:WVS327681 D393217:E393217 JF393217:JG393217 TB393217:TC393217 ACX393217:ACY393217 AMT393217:AMU393217 AWP393217:AWQ393217 BGL393217:BGM393217 BQH393217:BQI393217 CAD393217:CAE393217 CJZ393217:CKA393217 CTV393217:CTW393217 DDR393217:DDS393217 DNN393217:DNO393217 DXJ393217:DXK393217 EHF393217:EHG393217 ERB393217:ERC393217 FAX393217:FAY393217 FKT393217:FKU393217 FUP393217:FUQ393217 GEL393217:GEM393217 GOH393217:GOI393217 GYD393217:GYE393217 HHZ393217:HIA393217 HRV393217:HRW393217 IBR393217:IBS393217 ILN393217:ILO393217 IVJ393217:IVK393217 JFF393217:JFG393217 JPB393217:JPC393217 JYX393217:JYY393217 KIT393217:KIU393217 KSP393217:KSQ393217 LCL393217:LCM393217 LMH393217:LMI393217 LWD393217:LWE393217 MFZ393217:MGA393217 MPV393217:MPW393217 MZR393217:MZS393217 NJN393217:NJO393217 NTJ393217:NTK393217 ODF393217:ODG393217 ONB393217:ONC393217 OWX393217:OWY393217 PGT393217:PGU393217 PQP393217:PQQ393217 QAL393217:QAM393217 QKH393217:QKI393217 QUD393217:QUE393217 RDZ393217:REA393217 RNV393217:RNW393217 RXR393217:RXS393217 SHN393217:SHO393217 SRJ393217:SRK393217 TBF393217:TBG393217 TLB393217:TLC393217 TUX393217:TUY393217 UET393217:UEU393217 UOP393217:UOQ393217 UYL393217:UYM393217 VIH393217:VII393217 VSD393217:VSE393217 WBZ393217:WCA393217 WLV393217:WLW393217 WVR393217:WVS393217 D458753:E458753 JF458753:JG458753 TB458753:TC458753 ACX458753:ACY458753 AMT458753:AMU458753 AWP458753:AWQ458753 BGL458753:BGM458753 BQH458753:BQI458753 CAD458753:CAE458753 CJZ458753:CKA458753 CTV458753:CTW458753 DDR458753:DDS458753 DNN458753:DNO458753 DXJ458753:DXK458753 EHF458753:EHG458753 ERB458753:ERC458753 FAX458753:FAY458753 FKT458753:FKU458753 FUP458753:FUQ458753 GEL458753:GEM458753 GOH458753:GOI458753 GYD458753:GYE458753 HHZ458753:HIA458753 HRV458753:HRW458753 IBR458753:IBS458753 ILN458753:ILO458753 IVJ458753:IVK458753 JFF458753:JFG458753 JPB458753:JPC458753 JYX458753:JYY458753 KIT458753:KIU458753 KSP458753:KSQ458753 LCL458753:LCM458753 LMH458753:LMI458753 LWD458753:LWE458753 MFZ458753:MGA458753 MPV458753:MPW458753 MZR458753:MZS458753 NJN458753:NJO458753 NTJ458753:NTK458753 ODF458753:ODG458753 ONB458753:ONC458753 OWX458753:OWY458753 PGT458753:PGU458753 PQP458753:PQQ458753 QAL458753:QAM458753 QKH458753:QKI458753 QUD458753:QUE458753 RDZ458753:REA458753 RNV458753:RNW458753 RXR458753:RXS458753 SHN458753:SHO458753 SRJ458753:SRK458753 TBF458753:TBG458753 TLB458753:TLC458753 TUX458753:TUY458753 UET458753:UEU458753 UOP458753:UOQ458753 UYL458753:UYM458753 VIH458753:VII458753 VSD458753:VSE458753 WBZ458753:WCA458753 WLV458753:WLW458753 WVR458753:WVS458753 D524289:E524289 JF524289:JG524289 TB524289:TC524289 ACX524289:ACY524289 AMT524289:AMU524289 AWP524289:AWQ524289 BGL524289:BGM524289 BQH524289:BQI524289 CAD524289:CAE524289 CJZ524289:CKA524289 CTV524289:CTW524289 DDR524289:DDS524289 DNN524289:DNO524289 DXJ524289:DXK524289 EHF524289:EHG524289 ERB524289:ERC524289 FAX524289:FAY524289 FKT524289:FKU524289 FUP524289:FUQ524289 GEL524289:GEM524289 GOH524289:GOI524289 GYD524289:GYE524289 HHZ524289:HIA524289 HRV524289:HRW524289 IBR524289:IBS524289 ILN524289:ILO524289 IVJ524289:IVK524289 JFF524289:JFG524289 JPB524289:JPC524289 JYX524289:JYY524289 KIT524289:KIU524289 KSP524289:KSQ524289 LCL524289:LCM524289 LMH524289:LMI524289 LWD524289:LWE524289 MFZ524289:MGA524289 MPV524289:MPW524289 MZR524289:MZS524289 NJN524289:NJO524289 NTJ524289:NTK524289 ODF524289:ODG524289 ONB524289:ONC524289 OWX524289:OWY524289 PGT524289:PGU524289 PQP524289:PQQ524289 QAL524289:QAM524289 QKH524289:QKI524289 QUD524289:QUE524289 RDZ524289:REA524289 RNV524289:RNW524289 RXR524289:RXS524289 SHN524289:SHO524289 SRJ524289:SRK524289 TBF524289:TBG524289 TLB524289:TLC524289 TUX524289:TUY524289 UET524289:UEU524289 UOP524289:UOQ524289 UYL524289:UYM524289 VIH524289:VII524289 VSD524289:VSE524289 WBZ524289:WCA524289 WLV524289:WLW524289 WVR524289:WVS524289 D589825:E589825 JF589825:JG589825 TB589825:TC589825 ACX589825:ACY589825 AMT589825:AMU589825 AWP589825:AWQ589825 BGL589825:BGM589825 BQH589825:BQI589825 CAD589825:CAE589825 CJZ589825:CKA589825 CTV589825:CTW589825 DDR589825:DDS589825 DNN589825:DNO589825 DXJ589825:DXK589825 EHF589825:EHG589825 ERB589825:ERC589825 FAX589825:FAY589825 FKT589825:FKU589825 FUP589825:FUQ589825 GEL589825:GEM589825 GOH589825:GOI589825 GYD589825:GYE589825 HHZ589825:HIA589825 HRV589825:HRW589825 IBR589825:IBS589825 ILN589825:ILO589825 IVJ589825:IVK589825 JFF589825:JFG589825 JPB589825:JPC589825 JYX589825:JYY589825 KIT589825:KIU589825 KSP589825:KSQ589825 LCL589825:LCM589825 LMH589825:LMI589825 LWD589825:LWE589825 MFZ589825:MGA589825 MPV589825:MPW589825 MZR589825:MZS589825 NJN589825:NJO589825 NTJ589825:NTK589825 ODF589825:ODG589825 ONB589825:ONC589825 OWX589825:OWY589825 PGT589825:PGU589825 PQP589825:PQQ589825 QAL589825:QAM589825 QKH589825:QKI589825 QUD589825:QUE589825 RDZ589825:REA589825 RNV589825:RNW589825 RXR589825:RXS589825 SHN589825:SHO589825 SRJ589825:SRK589825 TBF589825:TBG589825 TLB589825:TLC589825 TUX589825:TUY589825 UET589825:UEU589825 UOP589825:UOQ589825 UYL589825:UYM589825 VIH589825:VII589825 VSD589825:VSE589825 WBZ589825:WCA589825 WLV589825:WLW589825 WVR589825:WVS589825 D655361:E655361 JF655361:JG655361 TB655361:TC655361 ACX655361:ACY655361 AMT655361:AMU655361 AWP655361:AWQ655361 BGL655361:BGM655361 BQH655361:BQI655361 CAD655361:CAE655361 CJZ655361:CKA655361 CTV655361:CTW655361 DDR655361:DDS655361 DNN655361:DNO655361 DXJ655361:DXK655361 EHF655361:EHG655361 ERB655361:ERC655361 FAX655361:FAY655361 FKT655361:FKU655361 FUP655361:FUQ655361 GEL655361:GEM655361 GOH655361:GOI655361 GYD655361:GYE655361 HHZ655361:HIA655361 HRV655361:HRW655361 IBR655361:IBS655361 ILN655361:ILO655361 IVJ655361:IVK655361 JFF655361:JFG655361 JPB655361:JPC655361 JYX655361:JYY655361 KIT655361:KIU655361 KSP655361:KSQ655361 LCL655361:LCM655361 LMH655361:LMI655361 LWD655361:LWE655361 MFZ655361:MGA655361 MPV655361:MPW655361 MZR655361:MZS655361 NJN655361:NJO655361 NTJ655361:NTK655361 ODF655361:ODG655361 ONB655361:ONC655361 OWX655361:OWY655361 PGT655361:PGU655361 PQP655361:PQQ655361 QAL655361:QAM655361 QKH655361:QKI655361 QUD655361:QUE655361 RDZ655361:REA655361 RNV655361:RNW655361 RXR655361:RXS655361 SHN655361:SHO655361 SRJ655361:SRK655361 TBF655361:TBG655361 TLB655361:TLC655361 TUX655361:TUY655361 UET655361:UEU655361 UOP655361:UOQ655361 UYL655361:UYM655361 VIH655361:VII655361 VSD655361:VSE655361 WBZ655361:WCA655361 WLV655361:WLW655361 WVR655361:WVS655361 D720897:E720897 JF720897:JG720897 TB720897:TC720897 ACX720897:ACY720897 AMT720897:AMU720897 AWP720897:AWQ720897 BGL720897:BGM720897 BQH720897:BQI720897 CAD720897:CAE720897 CJZ720897:CKA720897 CTV720897:CTW720897 DDR720897:DDS720897 DNN720897:DNO720897 DXJ720897:DXK720897 EHF720897:EHG720897 ERB720897:ERC720897 FAX720897:FAY720897 FKT720897:FKU720897 FUP720897:FUQ720897 GEL720897:GEM720897 GOH720897:GOI720897 GYD720897:GYE720897 HHZ720897:HIA720897 HRV720897:HRW720897 IBR720897:IBS720897 ILN720897:ILO720897 IVJ720897:IVK720897 JFF720897:JFG720897 JPB720897:JPC720897 JYX720897:JYY720897 KIT720897:KIU720897 KSP720897:KSQ720897 LCL720897:LCM720897 LMH720897:LMI720897 LWD720897:LWE720897 MFZ720897:MGA720897 MPV720897:MPW720897 MZR720897:MZS720897 NJN720897:NJO720897 NTJ720897:NTK720897 ODF720897:ODG720897 ONB720897:ONC720897 OWX720897:OWY720897 PGT720897:PGU720897 PQP720897:PQQ720897 QAL720897:QAM720897 QKH720897:QKI720897 QUD720897:QUE720897 RDZ720897:REA720897 RNV720897:RNW720897 RXR720897:RXS720897 SHN720897:SHO720897 SRJ720897:SRK720897 TBF720897:TBG720897 TLB720897:TLC720897 TUX720897:TUY720897 UET720897:UEU720897 UOP720897:UOQ720897 UYL720897:UYM720897 VIH720897:VII720897 VSD720897:VSE720897 WBZ720897:WCA720897 WLV720897:WLW720897 WVR720897:WVS720897 D786433:E786433 JF786433:JG786433 TB786433:TC786433 ACX786433:ACY786433 AMT786433:AMU786433 AWP786433:AWQ786433 BGL786433:BGM786433 BQH786433:BQI786433 CAD786433:CAE786433 CJZ786433:CKA786433 CTV786433:CTW786433 DDR786433:DDS786433 DNN786433:DNO786433 DXJ786433:DXK786433 EHF786433:EHG786433 ERB786433:ERC786433 FAX786433:FAY786433 FKT786433:FKU786433 FUP786433:FUQ786433 GEL786433:GEM786433 GOH786433:GOI786433 GYD786433:GYE786433 HHZ786433:HIA786433 HRV786433:HRW786433 IBR786433:IBS786433 ILN786433:ILO786433 IVJ786433:IVK786433 JFF786433:JFG786433 JPB786433:JPC786433 JYX786433:JYY786433 KIT786433:KIU786433 KSP786433:KSQ786433 LCL786433:LCM786433 LMH786433:LMI786433 LWD786433:LWE786433 MFZ786433:MGA786433 MPV786433:MPW786433 MZR786433:MZS786433 NJN786433:NJO786433 NTJ786433:NTK786433 ODF786433:ODG786433 ONB786433:ONC786433 OWX786433:OWY786433 PGT786433:PGU786433 PQP786433:PQQ786433 QAL786433:QAM786433 QKH786433:QKI786433 QUD786433:QUE786433 RDZ786433:REA786433 RNV786433:RNW786433 RXR786433:RXS786433 SHN786433:SHO786433 SRJ786433:SRK786433 TBF786433:TBG786433 TLB786433:TLC786433 TUX786433:TUY786433 UET786433:UEU786433 UOP786433:UOQ786433 UYL786433:UYM786433 VIH786433:VII786433 VSD786433:VSE786433 WBZ786433:WCA786433 WLV786433:WLW786433 WVR786433:WVS786433 D851969:E851969 JF851969:JG851969 TB851969:TC851969 ACX851969:ACY851969 AMT851969:AMU851969 AWP851969:AWQ851969 BGL851969:BGM851969 BQH851969:BQI851969 CAD851969:CAE851969 CJZ851969:CKA851969 CTV851969:CTW851969 DDR851969:DDS851969 DNN851969:DNO851969 DXJ851969:DXK851969 EHF851969:EHG851969 ERB851969:ERC851969 FAX851969:FAY851969 FKT851969:FKU851969 FUP851969:FUQ851969 GEL851969:GEM851969 GOH851969:GOI851969 GYD851969:GYE851969 HHZ851969:HIA851969 HRV851969:HRW851969 IBR851969:IBS851969 ILN851969:ILO851969 IVJ851969:IVK851969 JFF851969:JFG851969 JPB851969:JPC851969 JYX851969:JYY851969 KIT851969:KIU851969 KSP851969:KSQ851969 LCL851969:LCM851969 LMH851969:LMI851969 LWD851969:LWE851969 MFZ851969:MGA851969 MPV851969:MPW851969 MZR851969:MZS851969 NJN851969:NJO851969 NTJ851969:NTK851969 ODF851969:ODG851969 ONB851969:ONC851969 OWX851969:OWY851969 PGT851969:PGU851969 PQP851969:PQQ851969 QAL851969:QAM851969 QKH851969:QKI851969 QUD851969:QUE851969 RDZ851969:REA851969 RNV851969:RNW851969 RXR851969:RXS851969 SHN851969:SHO851969 SRJ851969:SRK851969 TBF851969:TBG851969 TLB851969:TLC851969 TUX851969:TUY851969 UET851969:UEU851969 UOP851969:UOQ851969 UYL851969:UYM851969 VIH851969:VII851969 VSD851969:VSE851969 WBZ851969:WCA851969 WLV851969:WLW851969 WVR851969:WVS851969 D917505:E917505 JF917505:JG917505 TB917505:TC917505 ACX917505:ACY917505 AMT917505:AMU917505 AWP917505:AWQ917505 BGL917505:BGM917505 BQH917505:BQI917505 CAD917505:CAE917505 CJZ917505:CKA917505 CTV917505:CTW917505 DDR917505:DDS917505 DNN917505:DNO917505 DXJ917505:DXK917505 EHF917505:EHG917505 ERB917505:ERC917505 FAX917505:FAY917505 FKT917505:FKU917505 FUP917505:FUQ917505 GEL917505:GEM917505 GOH917505:GOI917505 GYD917505:GYE917505 HHZ917505:HIA917505 HRV917505:HRW917505 IBR917505:IBS917505 ILN917505:ILO917505 IVJ917505:IVK917505 JFF917505:JFG917505 JPB917505:JPC917505 JYX917505:JYY917505 KIT917505:KIU917505 KSP917505:KSQ917505 LCL917505:LCM917505 LMH917505:LMI917505 LWD917505:LWE917505 MFZ917505:MGA917505 MPV917505:MPW917505 MZR917505:MZS917505 NJN917505:NJO917505 NTJ917505:NTK917505 ODF917505:ODG917505 ONB917505:ONC917505 OWX917505:OWY917505 PGT917505:PGU917505 PQP917505:PQQ917505 QAL917505:QAM917505 QKH917505:QKI917505 QUD917505:QUE917505 RDZ917505:REA917505 RNV917505:RNW917505 RXR917505:RXS917505 SHN917505:SHO917505 SRJ917505:SRK917505 TBF917505:TBG917505 TLB917505:TLC917505 TUX917505:TUY917505 UET917505:UEU917505 UOP917505:UOQ917505 UYL917505:UYM917505 VIH917505:VII917505 VSD917505:VSE917505 WBZ917505:WCA917505 WLV917505:WLW917505 WVR917505:WVS917505 D983041:E983041 JF983041:JG983041 TB983041:TC983041 ACX983041:ACY983041 AMT983041:AMU983041 AWP983041:AWQ983041 BGL983041:BGM983041 BQH983041:BQI983041 CAD983041:CAE983041 CJZ983041:CKA983041 CTV983041:CTW983041 DDR983041:DDS983041 DNN983041:DNO983041 DXJ983041:DXK983041 EHF983041:EHG983041 ERB983041:ERC983041 FAX983041:FAY983041 FKT983041:FKU983041 FUP983041:FUQ983041 GEL983041:GEM983041 GOH983041:GOI983041 GYD983041:GYE983041 HHZ983041:HIA983041 HRV983041:HRW983041 IBR983041:IBS983041 ILN983041:ILO983041 IVJ983041:IVK983041 JFF983041:JFG983041 JPB983041:JPC983041 JYX983041:JYY983041 KIT983041:KIU983041 KSP983041:KSQ983041 LCL983041:LCM983041 LMH983041:LMI983041 LWD983041:LWE983041 MFZ983041:MGA983041 MPV983041:MPW983041 MZR983041:MZS983041 NJN983041:NJO983041 NTJ983041:NTK983041 ODF983041:ODG983041 ONB983041:ONC983041 OWX983041:OWY983041 PGT983041:PGU983041 PQP983041:PQQ983041 QAL983041:QAM983041 QKH983041:QKI983041 QUD983041:QUE983041 RDZ983041:REA983041 RNV983041:RNW983041 RXR983041:RXS983041 SHN983041:SHO983041 SRJ983041:SRK983041 TBF983041:TBG983041 TLB983041:TLC983041 TUX983041:TUY983041 UET983041:UEU983041 UOP983041:UOQ983041 UYL983041:UYM983041 VIH983041:VII983041 VSD983041:VSE983041 WBZ983041:WCA983041 WLV983041:WLW983041 WVR983041:WVS983041 C8 JI18:JJ32 TE18:TF32 ADA18:ADB32 AMW18:AMX32 AWS18:AWT32 BGO18:BGP32 BQK18:BQL32 CAG18:CAH32 CKC18:CKD32 CTY18:CTZ32 DDU18:DDV32 DNQ18:DNR32 DXM18:DXN32 EHI18:EHJ32 ERE18:ERF32 FBA18:FBB32 FKW18:FKX32 FUS18:FUT32 GEO18:GEP32 GOK18:GOL32 GYG18:GYH32 HIC18:HID32 HRY18:HRZ32 IBU18:IBV32 ILQ18:ILR32 IVM18:IVN32 JFI18:JFJ32 JPE18:JPF32 JZA18:JZB32 KIW18:KIX32 KSS18:KST32 LCO18:LCP32 LMK18:LML32 LWG18:LWH32 MGC18:MGD32 MPY18:MPZ32 MZU18:MZV32 NJQ18:NJR32 NTM18:NTN32 ODI18:ODJ32 ONE18:ONF32 OXA18:OXB32 PGW18:PGX32 PQS18:PQT32 QAO18:QAP32 QKK18:QKL32 QUG18:QUH32 REC18:RED32 RNY18:RNZ32 RXU18:RXV32 SHQ18:SHR32 SRM18:SRN32 TBI18:TBJ32 TLE18:TLF32 TVA18:TVB32 UEW18:UEX32 UOS18:UOT32 UYO18:UYP32 VIK18:VIL32 VSG18:VSH32 WCC18:WCD32 WLY18:WLZ32 WVU18:WVV32 G65543:H65557 JI65543:JJ65557 TE65543:TF65557 ADA65543:ADB65557 AMW65543:AMX65557 AWS65543:AWT65557 BGO65543:BGP65557 BQK65543:BQL65557 CAG65543:CAH65557 CKC65543:CKD65557 CTY65543:CTZ65557 DDU65543:DDV65557 DNQ65543:DNR65557 DXM65543:DXN65557 EHI65543:EHJ65557 ERE65543:ERF65557 FBA65543:FBB65557 FKW65543:FKX65557 FUS65543:FUT65557 GEO65543:GEP65557 GOK65543:GOL65557 GYG65543:GYH65557 HIC65543:HID65557 HRY65543:HRZ65557 IBU65543:IBV65557 ILQ65543:ILR65557 IVM65543:IVN65557 JFI65543:JFJ65557 JPE65543:JPF65557 JZA65543:JZB65557 KIW65543:KIX65557 KSS65543:KST65557 LCO65543:LCP65557 LMK65543:LML65557 LWG65543:LWH65557 MGC65543:MGD65557 MPY65543:MPZ65557 MZU65543:MZV65557 NJQ65543:NJR65557 NTM65543:NTN65557 ODI65543:ODJ65557 ONE65543:ONF65557 OXA65543:OXB65557 PGW65543:PGX65557 PQS65543:PQT65557 QAO65543:QAP65557 QKK65543:QKL65557 QUG65543:QUH65557 REC65543:RED65557 RNY65543:RNZ65557 RXU65543:RXV65557 SHQ65543:SHR65557 SRM65543:SRN65557 TBI65543:TBJ65557 TLE65543:TLF65557 TVA65543:TVB65557 UEW65543:UEX65557 UOS65543:UOT65557 UYO65543:UYP65557 VIK65543:VIL65557 VSG65543:VSH65557 WCC65543:WCD65557 WLY65543:WLZ65557 WVU65543:WVV65557 G131079:H131093 JI131079:JJ131093 TE131079:TF131093 ADA131079:ADB131093 AMW131079:AMX131093 AWS131079:AWT131093 BGO131079:BGP131093 BQK131079:BQL131093 CAG131079:CAH131093 CKC131079:CKD131093 CTY131079:CTZ131093 DDU131079:DDV131093 DNQ131079:DNR131093 DXM131079:DXN131093 EHI131079:EHJ131093 ERE131079:ERF131093 FBA131079:FBB131093 FKW131079:FKX131093 FUS131079:FUT131093 GEO131079:GEP131093 GOK131079:GOL131093 GYG131079:GYH131093 HIC131079:HID131093 HRY131079:HRZ131093 IBU131079:IBV131093 ILQ131079:ILR131093 IVM131079:IVN131093 JFI131079:JFJ131093 JPE131079:JPF131093 JZA131079:JZB131093 KIW131079:KIX131093 KSS131079:KST131093 LCO131079:LCP131093 LMK131079:LML131093 LWG131079:LWH131093 MGC131079:MGD131093 MPY131079:MPZ131093 MZU131079:MZV131093 NJQ131079:NJR131093 NTM131079:NTN131093 ODI131079:ODJ131093 ONE131079:ONF131093 OXA131079:OXB131093 PGW131079:PGX131093 PQS131079:PQT131093 QAO131079:QAP131093 QKK131079:QKL131093 QUG131079:QUH131093 REC131079:RED131093 RNY131079:RNZ131093 RXU131079:RXV131093 SHQ131079:SHR131093 SRM131079:SRN131093 TBI131079:TBJ131093 TLE131079:TLF131093 TVA131079:TVB131093 UEW131079:UEX131093 UOS131079:UOT131093 UYO131079:UYP131093 VIK131079:VIL131093 VSG131079:VSH131093 WCC131079:WCD131093 WLY131079:WLZ131093 WVU131079:WVV131093 G196615:H196629 JI196615:JJ196629 TE196615:TF196629 ADA196615:ADB196629 AMW196615:AMX196629 AWS196615:AWT196629 BGO196615:BGP196629 BQK196615:BQL196629 CAG196615:CAH196629 CKC196615:CKD196629 CTY196615:CTZ196629 DDU196615:DDV196629 DNQ196615:DNR196629 DXM196615:DXN196629 EHI196615:EHJ196629 ERE196615:ERF196629 FBA196615:FBB196629 FKW196615:FKX196629 FUS196615:FUT196629 GEO196615:GEP196629 GOK196615:GOL196629 GYG196615:GYH196629 HIC196615:HID196629 HRY196615:HRZ196629 IBU196615:IBV196629 ILQ196615:ILR196629 IVM196615:IVN196629 JFI196615:JFJ196629 JPE196615:JPF196629 JZA196615:JZB196629 KIW196615:KIX196629 KSS196615:KST196629 LCO196615:LCP196629 LMK196615:LML196629 LWG196615:LWH196629 MGC196615:MGD196629 MPY196615:MPZ196629 MZU196615:MZV196629 NJQ196615:NJR196629 NTM196615:NTN196629 ODI196615:ODJ196629 ONE196615:ONF196629 OXA196615:OXB196629 PGW196615:PGX196629 PQS196615:PQT196629 QAO196615:QAP196629 QKK196615:QKL196629 QUG196615:QUH196629 REC196615:RED196629 RNY196615:RNZ196629 RXU196615:RXV196629 SHQ196615:SHR196629 SRM196615:SRN196629 TBI196615:TBJ196629 TLE196615:TLF196629 TVA196615:TVB196629 UEW196615:UEX196629 UOS196615:UOT196629 UYO196615:UYP196629 VIK196615:VIL196629 VSG196615:VSH196629 WCC196615:WCD196629 WLY196615:WLZ196629 WVU196615:WVV196629 G262151:H262165 JI262151:JJ262165 TE262151:TF262165 ADA262151:ADB262165 AMW262151:AMX262165 AWS262151:AWT262165 BGO262151:BGP262165 BQK262151:BQL262165 CAG262151:CAH262165 CKC262151:CKD262165 CTY262151:CTZ262165 DDU262151:DDV262165 DNQ262151:DNR262165 DXM262151:DXN262165 EHI262151:EHJ262165 ERE262151:ERF262165 FBA262151:FBB262165 FKW262151:FKX262165 FUS262151:FUT262165 GEO262151:GEP262165 GOK262151:GOL262165 GYG262151:GYH262165 HIC262151:HID262165 HRY262151:HRZ262165 IBU262151:IBV262165 ILQ262151:ILR262165 IVM262151:IVN262165 JFI262151:JFJ262165 JPE262151:JPF262165 JZA262151:JZB262165 KIW262151:KIX262165 KSS262151:KST262165 LCO262151:LCP262165 LMK262151:LML262165 LWG262151:LWH262165 MGC262151:MGD262165 MPY262151:MPZ262165 MZU262151:MZV262165 NJQ262151:NJR262165 NTM262151:NTN262165 ODI262151:ODJ262165 ONE262151:ONF262165 OXA262151:OXB262165 PGW262151:PGX262165 PQS262151:PQT262165 QAO262151:QAP262165 QKK262151:QKL262165 QUG262151:QUH262165 REC262151:RED262165 RNY262151:RNZ262165 RXU262151:RXV262165 SHQ262151:SHR262165 SRM262151:SRN262165 TBI262151:TBJ262165 TLE262151:TLF262165 TVA262151:TVB262165 UEW262151:UEX262165 UOS262151:UOT262165 UYO262151:UYP262165 VIK262151:VIL262165 VSG262151:VSH262165 WCC262151:WCD262165 WLY262151:WLZ262165 WVU262151:WVV262165 G327687:H327701 JI327687:JJ327701 TE327687:TF327701 ADA327687:ADB327701 AMW327687:AMX327701 AWS327687:AWT327701 BGO327687:BGP327701 BQK327687:BQL327701 CAG327687:CAH327701 CKC327687:CKD327701 CTY327687:CTZ327701 DDU327687:DDV327701 DNQ327687:DNR327701 DXM327687:DXN327701 EHI327687:EHJ327701 ERE327687:ERF327701 FBA327687:FBB327701 FKW327687:FKX327701 FUS327687:FUT327701 GEO327687:GEP327701 GOK327687:GOL327701 GYG327687:GYH327701 HIC327687:HID327701 HRY327687:HRZ327701 IBU327687:IBV327701 ILQ327687:ILR327701 IVM327687:IVN327701 JFI327687:JFJ327701 JPE327687:JPF327701 JZA327687:JZB327701 KIW327687:KIX327701 KSS327687:KST327701 LCO327687:LCP327701 LMK327687:LML327701 LWG327687:LWH327701 MGC327687:MGD327701 MPY327687:MPZ327701 MZU327687:MZV327701 NJQ327687:NJR327701 NTM327687:NTN327701 ODI327687:ODJ327701 ONE327687:ONF327701 OXA327687:OXB327701 PGW327687:PGX327701 PQS327687:PQT327701 QAO327687:QAP327701 QKK327687:QKL327701 QUG327687:QUH327701 REC327687:RED327701 RNY327687:RNZ327701 RXU327687:RXV327701 SHQ327687:SHR327701 SRM327687:SRN327701 TBI327687:TBJ327701 TLE327687:TLF327701 TVA327687:TVB327701 UEW327687:UEX327701 UOS327687:UOT327701 UYO327687:UYP327701 VIK327687:VIL327701 VSG327687:VSH327701 WCC327687:WCD327701 WLY327687:WLZ327701 WVU327687:WVV327701 G393223:H393237 JI393223:JJ393237 TE393223:TF393237 ADA393223:ADB393237 AMW393223:AMX393237 AWS393223:AWT393237 BGO393223:BGP393237 BQK393223:BQL393237 CAG393223:CAH393237 CKC393223:CKD393237 CTY393223:CTZ393237 DDU393223:DDV393237 DNQ393223:DNR393237 DXM393223:DXN393237 EHI393223:EHJ393237 ERE393223:ERF393237 FBA393223:FBB393237 FKW393223:FKX393237 FUS393223:FUT393237 GEO393223:GEP393237 GOK393223:GOL393237 GYG393223:GYH393237 HIC393223:HID393237 HRY393223:HRZ393237 IBU393223:IBV393237 ILQ393223:ILR393237 IVM393223:IVN393237 JFI393223:JFJ393237 JPE393223:JPF393237 JZA393223:JZB393237 KIW393223:KIX393237 KSS393223:KST393237 LCO393223:LCP393237 LMK393223:LML393237 LWG393223:LWH393237 MGC393223:MGD393237 MPY393223:MPZ393237 MZU393223:MZV393237 NJQ393223:NJR393237 NTM393223:NTN393237 ODI393223:ODJ393237 ONE393223:ONF393237 OXA393223:OXB393237 PGW393223:PGX393237 PQS393223:PQT393237 QAO393223:QAP393237 QKK393223:QKL393237 QUG393223:QUH393237 REC393223:RED393237 RNY393223:RNZ393237 RXU393223:RXV393237 SHQ393223:SHR393237 SRM393223:SRN393237 TBI393223:TBJ393237 TLE393223:TLF393237 TVA393223:TVB393237 UEW393223:UEX393237 UOS393223:UOT393237 UYO393223:UYP393237 VIK393223:VIL393237 VSG393223:VSH393237 WCC393223:WCD393237 WLY393223:WLZ393237 WVU393223:WVV393237 G458759:H458773 JI458759:JJ458773 TE458759:TF458773 ADA458759:ADB458773 AMW458759:AMX458773 AWS458759:AWT458773 BGO458759:BGP458773 BQK458759:BQL458773 CAG458759:CAH458773 CKC458759:CKD458773 CTY458759:CTZ458773 DDU458759:DDV458773 DNQ458759:DNR458773 DXM458759:DXN458773 EHI458759:EHJ458773 ERE458759:ERF458773 FBA458759:FBB458773 FKW458759:FKX458773 FUS458759:FUT458773 GEO458759:GEP458773 GOK458759:GOL458773 GYG458759:GYH458773 HIC458759:HID458773 HRY458759:HRZ458773 IBU458759:IBV458773 ILQ458759:ILR458773 IVM458759:IVN458773 JFI458759:JFJ458773 JPE458759:JPF458773 JZA458759:JZB458773 KIW458759:KIX458773 KSS458759:KST458773 LCO458759:LCP458773 LMK458759:LML458773 LWG458759:LWH458773 MGC458759:MGD458773 MPY458759:MPZ458773 MZU458759:MZV458773 NJQ458759:NJR458773 NTM458759:NTN458773 ODI458759:ODJ458773 ONE458759:ONF458773 OXA458759:OXB458773 PGW458759:PGX458773 PQS458759:PQT458773 QAO458759:QAP458773 QKK458759:QKL458773 QUG458759:QUH458773 REC458759:RED458773 RNY458759:RNZ458773 RXU458759:RXV458773 SHQ458759:SHR458773 SRM458759:SRN458773 TBI458759:TBJ458773 TLE458759:TLF458773 TVA458759:TVB458773 UEW458759:UEX458773 UOS458759:UOT458773 UYO458759:UYP458773 VIK458759:VIL458773 VSG458759:VSH458773 WCC458759:WCD458773 WLY458759:WLZ458773 WVU458759:WVV458773 G524295:H524309 JI524295:JJ524309 TE524295:TF524309 ADA524295:ADB524309 AMW524295:AMX524309 AWS524295:AWT524309 BGO524295:BGP524309 BQK524295:BQL524309 CAG524295:CAH524309 CKC524295:CKD524309 CTY524295:CTZ524309 DDU524295:DDV524309 DNQ524295:DNR524309 DXM524295:DXN524309 EHI524295:EHJ524309 ERE524295:ERF524309 FBA524295:FBB524309 FKW524295:FKX524309 FUS524295:FUT524309 GEO524295:GEP524309 GOK524295:GOL524309 GYG524295:GYH524309 HIC524295:HID524309 HRY524295:HRZ524309 IBU524295:IBV524309 ILQ524295:ILR524309 IVM524295:IVN524309 JFI524295:JFJ524309 JPE524295:JPF524309 JZA524295:JZB524309 KIW524295:KIX524309 KSS524295:KST524309 LCO524295:LCP524309 LMK524295:LML524309 LWG524295:LWH524309 MGC524295:MGD524309 MPY524295:MPZ524309 MZU524295:MZV524309 NJQ524295:NJR524309 NTM524295:NTN524309 ODI524295:ODJ524309 ONE524295:ONF524309 OXA524295:OXB524309 PGW524295:PGX524309 PQS524295:PQT524309 QAO524295:QAP524309 QKK524295:QKL524309 QUG524295:QUH524309 REC524295:RED524309 RNY524295:RNZ524309 RXU524295:RXV524309 SHQ524295:SHR524309 SRM524295:SRN524309 TBI524295:TBJ524309 TLE524295:TLF524309 TVA524295:TVB524309 UEW524295:UEX524309 UOS524295:UOT524309 UYO524295:UYP524309 VIK524295:VIL524309 VSG524295:VSH524309 WCC524295:WCD524309 WLY524295:WLZ524309 WVU524295:WVV524309 G589831:H589845 JI589831:JJ589845 TE589831:TF589845 ADA589831:ADB589845 AMW589831:AMX589845 AWS589831:AWT589845 BGO589831:BGP589845 BQK589831:BQL589845 CAG589831:CAH589845 CKC589831:CKD589845 CTY589831:CTZ589845 DDU589831:DDV589845 DNQ589831:DNR589845 DXM589831:DXN589845 EHI589831:EHJ589845 ERE589831:ERF589845 FBA589831:FBB589845 FKW589831:FKX589845 FUS589831:FUT589845 GEO589831:GEP589845 GOK589831:GOL589845 GYG589831:GYH589845 HIC589831:HID589845 HRY589831:HRZ589845 IBU589831:IBV589845 ILQ589831:ILR589845 IVM589831:IVN589845 JFI589831:JFJ589845 JPE589831:JPF589845 JZA589831:JZB589845 KIW589831:KIX589845 KSS589831:KST589845 LCO589831:LCP589845 LMK589831:LML589845 LWG589831:LWH589845 MGC589831:MGD589845 MPY589831:MPZ589845 MZU589831:MZV589845 NJQ589831:NJR589845 NTM589831:NTN589845 ODI589831:ODJ589845 ONE589831:ONF589845 OXA589831:OXB589845 PGW589831:PGX589845 PQS589831:PQT589845 QAO589831:QAP589845 QKK589831:QKL589845 QUG589831:QUH589845 REC589831:RED589845 RNY589831:RNZ589845 RXU589831:RXV589845 SHQ589831:SHR589845 SRM589831:SRN589845 TBI589831:TBJ589845 TLE589831:TLF589845 TVA589831:TVB589845 UEW589831:UEX589845 UOS589831:UOT589845 UYO589831:UYP589845 VIK589831:VIL589845 VSG589831:VSH589845 WCC589831:WCD589845 WLY589831:WLZ589845 WVU589831:WVV589845 G655367:H655381 JI655367:JJ655381 TE655367:TF655381 ADA655367:ADB655381 AMW655367:AMX655381 AWS655367:AWT655381 BGO655367:BGP655381 BQK655367:BQL655381 CAG655367:CAH655381 CKC655367:CKD655381 CTY655367:CTZ655381 DDU655367:DDV655381 DNQ655367:DNR655381 DXM655367:DXN655381 EHI655367:EHJ655381 ERE655367:ERF655381 FBA655367:FBB655381 FKW655367:FKX655381 FUS655367:FUT655381 GEO655367:GEP655381 GOK655367:GOL655381 GYG655367:GYH655381 HIC655367:HID655381 HRY655367:HRZ655381 IBU655367:IBV655381 ILQ655367:ILR655381 IVM655367:IVN655381 JFI655367:JFJ655381 JPE655367:JPF655381 JZA655367:JZB655381 KIW655367:KIX655381 KSS655367:KST655381 LCO655367:LCP655381 LMK655367:LML655381 LWG655367:LWH655381 MGC655367:MGD655381 MPY655367:MPZ655381 MZU655367:MZV655381 NJQ655367:NJR655381 NTM655367:NTN655381 ODI655367:ODJ655381 ONE655367:ONF655381 OXA655367:OXB655381 PGW655367:PGX655381 PQS655367:PQT655381 QAO655367:QAP655381 QKK655367:QKL655381 QUG655367:QUH655381 REC655367:RED655381 RNY655367:RNZ655381 RXU655367:RXV655381 SHQ655367:SHR655381 SRM655367:SRN655381 TBI655367:TBJ655381 TLE655367:TLF655381 TVA655367:TVB655381 UEW655367:UEX655381 UOS655367:UOT655381 UYO655367:UYP655381 VIK655367:VIL655381 VSG655367:VSH655381 WCC655367:WCD655381 WLY655367:WLZ655381 WVU655367:WVV655381 G720903:H720917 JI720903:JJ720917 TE720903:TF720917 ADA720903:ADB720917 AMW720903:AMX720917 AWS720903:AWT720917 BGO720903:BGP720917 BQK720903:BQL720917 CAG720903:CAH720917 CKC720903:CKD720917 CTY720903:CTZ720917 DDU720903:DDV720917 DNQ720903:DNR720917 DXM720903:DXN720917 EHI720903:EHJ720917 ERE720903:ERF720917 FBA720903:FBB720917 FKW720903:FKX720917 FUS720903:FUT720917 GEO720903:GEP720917 GOK720903:GOL720917 GYG720903:GYH720917 HIC720903:HID720917 HRY720903:HRZ720917 IBU720903:IBV720917 ILQ720903:ILR720917 IVM720903:IVN720917 JFI720903:JFJ720917 JPE720903:JPF720917 JZA720903:JZB720917 KIW720903:KIX720917 KSS720903:KST720917 LCO720903:LCP720917 LMK720903:LML720917 LWG720903:LWH720917 MGC720903:MGD720917 MPY720903:MPZ720917 MZU720903:MZV720917 NJQ720903:NJR720917 NTM720903:NTN720917 ODI720903:ODJ720917 ONE720903:ONF720917 OXA720903:OXB720917 PGW720903:PGX720917 PQS720903:PQT720917 QAO720903:QAP720917 QKK720903:QKL720917 QUG720903:QUH720917 REC720903:RED720917 RNY720903:RNZ720917 RXU720903:RXV720917 SHQ720903:SHR720917 SRM720903:SRN720917 TBI720903:TBJ720917 TLE720903:TLF720917 TVA720903:TVB720917 UEW720903:UEX720917 UOS720903:UOT720917 UYO720903:UYP720917 VIK720903:VIL720917 VSG720903:VSH720917 WCC720903:WCD720917 WLY720903:WLZ720917 WVU720903:WVV720917 G786439:H786453 JI786439:JJ786453 TE786439:TF786453 ADA786439:ADB786453 AMW786439:AMX786453 AWS786439:AWT786453 BGO786439:BGP786453 BQK786439:BQL786453 CAG786439:CAH786453 CKC786439:CKD786453 CTY786439:CTZ786453 DDU786439:DDV786453 DNQ786439:DNR786453 DXM786439:DXN786453 EHI786439:EHJ786453 ERE786439:ERF786453 FBA786439:FBB786453 FKW786439:FKX786453 FUS786439:FUT786453 GEO786439:GEP786453 GOK786439:GOL786453 GYG786439:GYH786453 HIC786439:HID786453 HRY786439:HRZ786453 IBU786439:IBV786453 ILQ786439:ILR786453 IVM786439:IVN786453 JFI786439:JFJ786453 JPE786439:JPF786453 JZA786439:JZB786453 KIW786439:KIX786453 KSS786439:KST786453 LCO786439:LCP786453 LMK786439:LML786453 LWG786439:LWH786453 MGC786439:MGD786453 MPY786439:MPZ786453 MZU786439:MZV786453 NJQ786439:NJR786453 NTM786439:NTN786453 ODI786439:ODJ786453 ONE786439:ONF786453 OXA786439:OXB786453 PGW786439:PGX786453 PQS786439:PQT786453 QAO786439:QAP786453 QKK786439:QKL786453 QUG786439:QUH786453 REC786439:RED786453 RNY786439:RNZ786453 RXU786439:RXV786453 SHQ786439:SHR786453 SRM786439:SRN786453 TBI786439:TBJ786453 TLE786439:TLF786453 TVA786439:TVB786453 UEW786439:UEX786453 UOS786439:UOT786453 UYO786439:UYP786453 VIK786439:VIL786453 VSG786439:VSH786453 WCC786439:WCD786453 WLY786439:WLZ786453 WVU786439:WVV786453 G851975:H851989 JI851975:JJ851989 TE851975:TF851989 ADA851975:ADB851989 AMW851975:AMX851989 AWS851975:AWT851989 BGO851975:BGP851989 BQK851975:BQL851989 CAG851975:CAH851989 CKC851975:CKD851989 CTY851975:CTZ851989 DDU851975:DDV851989 DNQ851975:DNR851989 DXM851975:DXN851989 EHI851975:EHJ851989 ERE851975:ERF851989 FBA851975:FBB851989 FKW851975:FKX851989 FUS851975:FUT851989 GEO851975:GEP851989 GOK851975:GOL851989 GYG851975:GYH851989 HIC851975:HID851989 HRY851975:HRZ851989 IBU851975:IBV851989 ILQ851975:ILR851989 IVM851975:IVN851989 JFI851975:JFJ851989 JPE851975:JPF851989 JZA851975:JZB851989 KIW851975:KIX851989 KSS851975:KST851989 LCO851975:LCP851989 LMK851975:LML851989 LWG851975:LWH851989 MGC851975:MGD851989 MPY851975:MPZ851989 MZU851975:MZV851989 NJQ851975:NJR851989 NTM851975:NTN851989 ODI851975:ODJ851989 ONE851975:ONF851989 OXA851975:OXB851989 PGW851975:PGX851989 PQS851975:PQT851989 QAO851975:QAP851989 QKK851975:QKL851989 QUG851975:QUH851989 REC851975:RED851989 RNY851975:RNZ851989 RXU851975:RXV851989 SHQ851975:SHR851989 SRM851975:SRN851989 TBI851975:TBJ851989 TLE851975:TLF851989 TVA851975:TVB851989 UEW851975:UEX851989 UOS851975:UOT851989 UYO851975:UYP851989 VIK851975:VIL851989 VSG851975:VSH851989 WCC851975:WCD851989 WLY851975:WLZ851989 WVU851975:WVV851989 G917511:H917525 JI917511:JJ917525 TE917511:TF917525 ADA917511:ADB917525 AMW917511:AMX917525 AWS917511:AWT917525 BGO917511:BGP917525 BQK917511:BQL917525 CAG917511:CAH917525 CKC917511:CKD917525 CTY917511:CTZ917525 DDU917511:DDV917525 DNQ917511:DNR917525 DXM917511:DXN917525 EHI917511:EHJ917525 ERE917511:ERF917525 FBA917511:FBB917525 FKW917511:FKX917525 FUS917511:FUT917525 GEO917511:GEP917525 GOK917511:GOL917525 GYG917511:GYH917525 HIC917511:HID917525 HRY917511:HRZ917525 IBU917511:IBV917525 ILQ917511:ILR917525 IVM917511:IVN917525 JFI917511:JFJ917525 JPE917511:JPF917525 JZA917511:JZB917525 KIW917511:KIX917525 KSS917511:KST917525 LCO917511:LCP917525 LMK917511:LML917525 LWG917511:LWH917525 MGC917511:MGD917525 MPY917511:MPZ917525 MZU917511:MZV917525 NJQ917511:NJR917525 NTM917511:NTN917525 ODI917511:ODJ917525 ONE917511:ONF917525 OXA917511:OXB917525 PGW917511:PGX917525 PQS917511:PQT917525 QAO917511:QAP917525 QKK917511:QKL917525 QUG917511:QUH917525 REC917511:RED917525 RNY917511:RNZ917525 RXU917511:RXV917525 SHQ917511:SHR917525 SRM917511:SRN917525 TBI917511:TBJ917525 TLE917511:TLF917525 TVA917511:TVB917525 UEW917511:UEX917525 UOS917511:UOT917525 UYO917511:UYP917525 VIK917511:VIL917525 VSG917511:VSH917525 WCC917511:WCD917525 WLY917511:WLZ917525 WVU917511:WVV917525 G983047:H983061 JI983047:JJ983061 TE983047:TF983061 ADA983047:ADB983061 AMW983047:AMX983061 AWS983047:AWT983061 BGO983047:BGP983061 BQK983047:BQL983061 CAG983047:CAH983061 CKC983047:CKD983061 CTY983047:CTZ983061 DDU983047:DDV983061 DNQ983047:DNR983061 DXM983047:DXN983061 EHI983047:EHJ983061 ERE983047:ERF983061 FBA983047:FBB983061 FKW983047:FKX983061 FUS983047:FUT983061 GEO983047:GEP983061 GOK983047:GOL983061 GYG983047:GYH983061 HIC983047:HID983061 HRY983047:HRZ983061 IBU983047:IBV983061 ILQ983047:ILR983061 IVM983047:IVN983061 JFI983047:JFJ983061 JPE983047:JPF983061 JZA983047:JZB983061 KIW983047:KIX983061 KSS983047:KST983061 LCO983047:LCP983061 LMK983047:LML983061 LWG983047:LWH983061 MGC983047:MGD983061 MPY983047:MPZ983061 MZU983047:MZV983061 NJQ983047:NJR983061 NTM983047:NTN983061 ODI983047:ODJ983061 ONE983047:ONF983061 OXA983047:OXB983061 PGW983047:PGX983061 PQS983047:PQT983061 QAO983047:QAP983061 QKK983047:QKL983061 QUG983047:QUH983061 REC983047:RED983061 RNY983047:RNZ983061 RXU983047:RXV983061 SHQ983047:SHR983061 SRM983047:SRN983061 TBI983047:TBJ983061 TLE983047:TLF983061 TVA983047:TVB983061 UEW983047:UEX983061 UOS983047:UOT983061 UYO983047:UYP983061 VIK983047:VIL983061 VSG983047:VSH983061 WCC983047:WCD983061 WLY983047:WLZ983061 G18:H32" xr:uid="{6C61E917-16F7-49FE-92F2-9D3862C549AB}">
      <formula1>4</formula1>
    </dataValidation>
    <dataValidation type="textLength" operator="equal" allowBlank="1" showInputMessage="1" showErrorMessage="1" error="Company number must be 4 digits." sqref="A19:A32" xr:uid="{ED4FCB08-4DB4-41E2-ACFB-78FD6AAB8709}">
      <formula1>4</formula1>
    </dataValidation>
    <dataValidation type="whole" operator="notEqual" allowBlank="1" showInputMessage="1" showErrorMessage="1" errorTitle="Wrong Account" error="NCAS Account 538030 is NOT a transfer account. Contact your OSC analyst before proceeding." sqref="C19:C33" xr:uid="{A4605F10-D33C-4369-B602-EC503AB08741}">
      <formula1>538030</formula1>
    </dataValidation>
  </dataValidations>
  <hyperlinks>
    <hyperlink ref="A1:Q1" location="Index!A1" display="Index!A1" xr:uid="{DD910D0B-50A9-45FE-9999-488953590D23}"/>
    <hyperlink ref="A40" r:id="rId1" xr:uid="{10CA65DE-108A-4A82-85B1-4B4E0B34C298}"/>
  </hyperlinks>
  <printOptions horizontalCentered="1"/>
  <pageMargins left="0.5" right="0.5" top="0.75" bottom="0.5" header="0.5" footer="0.5"/>
  <pageSetup scale="72" orientation="landscape" blackAndWhite="1"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9">
    <pageSetUpPr fitToPage="1"/>
  </sheetPr>
  <dimension ref="A1:AK47"/>
  <sheetViews>
    <sheetView showGridLines="0" topLeftCell="B1" zoomScaleNormal="100" workbookViewId="0">
      <selection activeCell="AO16" sqref="AO16"/>
    </sheetView>
  </sheetViews>
  <sheetFormatPr defaultRowHeight="15.75" x14ac:dyDescent="0.25"/>
  <cols>
    <col min="1" max="1" width="0" style="1768" hidden="1" customWidth="1"/>
    <col min="2" max="2" width="9.5703125" style="1768" customWidth="1"/>
    <col min="3" max="3" width="1.5703125" style="1768" customWidth="1"/>
    <col min="4" max="4" width="6.5703125" style="1768" customWidth="1"/>
    <col min="5" max="5" width="1.5703125" style="1768" customWidth="1"/>
    <col min="6" max="6" width="10.5703125" style="1768" customWidth="1"/>
    <col min="7" max="7" width="1.5703125" style="1768" customWidth="1"/>
    <col min="8" max="8" width="20.5703125" style="1768" customWidth="1"/>
    <col min="9" max="9" width="2.5703125" style="1768" customWidth="1"/>
    <col min="10" max="10" width="12" style="1768" customWidth="1"/>
    <col min="11" max="11" width="1.5703125" style="1768" customWidth="1"/>
    <col min="12" max="12" width="7.42578125" style="1768" bestFit="1" customWidth="1"/>
    <col min="13" max="13" width="1.5703125" style="1768" customWidth="1"/>
    <col min="14" max="14" width="10.5703125" style="1768" customWidth="1"/>
    <col min="15" max="15" width="1.5703125" style="1768" customWidth="1"/>
    <col min="16" max="16" width="20.5703125" style="1768" customWidth="1"/>
    <col min="17" max="17" width="1.42578125" style="1768" customWidth="1"/>
    <col min="18" max="18" width="39.42578125" style="1768" customWidth="1"/>
    <col min="19" max="19" width="5.5703125" style="1768" hidden="1" customWidth="1"/>
    <col min="20" max="20" width="2" style="1768" hidden="1" customWidth="1"/>
    <col min="21" max="24" width="5.5703125" style="1768" hidden="1" customWidth="1"/>
    <col min="25" max="25" width="7" style="1768" hidden="1" customWidth="1"/>
    <col min="26" max="26" width="2" style="1768" hidden="1" customWidth="1"/>
    <col min="27" max="27" width="7" style="1768" hidden="1" customWidth="1"/>
    <col min="28" max="30" width="5.5703125" style="1768" hidden="1" customWidth="1"/>
    <col min="31" max="32" width="6.42578125" style="1768" hidden="1" customWidth="1"/>
    <col min="33" max="36" width="0" style="1768" hidden="1" customWidth="1"/>
    <col min="37" max="257" width="9.42578125" style="1768"/>
    <col min="258" max="258" width="0" style="1768" hidden="1" customWidth="1"/>
    <col min="259" max="259" width="11.42578125" style="1768" customWidth="1"/>
    <col min="260" max="260" width="1.5703125" style="1768" customWidth="1"/>
    <col min="261" max="261" width="7.42578125" style="1768" bestFit="1" customWidth="1"/>
    <col min="262" max="262" width="1.5703125" style="1768" customWidth="1"/>
    <col min="263" max="263" width="12.5703125" style="1768" customWidth="1"/>
    <col min="264" max="264" width="1.5703125" style="1768" customWidth="1"/>
    <col min="265" max="265" width="20.5703125" style="1768" customWidth="1"/>
    <col min="266" max="266" width="2.5703125" style="1768" customWidth="1"/>
    <col min="267" max="267" width="10.5703125" style="1768" customWidth="1"/>
    <col min="268" max="268" width="1.5703125" style="1768" customWidth="1"/>
    <col min="269" max="269" width="10.5703125" style="1768" customWidth="1"/>
    <col min="270" max="270" width="1.5703125" style="1768" customWidth="1"/>
    <col min="271" max="271" width="12.5703125" style="1768" customWidth="1"/>
    <col min="272" max="272" width="1.5703125" style="1768" customWidth="1"/>
    <col min="273" max="273" width="22.5703125" style="1768" customWidth="1"/>
    <col min="274" max="274" width="4.5703125" style="1768" customWidth="1"/>
    <col min="275" max="288" width="0" style="1768" hidden="1" customWidth="1"/>
    <col min="289" max="513" width="9.42578125" style="1768"/>
    <col min="514" max="514" width="0" style="1768" hidden="1" customWidth="1"/>
    <col min="515" max="515" width="11.42578125" style="1768" customWidth="1"/>
    <col min="516" max="516" width="1.5703125" style="1768" customWidth="1"/>
    <col min="517" max="517" width="7.42578125" style="1768" bestFit="1" customWidth="1"/>
    <col min="518" max="518" width="1.5703125" style="1768" customWidth="1"/>
    <col min="519" max="519" width="12.5703125" style="1768" customWidth="1"/>
    <col min="520" max="520" width="1.5703125" style="1768" customWidth="1"/>
    <col min="521" max="521" width="20.5703125" style="1768" customWidth="1"/>
    <col min="522" max="522" width="2.5703125" style="1768" customWidth="1"/>
    <col min="523" max="523" width="10.5703125" style="1768" customWidth="1"/>
    <col min="524" max="524" width="1.5703125" style="1768" customWidth="1"/>
    <col min="525" max="525" width="10.5703125" style="1768" customWidth="1"/>
    <col min="526" max="526" width="1.5703125" style="1768" customWidth="1"/>
    <col min="527" max="527" width="12.5703125" style="1768" customWidth="1"/>
    <col min="528" max="528" width="1.5703125" style="1768" customWidth="1"/>
    <col min="529" max="529" width="22.5703125" style="1768" customWidth="1"/>
    <col min="530" max="530" width="4.5703125" style="1768" customWidth="1"/>
    <col min="531" max="544" width="0" style="1768" hidden="1" customWidth="1"/>
    <col min="545" max="769" width="9.42578125" style="1768"/>
    <col min="770" max="770" width="0" style="1768" hidden="1" customWidth="1"/>
    <col min="771" max="771" width="11.42578125" style="1768" customWidth="1"/>
    <col min="772" max="772" width="1.5703125" style="1768" customWidth="1"/>
    <col min="773" max="773" width="7.42578125" style="1768" bestFit="1" customWidth="1"/>
    <col min="774" max="774" width="1.5703125" style="1768" customWidth="1"/>
    <col min="775" max="775" width="12.5703125" style="1768" customWidth="1"/>
    <col min="776" max="776" width="1.5703125" style="1768" customWidth="1"/>
    <col min="777" max="777" width="20.5703125" style="1768" customWidth="1"/>
    <col min="778" max="778" width="2.5703125" style="1768" customWidth="1"/>
    <col min="779" max="779" width="10.5703125" style="1768" customWidth="1"/>
    <col min="780" max="780" width="1.5703125" style="1768" customWidth="1"/>
    <col min="781" max="781" width="10.5703125" style="1768" customWidth="1"/>
    <col min="782" max="782" width="1.5703125" style="1768" customWidth="1"/>
    <col min="783" max="783" width="12.5703125" style="1768" customWidth="1"/>
    <col min="784" max="784" width="1.5703125" style="1768" customWidth="1"/>
    <col min="785" max="785" width="22.5703125" style="1768" customWidth="1"/>
    <col min="786" max="786" width="4.5703125" style="1768" customWidth="1"/>
    <col min="787" max="800" width="0" style="1768" hidden="1" customWidth="1"/>
    <col min="801" max="1025" width="9.42578125" style="1768"/>
    <col min="1026" max="1026" width="0" style="1768" hidden="1" customWidth="1"/>
    <col min="1027" max="1027" width="11.42578125" style="1768" customWidth="1"/>
    <col min="1028" max="1028" width="1.5703125" style="1768" customWidth="1"/>
    <col min="1029" max="1029" width="7.42578125" style="1768" bestFit="1" customWidth="1"/>
    <col min="1030" max="1030" width="1.5703125" style="1768" customWidth="1"/>
    <col min="1031" max="1031" width="12.5703125" style="1768" customWidth="1"/>
    <col min="1032" max="1032" width="1.5703125" style="1768" customWidth="1"/>
    <col min="1033" max="1033" width="20.5703125" style="1768" customWidth="1"/>
    <col min="1034" max="1034" width="2.5703125" style="1768" customWidth="1"/>
    <col min="1035" max="1035" width="10.5703125" style="1768" customWidth="1"/>
    <col min="1036" max="1036" width="1.5703125" style="1768" customWidth="1"/>
    <col min="1037" max="1037" width="10.5703125" style="1768" customWidth="1"/>
    <col min="1038" max="1038" width="1.5703125" style="1768" customWidth="1"/>
    <col min="1039" max="1039" width="12.5703125" style="1768" customWidth="1"/>
    <col min="1040" max="1040" width="1.5703125" style="1768" customWidth="1"/>
    <col min="1041" max="1041" width="22.5703125" style="1768" customWidth="1"/>
    <col min="1042" max="1042" width="4.5703125" style="1768" customWidth="1"/>
    <col min="1043" max="1056" width="0" style="1768" hidden="1" customWidth="1"/>
    <col min="1057" max="1281" width="9.42578125" style="1768"/>
    <col min="1282" max="1282" width="0" style="1768" hidden="1" customWidth="1"/>
    <col min="1283" max="1283" width="11.42578125" style="1768" customWidth="1"/>
    <col min="1284" max="1284" width="1.5703125" style="1768" customWidth="1"/>
    <col min="1285" max="1285" width="7.42578125" style="1768" bestFit="1" customWidth="1"/>
    <col min="1286" max="1286" width="1.5703125" style="1768" customWidth="1"/>
    <col min="1287" max="1287" width="12.5703125" style="1768" customWidth="1"/>
    <col min="1288" max="1288" width="1.5703125" style="1768" customWidth="1"/>
    <col min="1289" max="1289" width="20.5703125" style="1768" customWidth="1"/>
    <col min="1290" max="1290" width="2.5703125" style="1768" customWidth="1"/>
    <col min="1291" max="1291" width="10.5703125" style="1768" customWidth="1"/>
    <col min="1292" max="1292" width="1.5703125" style="1768" customWidth="1"/>
    <col min="1293" max="1293" width="10.5703125" style="1768" customWidth="1"/>
    <col min="1294" max="1294" width="1.5703125" style="1768" customWidth="1"/>
    <col min="1295" max="1295" width="12.5703125" style="1768" customWidth="1"/>
    <col min="1296" max="1296" width="1.5703125" style="1768" customWidth="1"/>
    <col min="1297" max="1297" width="22.5703125" style="1768" customWidth="1"/>
    <col min="1298" max="1298" width="4.5703125" style="1768" customWidth="1"/>
    <col min="1299" max="1312" width="0" style="1768" hidden="1" customWidth="1"/>
    <col min="1313" max="1537" width="9.42578125" style="1768"/>
    <col min="1538" max="1538" width="0" style="1768" hidden="1" customWidth="1"/>
    <col min="1539" max="1539" width="11.42578125" style="1768" customWidth="1"/>
    <col min="1540" max="1540" width="1.5703125" style="1768" customWidth="1"/>
    <col min="1541" max="1541" width="7.42578125" style="1768" bestFit="1" customWidth="1"/>
    <col min="1542" max="1542" width="1.5703125" style="1768" customWidth="1"/>
    <col min="1543" max="1543" width="12.5703125" style="1768" customWidth="1"/>
    <col min="1544" max="1544" width="1.5703125" style="1768" customWidth="1"/>
    <col min="1545" max="1545" width="20.5703125" style="1768" customWidth="1"/>
    <col min="1546" max="1546" width="2.5703125" style="1768" customWidth="1"/>
    <col min="1547" max="1547" width="10.5703125" style="1768" customWidth="1"/>
    <col min="1548" max="1548" width="1.5703125" style="1768" customWidth="1"/>
    <col min="1549" max="1549" width="10.5703125" style="1768" customWidth="1"/>
    <col min="1550" max="1550" width="1.5703125" style="1768" customWidth="1"/>
    <col min="1551" max="1551" width="12.5703125" style="1768" customWidth="1"/>
    <col min="1552" max="1552" width="1.5703125" style="1768" customWidth="1"/>
    <col min="1553" max="1553" width="22.5703125" style="1768" customWidth="1"/>
    <col min="1554" max="1554" width="4.5703125" style="1768" customWidth="1"/>
    <col min="1555" max="1568" width="0" style="1768" hidden="1" customWidth="1"/>
    <col min="1569" max="1793" width="9.42578125" style="1768"/>
    <col min="1794" max="1794" width="0" style="1768" hidden="1" customWidth="1"/>
    <col min="1795" max="1795" width="11.42578125" style="1768" customWidth="1"/>
    <col min="1796" max="1796" width="1.5703125" style="1768" customWidth="1"/>
    <col min="1797" max="1797" width="7.42578125" style="1768" bestFit="1" customWidth="1"/>
    <col min="1798" max="1798" width="1.5703125" style="1768" customWidth="1"/>
    <col min="1799" max="1799" width="12.5703125" style="1768" customWidth="1"/>
    <col min="1800" max="1800" width="1.5703125" style="1768" customWidth="1"/>
    <col min="1801" max="1801" width="20.5703125" style="1768" customWidth="1"/>
    <col min="1802" max="1802" width="2.5703125" style="1768" customWidth="1"/>
    <col min="1803" max="1803" width="10.5703125" style="1768" customWidth="1"/>
    <col min="1804" max="1804" width="1.5703125" style="1768" customWidth="1"/>
    <col min="1805" max="1805" width="10.5703125" style="1768" customWidth="1"/>
    <col min="1806" max="1806" width="1.5703125" style="1768" customWidth="1"/>
    <col min="1807" max="1807" width="12.5703125" style="1768" customWidth="1"/>
    <col min="1808" max="1808" width="1.5703125" style="1768" customWidth="1"/>
    <col min="1809" max="1809" width="22.5703125" style="1768" customWidth="1"/>
    <col min="1810" max="1810" width="4.5703125" style="1768" customWidth="1"/>
    <col min="1811" max="1824" width="0" style="1768" hidden="1" customWidth="1"/>
    <col min="1825" max="2049" width="9.42578125" style="1768"/>
    <col min="2050" max="2050" width="0" style="1768" hidden="1" customWidth="1"/>
    <col min="2051" max="2051" width="11.42578125" style="1768" customWidth="1"/>
    <col min="2052" max="2052" width="1.5703125" style="1768" customWidth="1"/>
    <col min="2053" max="2053" width="7.42578125" style="1768" bestFit="1" customWidth="1"/>
    <col min="2054" max="2054" width="1.5703125" style="1768" customWidth="1"/>
    <col min="2055" max="2055" width="12.5703125" style="1768" customWidth="1"/>
    <col min="2056" max="2056" width="1.5703125" style="1768" customWidth="1"/>
    <col min="2057" max="2057" width="20.5703125" style="1768" customWidth="1"/>
    <col min="2058" max="2058" width="2.5703125" style="1768" customWidth="1"/>
    <col min="2059" max="2059" width="10.5703125" style="1768" customWidth="1"/>
    <col min="2060" max="2060" width="1.5703125" style="1768" customWidth="1"/>
    <col min="2061" max="2061" width="10.5703125" style="1768" customWidth="1"/>
    <col min="2062" max="2062" width="1.5703125" style="1768" customWidth="1"/>
    <col min="2063" max="2063" width="12.5703125" style="1768" customWidth="1"/>
    <col min="2064" max="2064" width="1.5703125" style="1768" customWidth="1"/>
    <col min="2065" max="2065" width="22.5703125" style="1768" customWidth="1"/>
    <col min="2066" max="2066" width="4.5703125" style="1768" customWidth="1"/>
    <col min="2067" max="2080" width="0" style="1768" hidden="1" customWidth="1"/>
    <col min="2081" max="2305" width="9.42578125" style="1768"/>
    <col min="2306" max="2306" width="0" style="1768" hidden="1" customWidth="1"/>
    <col min="2307" max="2307" width="11.42578125" style="1768" customWidth="1"/>
    <col min="2308" max="2308" width="1.5703125" style="1768" customWidth="1"/>
    <col min="2309" max="2309" width="7.42578125" style="1768" bestFit="1" customWidth="1"/>
    <col min="2310" max="2310" width="1.5703125" style="1768" customWidth="1"/>
    <col min="2311" max="2311" width="12.5703125" style="1768" customWidth="1"/>
    <col min="2312" max="2312" width="1.5703125" style="1768" customWidth="1"/>
    <col min="2313" max="2313" width="20.5703125" style="1768" customWidth="1"/>
    <col min="2314" max="2314" width="2.5703125" style="1768" customWidth="1"/>
    <col min="2315" max="2315" width="10.5703125" style="1768" customWidth="1"/>
    <col min="2316" max="2316" width="1.5703125" style="1768" customWidth="1"/>
    <col min="2317" max="2317" width="10.5703125" style="1768" customWidth="1"/>
    <col min="2318" max="2318" width="1.5703125" style="1768" customWidth="1"/>
    <col min="2319" max="2319" width="12.5703125" style="1768" customWidth="1"/>
    <col min="2320" max="2320" width="1.5703125" style="1768" customWidth="1"/>
    <col min="2321" max="2321" width="22.5703125" style="1768" customWidth="1"/>
    <col min="2322" max="2322" width="4.5703125" style="1768" customWidth="1"/>
    <col min="2323" max="2336" width="0" style="1768" hidden="1" customWidth="1"/>
    <col min="2337" max="2561" width="9.42578125" style="1768"/>
    <col min="2562" max="2562" width="0" style="1768" hidden="1" customWidth="1"/>
    <col min="2563" max="2563" width="11.42578125" style="1768" customWidth="1"/>
    <col min="2564" max="2564" width="1.5703125" style="1768" customWidth="1"/>
    <col min="2565" max="2565" width="7.42578125" style="1768" bestFit="1" customWidth="1"/>
    <col min="2566" max="2566" width="1.5703125" style="1768" customWidth="1"/>
    <col min="2567" max="2567" width="12.5703125" style="1768" customWidth="1"/>
    <col min="2568" max="2568" width="1.5703125" style="1768" customWidth="1"/>
    <col min="2569" max="2569" width="20.5703125" style="1768" customWidth="1"/>
    <col min="2570" max="2570" width="2.5703125" style="1768" customWidth="1"/>
    <col min="2571" max="2571" width="10.5703125" style="1768" customWidth="1"/>
    <col min="2572" max="2572" width="1.5703125" style="1768" customWidth="1"/>
    <col min="2573" max="2573" width="10.5703125" style="1768" customWidth="1"/>
    <col min="2574" max="2574" width="1.5703125" style="1768" customWidth="1"/>
    <col min="2575" max="2575" width="12.5703125" style="1768" customWidth="1"/>
    <col min="2576" max="2576" width="1.5703125" style="1768" customWidth="1"/>
    <col min="2577" max="2577" width="22.5703125" style="1768" customWidth="1"/>
    <col min="2578" max="2578" width="4.5703125" style="1768" customWidth="1"/>
    <col min="2579" max="2592" width="0" style="1768" hidden="1" customWidth="1"/>
    <col min="2593" max="2817" width="9.42578125" style="1768"/>
    <col min="2818" max="2818" width="0" style="1768" hidden="1" customWidth="1"/>
    <col min="2819" max="2819" width="11.42578125" style="1768" customWidth="1"/>
    <col min="2820" max="2820" width="1.5703125" style="1768" customWidth="1"/>
    <col min="2821" max="2821" width="7.42578125" style="1768" bestFit="1" customWidth="1"/>
    <col min="2822" max="2822" width="1.5703125" style="1768" customWidth="1"/>
    <col min="2823" max="2823" width="12.5703125" style="1768" customWidth="1"/>
    <col min="2824" max="2824" width="1.5703125" style="1768" customWidth="1"/>
    <col min="2825" max="2825" width="20.5703125" style="1768" customWidth="1"/>
    <col min="2826" max="2826" width="2.5703125" style="1768" customWidth="1"/>
    <col min="2827" max="2827" width="10.5703125" style="1768" customWidth="1"/>
    <col min="2828" max="2828" width="1.5703125" style="1768" customWidth="1"/>
    <col min="2829" max="2829" width="10.5703125" style="1768" customWidth="1"/>
    <col min="2830" max="2830" width="1.5703125" style="1768" customWidth="1"/>
    <col min="2831" max="2831" width="12.5703125" style="1768" customWidth="1"/>
    <col min="2832" max="2832" width="1.5703125" style="1768" customWidth="1"/>
    <col min="2833" max="2833" width="22.5703125" style="1768" customWidth="1"/>
    <col min="2834" max="2834" width="4.5703125" style="1768" customWidth="1"/>
    <col min="2835" max="2848" width="0" style="1768" hidden="1" customWidth="1"/>
    <col min="2849" max="3073" width="9.42578125" style="1768"/>
    <col min="3074" max="3074" width="0" style="1768" hidden="1" customWidth="1"/>
    <col min="3075" max="3075" width="11.42578125" style="1768" customWidth="1"/>
    <col min="3076" max="3076" width="1.5703125" style="1768" customWidth="1"/>
    <col min="3077" max="3077" width="7.42578125" style="1768" bestFit="1" customWidth="1"/>
    <col min="3078" max="3078" width="1.5703125" style="1768" customWidth="1"/>
    <col min="3079" max="3079" width="12.5703125" style="1768" customWidth="1"/>
    <col min="3080" max="3080" width="1.5703125" style="1768" customWidth="1"/>
    <col min="3081" max="3081" width="20.5703125" style="1768" customWidth="1"/>
    <col min="3082" max="3082" width="2.5703125" style="1768" customWidth="1"/>
    <col min="3083" max="3083" width="10.5703125" style="1768" customWidth="1"/>
    <col min="3084" max="3084" width="1.5703125" style="1768" customWidth="1"/>
    <col min="3085" max="3085" width="10.5703125" style="1768" customWidth="1"/>
    <col min="3086" max="3086" width="1.5703125" style="1768" customWidth="1"/>
    <col min="3087" max="3087" width="12.5703125" style="1768" customWidth="1"/>
    <col min="3088" max="3088" width="1.5703125" style="1768" customWidth="1"/>
    <col min="3089" max="3089" width="22.5703125" style="1768" customWidth="1"/>
    <col min="3090" max="3090" width="4.5703125" style="1768" customWidth="1"/>
    <col min="3091" max="3104" width="0" style="1768" hidden="1" customWidth="1"/>
    <col min="3105" max="3329" width="9.42578125" style="1768"/>
    <col min="3330" max="3330" width="0" style="1768" hidden="1" customWidth="1"/>
    <col min="3331" max="3331" width="11.42578125" style="1768" customWidth="1"/>
    <col min="3332" max="3332" width="1.5703125" style="1768" customWidth="1"/>
    <col min="3333" max="3333" width="7.42578125" style="1768" bestFit="1" customWidth="1"/>
    <col min="3334" max="3334" width="1.5703125" style="1768" customWidth="1"/>
    <col min="3335" max="3335" width="12.5703125" style="1768" customWidth="1"/>
    <col min="3336" max="3336" width="1.5703125" style="1768" customWidth="1"/>
    <col min="3337" max="3337" width="20.5703125" style="1768" customWidth="1"/>
    <col min="3338" max="3338" width="2.5703125" style="1768" customWidth="1"/>
    <col min="3339" max="3339" width="10.5703125" style="1768" customWidth="1"/>
    <col min="3340" max="3340" width="1.5703125" style="1768" customWidth="1"/>
    <col min="3341" max="3341" width="10.5703125" style="1768" customWidth="1"/>
    <col min="3342" max="3342" width="1.5703125" style="1768" customWidth="1"/>
    <col min="3343" max="3343" width="12.5703125" style="1768" customWidth="1"/>
    <col min="3344" max="3344" width="1.5703125" style="1768" customWidth="1"/>
    <col min="3345" max="3345" width="22.5703125" style="1768" customWidth="1"/>
    <col min="3346" max="3346" width="4.5703125" style="1768" customWidth="1"/>
    <col min="3347" max="3360" width="0" style="1768" hidden="1" customWidth="1"/>
    <col min="3361" max="3585" width="9.42578125" style="1768"/>
    <col min="3586" max="3586" width="0" style="1768" hidden="1" customWidth="1"/>
    <col min="3587" max="3587" width="11.42578125" style="1768" customWidth="1"/>
    <col min="3588" max="3588" width="1.5703125" style="1768" customWidth="1"/>
    <col min="3589" max="3589" width="7.42578125" style="1768" bestFit="1" customWidth="1"/>
    <col min="3590" max="3590" width="1.5703125" style="1768" customWidth="1"/>
    <col min="3591" max="3591" width="12.5703125" style="1768" customWidth="1"/>
    <col min="3592" max="3592" width="1.5703125" style="1768" customWidth="1"/>
    <col min="3593" max="3593" width="20.5703125" style="1768" customWidth="1"/>
    <col min="3594" max="3594" width="2.5703125" style="1768" customWidth="1"/>
    <col min="3595" max="3595" width="10.5703125" style="1768" customWidth="1"/>
    <col min="3596" max="3596" width="1.5703125" style="1768" customWidth="1"/>
    <col min="3597" max="3597" width="10.5703125" style="1768" customWidth="1"/>
    <col min="3598" max="3598" width="1.5703125" style="1768" customWidth="1"/>
    <col min="3599" max="3599" width="12.5703125" style="1768" customWidth="1"/>
    <col min="3600" max="3600" width="1.5703125" style="1768" customWidth="1"/>
    <col min="3601" max="3601" width="22.5703125" style="1768" customWidth="1"/>
    <col min="3602" max="3602" width="4.5703125" style="1768" customWidth="1"/>
    <col min="3603" max="3616" width="0" style="1768" hidden="1" customWidth="1"/>
    <col min="3617" max="3841" width="9.42578125" style="1768"/>
    <col min="3842" max="3842" width="0" style="1768" hidden="1" customWidth="1"/>
    <col min="3843" max="3843" width="11.42578125" style="1768" customWidth="1"/>
    <col min="3844" max="3844" width="1.5703125" style="1768" customWidth="1"/>
    <col min="3845" max="3845" width="7.42578125" style="1768" bestFit="1" customWidth="1"/>
    <col min="3846" max="3846" width="1.5703125" style="1768" customWidth="1"/>
    <col min="3847" max="3847" width="12.5703125" style="1768" customWidth="1"/>
    <col min="3848" max="3848" width="1.5703125" style="1768" customWidth="1"/>
    <col min="3849" max="3849" width="20.5703125" style="1768" customWidth="1"/>
    <col min="3850" max="3850" width="2.5703125" style="1768" customWidth="1"/>
    <col min="3851" max="3851" width="10.5703125" style="1768" customWidth="1"/>
    <col min="3852" max="3852" width="1.5703125" style="1768" customWidth="1"/>
    <col min="3853" max="3853" width="10.5703125" style="1768" customWidth="1"/>
    <col min="3854" max="3854" width="1.5703125" style="1768" customWidth="1"/>
    <col min="3855" max="3855" width="12.5703125" style="1768" customWidth="1"/>
    <col min="3856" max="3856" width="1.5703125" style="1768" customWidth="1"/>
    <col min="3857" max="3857" width="22.5703125" style="1768" customWidth="1"/>
    <col min="3858" max="3858" width="4.5703125" style="1768" customWidth="1"/>
    <col min="3859" max="3872" width="0" style="1768" hidden="1" customWidth="1"/>
    <col min="3873" max="4097" width="9.42578125" style="1768"/>
    <col min="4098" max="4098" width="0" style="1768" hidden="1" customWidth="1"/>
    <col min="4099" max="4099" width="11.42578125" style="1768" customWidth="1"/>
    <col min="4100" max="4100" width="1.5703125" style="1768" customWidth="1"/>
    <col min="4101" max="4101" width="7.42578125" style="1768" bestFit="1" customWidth="1"/>
    <col min="4102" max="4102" width="1.5703125" style="1768" customWidth="1"/>
    <col min="4103" max="4103" width="12.5703125" style="1768" customWidth="1"/>
    <col min="4104" max="4104" width="1.5703125" style="1768" customWidth="1"/>
    <col min="4105" max="4105" width="20.5703125" style="1768" customWidth="1"/>
    <col min="4106" max="4106" width="2.5703125" style="1768" customWidth="1"/>
    <col min="4107" max="4107" width="10.5703125" style="1768" customWidth="1"/>
    <col min="4108" max="4108" width="1.5703125" style="1768" customWidth="1"/>
    <col min="4109" max="4109" width="10.5703125" style="1768" customWidth="1"/>
    <col min="4110" max="4110" width="1.5703125" style="1768" customWidth="1"/>
    <col min="4111" max="4111" width="12.5703125" style="1768" customWidth="1"/>
    <col min="4112" max="4112" width="1.5703125" style="1768" customWidth="1"/>
    <col min="4113" max="4113" width="22.5703125" style="1768" customWidth="1"/>
    <col min="4114" max="4114" width="4.5703125" style="1768" customWidth="1"/>
    <col min="4115" max="4128" width="0" style="1768" hidden="1" customWidth="1"/>
    <col min="4129" max="4353" width="9.42578125" style="1768"/>
    <col min="4354" max="4354" width="0" style="1768" hidden="1" customWidth="1"/>
    <col min="4355" max="4355" width="11.42578125" style="1768" customWidth="1"/>
    <col min="4356" max="4356" width="1.5703125" style="1768" customWidth="1"/>
    <col min="4357" max="4357" width="7.42578125" style="1768" bestFit="1" customWidth="1"/>
    <col min="4358" max="4358" width="1.5703125" style="1768" customWidth="1"/>
    <col min="4359" max="4359" width="12.5703125" style="1768" customWidth="1"/>
    <col min="4360" max="4360" width="1.5703125" style="1768" customWidth="1"/>
    <col min="4361" max="4361" width="20.5703125" style="1768" customWidth="1"/>
    <col min="4362" max="4362" width="2.5703125" style="1768" customWidth="1"/>
    <col min="4363" max="4363" width="10.5703125" style="1768" customWidth="1"/>
    <col min="4364" max="4364" width="1.5703125" style="1768" customWidth="1"/>
    <col min="4365" max="4365" width="10.5703125" style="1768" customWidth="1"/>
    <col min="4366" max="4366" width="1.5703125" style="1768" customWidth="1"/>
    <col min="4367" max="4367" width="12.5703125" style="1768" customWidth="1"/>
    <col min="4368" max="4368" width="1.5703125" style="1768" customWidth="1"/>
    <col min="4369" max="4369" width="22.5703125" style="1768" customWidth="1"/>
    <col min="4370" max="4370" width="4.5703125" style="1768" customWidth="1"/>
    <col min="4371" max="4384" width="0" style="1768" hidden="1" customWidth="1"/>
    <col min="4385" max="4609" width="9.42578125" style="1768"/>
    <col min="4610" max="4610" width="0" style="1768" hidden="1" customWidth="1"/>
    <col min="4611" max="4611" width="11.42578125" style="1768" customWidth="1"/>
    <col min="4612" max="4612" width="1.5703125" style="1768" customWidth="1"/>
    <col min="4613" max="4613" width="7.42578125" style="1768" bestFit="1" customWidth="1"/>
    <col min="4614" max="4614" width="1.5703125" style="1768" customWidth="1"/>
    <col min="4615" max="4615" width="12.5703125" style="1768" customWidth="1"/>
    <col min="4616" max="4616" width="1.5703125" style="1768" customWidth="1"/>
    <col min="4617" max="4617" width="20.5703125" style="1768" customWidth="1"/>
    <col min="4618" max="4618" width="2.5703125" style="1768" customWidth="1"/>
    <col min="4619" max="4619" width="10.5703125" style="1768" customWidth="1"/>
    <col min="4620" max="4620" width="1.5703125" style="1768" customWidth="1"/>
    <col min="4621" max="4621" width="10.5703125" style="1768" customWidth="1"/>
    <col min="4622" max="4622" width="1.5703125" style="1768" customWidth="1"/>
    <col min="4623" max="4623" width="12.5703125" style="1768" customWidth="1"/>
    <col min="4624" max="4624" width="1.5703125" style="1768" customWidth="1"/>
    <col min="4625" max="4625" width="22.5703125" style="1768" customWidth="1"/>
    <col min="4626" max="4626" width="4.5703125" style="1768" customWidth="1"/>
    <col min="4627" max="4640" width="0" style="1768" hidden="1" customWidth="1"/>
    <col min="4641" max="4865" width="9.42578125" style="1768"/>
    <col min="4866" max="4866" width="0" style="1768" hidden="1" customWidth="1"/>
    <col min="4867" max="4867" width="11.42578125" style="1768" customWidth="1"/>
    <col min="4868" max="4868" width="1.5703125" style="1768" customWidth="1"/>
    <col min="4869" max="4869" width="7.42578125" style="1768" bestFit="1" customWidth="1"/>
    <col min="4870" max="4870" width="1.5703125" style="1768" customWidth="1"/>
    <col min="4871" max="4871" width="12.5703125" style="1768" customWidth="1"/>
    <col min="4872" max="4872" width="1.5703125" style="1768" customWidth="1"/>
    <col min="4873" max="4873" width="20.5703125" style="1768" customWidth="1"/>
    <col min="4874" max="4874" width="2.5703125" style="1768" customWidth="1"/>
    <col min="4875" max="4875" width="10.5703125" style="1768" customWidth="1"/>
    <col min="4876" max="4876" width="1.5703125" style="1768" customWidth="1"/>
    <col min="4877" max="4877" width="10.5703125" style="1768" customWidth="1"/>
    <col min="4878" max="4878" width="1.5703125" style="1768" customWidth="1"/>
    <col min="4879" max="4879" width="12.5703125" style="1768" customWidth="1"/>
    <col min="4880" max="4880" width="1.5703125" style="1768" customWidth="1"/>
    <col min="4881" max="4881" width="22.5703125" style="1768" customWidth="1"/>
    <col min="4882" max="4882" width="4.5703125" style="1768" customWidth="1"/>
    <col min="4883" max="4896" width="0" style="1768" hidden="1" customWidth="1"/>
    <col min="4897" max="5121" width="9.42578125" style="1768"/>
    <col min="5122" max="5122" width="0" style="1768" hidden="1" customWidth="1"/>
    <col min="5123" max="5123" width="11.42578125" style="1768" customWidth="1"/>
    <col min="5124" max="5124" width="1.5703125" style="1768" customWidth="1"/>
    <col min="5125" max="5125" width="7.42578125" style="1768" bestFit="1" customWidth="1"/>
    <col min="5126" max="5126" width="1.5703125" style="1768" customWidth="1"/>
    <col min="5127" max="5127" width="12.5703125" style="1768" customWidth="1"/>
    <col min="5128" max="5128" width="1.5703125" style="1768" customWidth="1"/>
    <col min="5129" max="5129" width="20.5703125" style="1768" customWidth="1"/>
    <col min="5130" max="5130" width="2.5703125" style="1768" customWidth="1"/>
    <col min="5131" max="5131" width="10.5703125" style="1768" customWidth="1"/>
    <col min="5132" max="5132" width="1.5703125" style="1768" customWidth="1"/>
    <col min="5133" max="5133" width="10.5703125" style="1768" customWidth="1"/>
    <col min="5134" max="5134" width="1.5703125" style="1768" customWidth="1"/>
    <col min="5135" max="5135" width="12.5703125" style="1768" customWidth="1"/>
    <col min="5136" max="5136" width="1.5703125" style="1768" customWidth="1"/>
    <col min="5137" max="5137" width="22.5703125" style="1768" customWidth="1"/>
    <col min="5138" max="5138" width="4.5703125" style="1768" customWidth="1"/>
    <col min="5139" max="5152" width="0" style="1768" hidden="1" customWidth="1"/>
    <col min="5153" max="5377" width="9.42578125" style="1768"/>
    <col min="5378" max="5378" width="0" style="1768" hidden="1" customWidth="1"/>
    <col min="5379" max="5379" width="11.42578125" style="1768" customWidth="1"/>
    <col min="5380" max="5380" width="1.5703125" style="1768" customWidth="1"/>
    <col min="5381" max="5381" width="7.42578125" style="1768" bestFit="1" customWidth="1"/>
    <col min="5382" max="5382" width="1.5703125" style="1768" customWidth="1"/>
    <col min="5383" max="5383" width="12.5703125" style="1768" customWidth="1"/>
    <col min="5384" max="5384" width="1.5703125" style="1768" customWidth="1"/>
    <col min="5385" max="5385" width="20.5703125" style="1768" customWidth="1"/>
    <col min="5386" max="5386" width="2.5703125" style="1768" customWidth="1"/>
    <col min="5387" max="5387" width="10.5703125" style="1768" customWidth="1"/>
    <col min="5388" max="5388" width="1.5703125" style="1768" customWidth="1"/>
    <col min="5389" max="5389" width="10.5703125" style="1768" customWidth="1"/>
    <col min="5390" max="5390" width="1.5703125" style="1768" customWidth="1"/>
    <col min="5391" max="5391" width="12.5703125" style="1768" customWidth="1"/>
    <col min="5392" max="5392" width="1.5703125" style="1768" customWidth="1"/>
    <col min="5393" max="5393" width="22.5703125" style="1768" customWidth="1"/>
    <col min="5394" max="5394" width="4.5703125" style="1768" customWidth="1"/>
    <col min="5395" max="5408" width="0" style="1768" hidden="1" customWidth="1"/>
    <col min="5409" max="5633" width="9.42578125" style="1768"/>
    <col min="5634" max="5634" width="0" style="1768" hidden="1" customWidth="1"/>
    <col min="5635" max="5635" width="11.42578125" style="1768" customWidth="1"/>
    <col min="5636" max="5636" width="1.5703125" style="1768" customWidth="1"/>
    <col min="5637" max="5637" width="7.42578125" style="1768" bestFit="1" customWidth="1"/>
    <col min="5638" max="5638" width="1.5703125" style="1768" customWidth="1"/>
    <col min="5639" max="5639" width="12.5703125" style="1768" customWidth="1"/>
    <col min="5640" max="5640" width="1.5703125" style="1768" customWidth="1"/>
    <col min="5641" max="5641" width="20.5703125" style="1768" customWidth="1"/>
    <col min="5642" max="5642" width="2.5703125" style="1768" customWidth="1"/>
    <col min="5643" max="5643" width="10.5703125" style="1768" customWidth="1"/>
    <col min="5644" max="5644" width="1.5703125" style="1768" customWidth="1"/>
    <col min="5645" max="5645" width="10.5703125" style="1768" customWidth="1"/>
    <col min="5646" max="5646" width="1.5703125" style="1768" customWidth="1"/>
    <col min="5647" max="5647" width="12.5703125" style="1768" customWidth="1"/>
    <col min="5648" max="5648" width="1.5703125" style="1768" customWidth="1"/>
    <col min="5649" max="5649" width="22.5703125" style="1768" customWidth="1"/>
    <col min="5650" max="5650" width="4.5703125" style="1768" customWidth="1"/>
    <col min="5651" max="5664" width="0" style="1768" hidden="1" customWidth="1"/>
    <col min="5665" max="5889" width="9.42578125" style="1768"/>
    <col min="5890" max="5890" width="0" style="1768" hidden="1" customWidth="1"/>
    <col min="5891" max="5891" width="11.42578125" style="1768" customWidth="1"/>
    <col min="5892" max="5892" width="1.5703125" style="1768" customWidth="1"/>
    <col min="5893" max="5893" width="7.42578125" style="1768" bestFit="1" customWidth="1"/>
    <col min="5894" max="5894" width="1.5703125" style="1768" customWidth="1"/>
    <col min="5895" max="5895" width="12.5703125" style="1768" customWidth="1"/>
    <col min="5896" max="5896" width="1.5703125" style="1768" customWidth="1"/>
    <col min="5897" max="5897" width="20.5703125" style="1768" customWidth="1"/>
    <col min="5898" max="5898" width="2.5703125" style="1768" customWidth="1"/>
    <col min="5899" max="5899" width="10.5703125" style="1768" customWidth="1"/>
    <col min="5900" max="5900" width="1.5703125" style="1768" customWidth="1"/>
    <col min="5901" max="5901" width="10.5703125" style="1768" customWidth="1"/>
    <col min="5902" max="5902" width="1.5703125" style="1768" customWidth="1"/>
    <col min="5903" max="5903" width="12.5703125" style="1768" customWidth="1"/>
    <col min="5904" max="5904" width="1.5703125" style="1768" customWidth="1"/>
    <col min="5905" max="5905" width="22.5703125" style="1768" customWidth="1"/>
    <col min="5906" max="5906" width="4.5703125" style="1768" customWidth="1"/>
    <col min="5907" max="5920" width="0" style="1768" hidden="1" customWidth="1"/>
    <col min="5921" max="6145" width="9.42578125" style="1768"/>
    <col min="6146" max="6146" width="0" style="1768" hidden="1" customWidth="1"/>
    <col min="6147" max="6147" width="11.42578125" style="1768" customWidth="1"/>
    <col min="6148" max="6148" width="1.5703125" style="1768" customWidth="1"/>
    <col min="6149" max="6149" width="7.42578125" style="1768" bestFit="1" customWidth="1"/>
    <col min="6150" max="6150" width="1.5703125" style="1768" customWidth="1"/>
    <col min="6151" max="6151" width="12.5703125" style="1768" customWidth="1"/>
    <col min="6152" max="6152" width="1.5703125" style="1768" customWidth="1"/>
    <col min="6153" max="6153" width="20.5703125" style="1768" customWidth="1"/>
    <col min="6154" max="6154" width="2.5703125" style="1768" customWidth="1"/>
    <col min="6155" max="6155" width="10.5703125" style="1768" customWidth="1"/>
    <col min="6156" max="6156" width="1.5703125" style="1768" customWidth="1"/>
    <col min="6157" max="6157" width="10.5703125" style="1768" customWidth="1"/>
    <col min="6158" max="6158" width="1.5703125" style="1768" customWidth="1"/>
    <col min="6159" max="6159" width="12.5703125" style="1768" customWidth="1"/>
    <col min="6160" max="6160" width="1.5703125" style="1768" customWidth="1"/>
    <col min="6161" max="6161" width="22.5703125" style="1768" customWidth="1"/>
    <col min="6162" max="6162" width="4.5703125" style="1768" customWidth="1"/>
    <col min="6163" max="6176" width="0" style="1768" hidden="1" customWidth="1"/>
    <col min="6177" max="6401" width="9.42578125" style="1768"/>
    <col min="6402" max="6402" width="0" style="1768" hidden="1" customWidth="1"/>
    <col min="6403" max="6403" width="11.42578125" style="1768" customWidth="1"/>
    <col min="6404" max="6404" width="1.5703125" style="1768" customWidth="1"/>
    <col min="6405" max="6405" width="7.42578125" style="1768" bestFit="1" customWidth="1"/>
    <col min="6406" max="6406" width="1.5703125" style="1768" customWidth="1"/>
    <col min="6407" max="6407" width="12.5703125" style="1768" customWidth="1"/>
    <col min="6408" max="6408" width="1.5703125" style="1768" customWidth="1"/>
    <col min="6409" max="6409" width="20.5703125" style="1768" customWidth="1"/>
    <col min="6410" max="6410" width="2.5703125" style="1768" customWidth="1"/>
    <col min="6411" max="6411" width="10.5703125" style="1768" customWidth="1"/>
    <col min="6412" max="6412" width="1.5703125" style="1768" customWidth="1"/>
    <col min="6413" max="6413" width="10.5703125" style="1768" customWidth="1"/>
    <col min="6414" max="6414" width="1.5703125" style="1768" customWidth="1"/>
    <col min="6415" max="6415" width="12.5703125" style="1768" customWidth="1"/>
    <col min="6416" max="6416" width="1.5703125" style="1768" customWidth="1"/>
    <col min="6417" max="6417" width="22.5703125" style="1768" customWidth="1"/>
    <col min="6418" max="6418" width="4.5703125" style="1768" customWidth="1"/>
    <col min="6419" max="6432" width="0" style="1768" hidden="1" customWidth="1"/>
    <col min="6433" max="6657" width="9.42578125" style="1768"/>
    <col min="6658" max="6658" width="0" style="1768" hidden="1" customWidth="1"/>
    <col min="6659" max="6659" width="11.42578125" style="1768" customWidth="1"/>
    <col min="6660" max="6660" width="1.5703125" style="1768" customWidth="1"/>
    <col min="6661" max="6661" width="7.42578125" style="1768" bestFit="1" customWidth="1"/>
    <col min="6662" max="6662" width="1.5703125" style="1768" customWidth="1"/>
    <col min="6663" max="6663" width="12.5703125" style="1768" customWidth="1"/>
    <col min="6664" max="6664" width="1.5703125" style="1768" customWidth="1"/>
    <col min="6665" max="6665" width="20.5703125" style="1768" customWidth="1"/>
    <col min="6666" max="6666" width="2.5703125" style="1768" customWidth="1"/>
    <col min="6667" max="6667" width="10.5703125" style="1768" customWidth="1"/>
    <col min="6668" max="6668" width="1.5703125" style="1768" customWidth="1"/>
    <col min="6669" max="6669" width="10.5703125" style="1768" customWidth="1"/>
    <col min="6670" max="6670" width="1.5703125" style="1768" customWidth="1"/>
    <col min="6671" max="6671" width="12.5703125" style="1768" customWidth="1"/>
    <col min="6672" max="6672" width="1.5703125" style="1768" customWidth="1"/>
    <col min="6673" max="6673" width="22.5703125" style="1768" customWidth="1"/>
    <col min="6674" max="6674" width="4.5703125" style="1768" customWidth="1"/>
    <col min="6675" max="6688" width="0" style="1768" hidden="1" customWidth="1"/>
    <col min="6689" max="6913" width="9.42578125" style="1768"/>
    <col min="6914" max="6914" width="0" style="1768" hidden="1" customWidth="1"/>
    <col min="6915" max="6915" width="11.42578125" style="1768" customWidth="1"/>
    <col min="6916" max="6916" width="1.5703125" style="1768" customWidth="1"/>
    <col min="6917" max="6917" width="7.42578125" style="1768" bestFit="1" customWidth="1"/>
    <col min="6918" max="6918" width="1.5703125" style="1768" customWidth="1"/>
    <col min="6919" max="6919" width="12.5703125" style="1768" customWidth="1"/>
    <col min="6920" max="6920" width="1.5703125" style="1768" customWidth="1"/>
    <col min="6921" max="6921" width="20.5703125" style="1768" customWidth="1"/>
    <col min="6922" max="6922" width="2.5703125" style="1768" customWidth="1"/>
    <col min="6923" max="6923" width="10.5703125" style="1768" customWidth="1"/>
    <col min="6924" max="6924" width="1.5703125" style="1768" customWidth="1"/>
    <col min="6925" max="6925" width="10.5703125" style="1768" customWidth="1"/>
    <col min="6926" max="6926" width="1.5703125" style="1768" customWidth="1"/>
    <col min="6927" max="6927" width="12.5703125" style="1768" customWidth="1"/>
    <col min="6928" max="6928" width="1.5703125" style="1768" customWidth="1"/>
    <col min="6929" max="6929" width="22.5703125" style="1768" customWidth="1"/>
    <col min="6930" max="6930" width="4.5703125" style="1768" customWidth="1"/>
    <col min="6931" max="6944" width="0" style="1768" hidden="1" customWidth="1"/>
    <col min="6945" max="7169" width="9.42578125" style="1768"/>
    <col min="7170" max="7170" width="0" style="1768" hidden="1" customWidth="1"/>
    <col min="7171" max="7171" width="11.42578125" style="1768" customWidth="1"/>
    <col min="7172" max="7172" width="1.5703125" style="1768" customWidth="1"/>
    <col min="7173" max="7173" width="7.42578125" style="1768" bestFit="1" customWidth="1"/>
    <col min="7174" max="7174" width="1.5703125" style="1768" customWidth="1"/>
    <col min="7175" max="7175" width="12.5703125" style="1768" customWidth="1"/>
    <col min="7176" max="7176" width="1.5703125" style="1768" customWidth="1"/>
    <col min="7177" max="7177" width="20.5703125" style="1768" customWidth="1"/>
    <col min="7178" max="7178" width="2.5703125" style="1768" customWidth="1"/>
    <col min="7179" max="7179" width="10.5703125" style="1768" customWidth="1"/>
    <col min="7180" max="7180" width="1.5703125" style="1768" customWidth="1"/>
    <col min="7181" max="7181" width="10.5703125" style="1768" customWidth="1"/>
    <col min="7182" max="7182" width="1.5703125" style="1768" customWidth="1"/>
    <col min="7183" max="7183" width="12.5703125" style="1768" customWidth="1"/>
    <col min="7184" max="7184" width="1.5703125" style="1768" customWidth="1"/>
    <col min="7185" max="7185" width="22.5703125" style="1768" customWidth="1"/>
    <col min="7186" max="7186" width="4.5703125" style="1768" customWidth="1"/>
    <col min="7187" max="7200" width="0" style="1768" hidden="1" customWidth="1"/>
    <col min="7201" max="7425" width="9.42578125" style="1768"/>
    <col min="7426" max="7426" width="0" style="1768" hidden="1" customWidth="1"/>
    <col min="7427" max="7427" width="11.42578125" style="1768" customWidth="1"/>
    <col min="7428" max="7428" width="1.5703125" style="1768" customWidth="1"/>
    <col min="7429" max="7429" width="7.42578125" style="1768" bestFit="1" customWidth="1"/>
    <col min="7430" max="7430" width="1.5703125" style="1768" customWidth="1"/>
    <col min="7431" max="7431" width="12.5703125" style="1768" customWidth="1"/>
    <col min="7432" max="7432" width="1.5703125" style="1768" customWidth="1"/>
    <col min="7433" max="7433" width="20.5703125" style="1768" customWidth="1"/>
    <col min="7434" max="7434" width="2.5703125" style="1768" customWidth="1"/>
    <col min="7435" max="7435" width="10.5703125" style="1768" customWidth="1"/>
    <col min="7436" max="7436" width="1.5703125" style="1768" customWidth="1"/>
    <col min="7437" max="7437" width="10.5703125" style="1768" customWidth="1"/>
    <col min="7438" max="7438" width="1.5703125" style="1768" customWidth="1"/>
    <col min="7439" max="7439" width="12.5703125" style="1768" customWidth="1"/>
    <col min="7440" max="7440" width="1.5703125" style="1768" customWidth="1"/>
    <col min="7441" max="7441" width="22.5703125" style="1768" customWidth="1"/>
    <col min="7442" max="7442" width="4.5703125" style="1768" customWidth="1"/>
    <col min="7443" max="7456" width="0" style="1768" hidden="1" customWidth="1"/>
    <col min="7457" max="7681" width="9.42578125" style="1768"/>
    <col min="7682" max="7682" width="0" style="1768" hidden="1" customWidth="1"/>
    <col min="7683" max="7683" width="11.42578125" style="1768" customWidth="1"/>
    <col min="7684" max="7684" width="1.5703125" style="1768" customWidth="1"/>
    <col min="7685" max="7685" width="7.42578125" style="1768" bestFit="1" customWidth="1"/>
    <col min="7686" max="7686" width="1.5703125" style="1768" customWidth="1"/>
    <col min="7687" max="7687" width="12.5703125" style="1768" customWidth="1"/>
    <col min="7688" max="7688" width="1.5703125" style="1768" customWidth="1"/>
    <col min="7689" max="7689" width="20.5703125" style="1768" customWidth="1"/>
    <col min="7690" max="7690" width="2.5703125" style="1768" customWidth="1"/>
    <col min="7691" max="7691" width="10.5703125" style="1768" customWidth="1"/>
    <col min="7692" max="7692" width="1.5703125" style="1768" customWidth="1"/>
    <col min="7693" max="7693" width="10.5703125" style="1768" customWidth="1"/>
    <col min="7694" max="7694" width="1.5703125" style="1768" customWidth="1"/>
    <col min="7695" max="7695" width="12.5703125" style="1768" customWidth="1"/>
    <col min="7696" max="7696" width="1.5703125" style="1768" customWidth="1"/>
    <col min="7697" max="7697" width="22.5703125" style="1768" customWidth="1"/>
    <col min="7698" max="7698" width="4.5703125" style="1768" customWidth="1"/>
    <col min="7699" max="7712" width="0" style="1768" hidden="1" customWidth="1"/>
    <col min="7713" max="7937" width="9.42578125" style="1768"/>
    <col min="7938" max="7938" width="0" style="1768" hidden="1" customWidth="1"/>
    <col min="7939" max="7939" width="11.42578125" style="1768" customWidth="1"/>
    <col min="7940" max="7940" width="1.5703125" style="1768" customWidth="1"/>
    <col min="7941" max="7941" width="7.42578125" style="1768" bestFit="1" customWidth="1"/>
    <col min="7942" max="7942" width="1.5703125" style="1768" customWidth="1"/>
    <col min="7943" max="7943" width="12.5703125" style="1768" customWidth="1"/>
    <col min="7944" max="7944" width="1.5703125" style="1768" customWidth="1"/>
    <col min="7945" max="7945" width="20.5703125" style="1768" customWidth="1"/>
    <col min="7946" max="7946" width="2.5703125" style="1768" customWidth="1"/>
    <col min="7947" max="7947" width="10.5703125" style="1768" customWidth="1"/>
    <col min="7948" max="7948" width="1.5703125" style="1768" customWidth="1"/>
    <col min="7949" max="7949" width="10.5703125" style="1768" customWidth="1"/>
    <col min="7950" max="7950" width="1.5703125" style="1768" customWidth="1"/>
    <col min="7951" max="7951" width="12.5703125" style="1768" customWidth="1"/>
    <col min="7952" max="7952" width="1.5703125" style="1768" customWidth="1"/>
    <col min="7953" max="7953" width="22.5703125" style="1768" customWidth="1"/>
    <col min="7954" max="7954" width="4.5703125" style="1768" customWidth="1"/>
    <col min="7955" max="7968" width="0" style="1768" hidden="1" customWidth="1"/>
    <col min="7969" max="8193" width="9.42578125" style="1768"/>
    <col min="8194" max="8194" width="0" style="1768" hidden="1" customWidth="1"/>
    <col min="8195" max="8195" width="11.42578125" style="1768" customWidth="1"/>
    <col min="8196" max="8196" width="1.5703125" style="1768" customWidth="1"/>
    <col min="8197" max="8197" width="7.42578125" style="1768" bestFit="1" customWidth="1"/>
    <col min="8198" max="8198" width="1.5703125" style="1768" customWidth="1"/>
    <col min="8199" max="8199" width="12.5703125" style="1768" customWidth="1"/>
    <col min="8200" max="8200" width="1.5703125" style="1768" customWidth="1"/>
    <col min="8201" max="8201" width="20.5703125" style="1768" customWidth="1"/>
    <col min="8202" max="8202" width="2.5703125" style="1768" customWidth="1"/>
    <col min="8203" max="8203" width="10.5703125" style="1768" customWidth="1"/>
    <col min="8204" max="8204" width="1.5703125" style="1768" customWidth="1"/>
    <col min="8205" max="8205" width="10.5703125" style="1768" customWidth="1"/>
    <col min="8206" max="8206" width="1.5703125" style="1768" customWidth="1"/>
    <col min="8207" max="8207" width="12.5703125" style="1768" customWidth="1"/>
    <col min="8208" max="8208" width="1.5703125" style="1768" customWidth="1"/>
    <col min="8209" max="8209" width="22.5703125" style="1768" customWidth="1"/>
    <col min="8210" max="8210" width="4.5703125" style="1768" customWidth="1"/>
    <col min="8211" max="8224" width="0" style="1768" hidden="1" customWidth="1"/>
    <col min="8225" max="8449" width="9.42578125" style="1768"/>
    <col min="8450" max="8450" width="0" style="1768" hidden="1" customWidth="1"/>
    <col min="8451" max="8451" width="11.42578125" style="1768" customWidth="1"/>
    <col min="8452" max="8452" width="1.5703125" style="1768" customWidth="1"/>
    <col min="8453" max="8453" width="7.42578125" style="1768" bestFit="1" customWidth="1"/>
    <col min="8454" max="8454" width="1.5703125" style="1768" customWidth="1"/>
    <col min="8455" max="8455" width="12.5703125" style="1768" customWidth="1"/>
    <col min="8456" max="8456" width="1.5703125" style="1768" customWidth="1"/>
    <col min="8457" max="8457" width="20.5703125" style="1768" customWidth="1"/>
    <col min="8458" max="8458" width="2.5703125" style="1768" customWidth="1"/>
    <col min="8459" max="8459" width="10.5703125" style="1768" customWidth="1"/>
    <col min="8460" max="8460" width="1.5703125" style="1768" customWidth="1"/>
    <col min="8461" max="8461" width="10.5703125" style="1768" customWidth="1"/>
    <col min="8462" max="8462" width="1.5703125" style="1768" customWidth="1"/>
    <col min="8463" max="8463" width="12.5703125" style="1768" customWidth="1"/>
    <col min="8464" max="8464" width="1.5703125" style="1768" customWidth="1"/>
    <col min="8465" max="8465" width="22.5703125" style="1768" customWidth="1"/>
    <col min="8466" max="8466" width="4.5703125" style="1768" customWidth="1"/>
    <col min="8467" max="8480" width="0" style="1768" hidden="1" customWidth="1"/>
    <col min="8481" max="8705" width="9.42578125" style="1768"/>
    <col min="8706" max="8706" width="0" style="1768" hidden="1" customWidth="1"/>
    <col min="8707" max="8707" width="11.42578125" style="1768" customWidth="1"/>
    <col min="8708" max="8708" width="1.5703125" style="1768" customWidth="1"/>
    <col min="8709" max="8709" width="7.42578125" style="1768" bestFit="1" customWidth="1"/>
    <col min="8710" max="8710" width="1.5703125" style="1768" customWidth="1"/>
    <col min="8711" max="8711" width="12.5703125" style="1768" customWidth="1"/>
    <col min="8712" max="8712" width="1.5703125" style="1768" customWidth="1"/>
    <col min="8713" max="8713" width="20.5703125" style="1768" customWidth="1"/>
    <col min="8714" max="8714" width="2.5703125" style="1768" customWidth="1"/>
    <col min="8715" max="8715" width="10.5703125" style="1768" customWidth="1"/>
    <col min="8716" max="8716" width="1.5703125" style="1768" customWidth="1"/>
    <col min="8717" max="8717" width="10.5703125" style="1768" customWidth="1"/>
    <col min="8718" max="8718" width="1.5703125" style="1768" customWidth="1"/>
    <col min="8719" max="8719" width="12.5703125" style="1768" customWidth="1"/>
    <col min="8720" max="8720" width="1.5703125" style="1768" customWidth="1"/>
    <col min="8721" max="8721" width="22.5703125" style="1768" customWidth="1"/>
    <col min="8722" max="8722" width="4.5703125" style="1768" customWidth="1"/>
    <col min="8723" max="8736" width="0" style="1768" hidden="1" customWidth="1"/>
    <col min="8737" max="8961" width="9.42578125" style="1768"/>
    <col min="8962" max="8962" width="0" style="1768" hidden="1" customWidth="1"/>
    <col min="8963" max="8963" width="11.42578125" style="1768" customWidth="1"/>
    <col min="8964" max="8964" width="1.5703125" style="1768" customWidth="1"/>
    <col min="8965" max="8965" width="7.42578125" style="1768" bestFit="1" customWidth="1"/>
    <col min="8966" max="8966" width="1.5703125" style="1768" customWidth="1"/>
    <col min="8967" max="8967" width="12.5703125" style="1768" customWidth="1"/>
    <col min="8968" max="8968" width="1.5703125" style="1768" customWidth="1"/>
    <col min="8969" max="8969" width="20.5703125" style="1768" customWidth="1"/>
    <col min="8970" max="8970" width="2.5703125" style="1768" customWidth="1"/>
    <col min="8971" max="8971" width="10.5703125" style="1768" customWidth="1"/>
    <col min="8972" max="8972" width="1.5703125" style="1768" customWidth="1"/>
    <col min="8973" max="8973" width="10.5703125" style="1768" customWidth="1"/>
    <col min="8974" max="8974" width="1.5703125" style="1768" customWidth="1"/>
    <col min="8975" max="8975" width="12.5703125" style="1768" customWidth="1"/>
    <col min="8976" max="8976" width="1.5703125" style="1768" customWidth="1"/>
    <col min="8977" max="8977" width="22.5703125" style="1768" customWidth="1"/>
    <col min="8978" max="8978" width="4.5703125" style="1768" customWidth="1"/>
    <col min="8979" max="8992" width="0" style="1768" hidden="1" customWidth="1"/>
    <col min="8993" max="9217" width="9.42578125" style="1768"/>
    <col min="9218" max="9218" width="0" style="1768" hidden="1" customWidth="1"/>
    <col min="9219" max="9219" width="11.42578125" style="1768" customWidth="1"/>
    <col min="9220" max="9220" width="1.5703125" style="1768" customWidth="1"/>
    <col min="9221" max="9221" width="7.42578125" style="1768" bestFit="1" customWidth="1"/>
    <col min="9222" max="9222" width="1.5703125" style="1768" customWidth="1"/>
    <col min="9223" max="9223" width="12.5703125" style="1768" customWidth="1"/>
    <col min="9224" max="9224" width="1.5703125" style="1768" customWidth="1"/>
    <col min="9225" max="9225" width="20.5703125" style="1768" customWidth="1"/>
    <col min="9226" max="9226" width="2.5703125" style="1768" customWidth="1"/>
    <col min="9227" max="9227" width="10.5703125" style="1768" customWidth="1"/>
    <col min="9228" max="9228" width="1.5703125" style="1768" customWidth="1"/>
    <col min="9229" max="9229" width="10.5703125" style="1768" customWidth="1"/>
    <col min="9230" max="9230" width="1.5703125" style="1768" customWidth="1"/>
    <col min="9231" max="9231" width="12.5703125" style="1768" customWidth="1"/>
    <col min="9232" max="9232" width="1.5703125" style="1768" customWidth="1"/>
    <col min="9233" max="9233" width="22.5703125" style="1768" customWidth="1"/>
    <col min="9234" max="9234" width="4.5703125" style="1768" customWidth="1"/>
    <col min="9235" max="9248" width="0" style="1768" hidden="1" customWidth="1"/>
    <col min="9249" max="9473" width="9.42578125" style="1768"/>
    <col min="9474" max="9474" width="0" style="1768" hidden="1" customWidth="1"/>
    <col min="9475" max="9475" width="11.42578125" style="1768" customWidth="1"/>
    <col min="9476" max="9476" width="1.5703125" style="1768" customWidth="1"/>
    <col min="9477" max="9477" width="7.42578125" style="1768" bestFit="1" customWidth="1"/>
    <col min="9478" max="9478" width="1.5703125" style="1768" customWidth="1"/>
    <col min="9479" max="9479" width="12.5703125" style="1768" customWidth="1"/>
    <col min="9480" max="9480" width="1.5703125" style="1768" customWidth="1"/>
    <col min="9481" max="9481" width="20.5703125" style="1768" customWidth="1"/>
    <col min="9482" max="9482" width="2.5703125" style="1768" customWidth="1"/>
    <col min="9483" max="9483" width="10.5703125" style="1768" customWidth="1"/>
    <col min="9484" max="9484" width="1.5703125" style="1768" customWidth="1"/>
    <col min="9485" max="9485" width="10.5703125" style="1768" customWidth="1"/>
    <col min="9486" max="9486" width="1.5703125" style="1768" customWidth="1"/>
    <col min="9487" max="9487" width="12.5703125" style="1768" customWidth="1"/>
    <col min="9488" max="9488" width="1.5703125" style="1768" customWidth="1"/>
    <col min="9489" max="9489" width="22.5703125" style="1768" customWidth="1"/>
    <col min="9490" max="9490" width="4.5703125" style="1768" customWidth="1"/>
    <col min="9491" max="9504" width="0" style="1768" hidden="1" customWidth="1"/>
    <col min="9505" max="9729" width="9.42578125" style="1768"/>
    <col min="9730" max="9730" width="0" style="1768" hidden="1" customWidth="1"/>
    <col min="9731" max="9731" width="11.42578125" style="1768" customWidth="1"/>
    <col min="9732" max="9732" width="1.5703125" style="1768" customWidth="1"/>
    <col min="9733" max="9733" width="7.42578125" style="1768" bestFit="1" customWidth="1"/>
    <col min="9734" max="9734" width="1.5703125" style="1768" customWidth="1"/>
    <col min="9735" max="9735" width="12.5703125" style="1768" customWidth="1"/>
    <col min="9736" max="9736" width="1.5703125" style="1768" customWidth="1"/>
    <col min="9737" max="9737" width="20.5703125" style="1768" customWidth="1"/>
    <col min="9738" max="9738" width="2.5703125" style="1768" customWidth="1"/>
    <col min="9739" max="9739" width="10.5703125" style="1768" customWidth="1"/>
    <col min="9740" max="9740" width="1.5703125" style="1768" customWidth="1"/>
    <col min="9741" max="9741" width="10.5703125" style="1768" customWidth="1"/>
    <col min="9742" max="9742" width="1.5703125" style="1768" customWidth="1"/>
    <col min="9743" max="9743" width="12.5703125" style="1768" customWidth="1"/>
    <col min="9744" max="9744" width="1.5703125" style="1768" customWidth="1"/>
    <col min="9745" max="9745" width="22.5703125" style="1768" customWidth="1"/>
    <col min="9746" max="9746" width="4.5703125" style="1768" customWidth="1"/>
    <col min="9747" max="9760" width="0" style="1768" hidden="1" customWidth="1"/>
    <col min="9761" max="9985" width="9.42578125" style="1768"/>
    <col min="9986" max="9986" width="0" style="1768" hidden="1" customWidth="1"/>
    <col min="9987" max="9987" width="11.42578125" style="1768" customWidth="1"/>
    <col min="9988" max="9988" width="1.5703125" style="1768" customWidth="1"/>
    <col min="9989" max="9989" width="7.42578125" style="1768" bestFit="1" customWidth="1"/>
    <col min="9990" max="9990" width="1.5703125" style="1768" customWidth="1"/>
    <col min="9991" max="9991" width="12.5703125" style="1768" customWidth="1"/>
    <col min="9992" max="9992" width="1.5703125" style="1768" customWidth="1"/>
    <col min="9993" max="9993" width="20.5703125" style="1768" customWidth="1"/>
    <col min="9994" max="9994" width="2.5703125" style="1768" customWidth="1"/>
    <col min="9995" max="9995" width="10.5703125" style="1768" customWidth="1"/>
    <col min="9996" max="9996" width="1.5703125" style="1768" customWidth="1"/>
    <col min="9997" max="9997" width="10.5703125" style="1768" customWidth="1"/>
    <col min="9998" max="9998" width="1.5703125" style="1768" customWidth="1"/>
    <col min="9999" max="9999" width="12.5703125" style="1768" customWidth="1"/>
    <col min="10000" max="10000" width="1.5703125" style="1768" customWidth="1"/>
    <col min="10001" max="10001" width="22.5703125" style="1768" customWidth="1"/>
    <col min="10002" max="10002" width="4.5703125" style="1768" customWidth="1"/>
    <col min="10003" max="10016" width="0" style="1768" hidden="1" customWidth="1"/>
    <col min="10017" max="10241" width="9.42578125" style="1768"/>
    <col min="10242" max="10242" width="0" style="1768" hidden="1" customWidth="1"/>
    <col min="10243" max="10243" width="11.42578125" style="1768" customWidth="1"/>
    <col min="10244" max="10244" width="1.5703125" style="1768" customWidth="1"/>
    <col min="10245" max="10245" width="7.42578125" style="1768" bestFit="1" customWidth="1"/>
    <col min="10246" max="10246" width="1.5703125" style="1768" customWidth="1"/>
    <col min="10247" max="10247" width="12.5703125" style="1768" customWidth="1"/>
    <col min="10248" max="10248" width="1.5703125" style="1768" customWidth="1"/>
    <col min="10249" max="10249" width="20.5703125" style="1768" customWidth="1"/>
    <col min="10250" max="10250" width="2.5703125" style="1768" customWidth="1"/>
    <col min="10251" max="10251" width="10.5703125" style="1768" customWidth="1"/>
    <col min="10252" max="10252" width="1.5703125" style="1768" customWidth="1"/>
    <col min="10253" max="10253" width="10.5703125" style="1768" customWidth="1"/>
    <col min="10254" max="10254" width="1.5703125" style="1768" customWidth="1"/>
    <col min="10255" max="10255" width="12.5703125" style="1768" customWidth="1"/>
    <col min="10256" max="10256" width="1.5703125" style="1768" customWidth="1"/>
    <col min="10257" max="10257" width="22.5703125" style="1768" customWidth="1"/>
    <col min="10258" max="10258" width="4.5703125" style="1768" customWidth="1"/>
    <col min="10259" max="10272" width="0" style="1768" hidden="1" customWidth="1"/>
    <col min="10273" max="10497" width="9.42578125" style="1768"/>
    <col min="10498" max="10498" width="0" style="1768" hidden="1" customWidth="1"/>
    <col min="10499" max="10499" width="11.42578125" style="1768" customWidth="1"/>
    <col min="10500" max="10500" width="1.5703125" style="1768" customWidth="1"/>
    <col min="10501" max="10501" width="7.42578125" style="1768" bestFit="1" customWidth="1"/>
    <col min="10502" max="10502" width="1.5703125" style="1768" customWidth="1"/>
    <col min="10503" max="10503" width="12.5703125" style="1768" customWidth="1"/>
    <col min="10504" max="10504" width="1.5703125" style="1768" customWidth="1"/>
    <col min="10505" max="10505" width="20.5703125" style="1768" customWidth="1"/>
    <col min="10506" max="10506" width="2.5703125" style="1768" customWidth="1"/>
    <col min="10507" max="10507" width="10.5703125" style="1768" customWidth="1"/>
    <col min="10508" max="10508" width="1.5703125" style="1768" customWidth="1"/>
    <col min="10509" max="10509" width="10.5703125" style="1768" customWidth="1"/>
    <col min="10510" max="10510" width="1.5703125" style="1768" customWidth="1"/>
    <col min="10511" max="10511" width="12.5703125" style="1768" customWidth="1"/>
    <col min="10512" max="10512" width="1.5703125" style="1768" customWidth="1"/>
    <col min="10513" max="10513" width="22.5703125" style="1768" customWidth="1"/>
    <col min="10514" max="10514" width="4.5703125" style="1768" customWidth="1"/>
    <col min="10515" max="10528" width="0" style="1768" hidden="1" customWidth="1"/>
    <col min="10529" max="10753" width="9.42578125" style="1768"/>
    <col min="10754" max="10754" width="0" style="1768" hidden="1" customWidth="1"/>
    <col min="10755" max="10755" width="11.42578125" style="1768" customWidth="1"/>
    <col min="10756" max="10756" width="1.5703125" style="1768" customWidth="1"/>
    <col min="10757" max="10757" width="7.42578125" style="1768" bestFit="1" customWidth="1"/>
    <col min="10758" max="10758" width="1.5703125" style="1768" customWidth="1"/>
    <col min="10759" max="10759" width="12.5703125" style="1768" customWidth="1"/>
    <col min="10760" max="10760" width="1.5703125" style="1768" customWidth="1"/>
    <col min="10761" max="10761" width="20.5703125" style="1768" customWidth="1"/>
    <col min="10762" max="10762" width="2.5703125" style="1768" customWidth="1"/>
    <col min="10763" max="10763" width="10.5703125" style="1768" customWidth="1"/>
    <col min="10764" max="10764" width="1.5703125" style="1768" customWidth="1"/>
    <col min="10765" max="10765" width="10.5703125" style="1768" customWidth="1"/>
    <col min="10766" max="10766" width="1.5703125" style="1768" customWidth="1"/>
    <col min="10767" max="10767" width="12.5703125" style="1768" customWidth="1"/>
    <col min="10768" max="10768" width="1.5703125" style="1768" customWidth="1"/>
    <col min="10769" max="10769" width="22.5703125" style="1768" customWidth="1"/>
    <col min="10770" max="10770" width="4.5703125" style="1768" customWidth="1"/>
    <col min="10771" max="10784" width="0" style="1768" hidden="1" customWidth="1"/>
    <col min="10785" max="11009" width="9.42578125" style="1768"/>
    <col min="11010" max="11010" width="0" style="1768" hidden="1" customWidth="1"/>
    <col min="11011" max="11011" width="11.42578125" style="1768" customWidth="1"/>
    <col min="11012" max="11012" width="1.5703125" style="1768" customWidth="1"/>
    <col min="11013" max="11013" width="7.42578125" style="1768" bestFit="1" customWidth="1"/>
    <col min="11014" max="11014" width="1.5703125" style="1768" customWidth="1"/>
    <col min="11015" max="11015" width="12.5703125" style="1768" customWidth="1"/>
    <col min="11016" max="11016" width="1.5703125" style="1768" customWidth="1"/>
    <col min="11017" max="11017" width="20.5703125" style="1768" customWidth="1"/>
    <col min="11018" max="11018" width="2.5703125" style="1768" customWidth="1"/>
    <col min="11019" max="11019" width="10.5703125" style="1768" customWidth="1"/>
    <col min="11020" max="11020" width="1.5703125" style="1768" customWidth="1"/>
    <col min="11021" max="11021" width="10.5703125" style="1768" customWidth="1"/>
    <col min="11022" max="11022" width="1.5703125" style="1768" customWidth="1"/>
    <col min="11023" max="11023" width="12.5703125" style="1768" customWidth="1"/>
    <col min="11024" max="11024" width="1.5703125" style="1768" customWidth="1"/>
    <col min="11025" max="11025" width="22.5703125" style="1768" customWidth="1"/>
    <col min="11026" max="11026" width="4.5703125" style="1768" customWidth="1"/>
    <col min="11027" max="11040" width="0" style="1768" hidden="1" customWidth="1"/>
    <col min="11041" max="11265" width="9.42578125" style="1768"/>
    <col min="11266" max="11266" width="0" style="1768" hidden="1" customWidth="1"/>
    <col min="11267" max="11267" width="11.42578125" style="1768" customWidth="1"/>
    <col min="11268" max="11268" width="1.5703125" style="1768" customWidth="1"/>
    <col min="11269" max="11269" width="7.42578125" style="1768" bestFit="1" customWidth="1"/>
    <col min="11270" max="11270" width="1.5703125" style="1768" customWidth="1"/>
    <col min="11271" max="11271" width="12.5703125" style="1768" customWidth="1"/>
    <col min="11272" max="11272" width="1.5703125" style="1768" customWidth="1"/>
    <col min="11273" max="11273" width="20.5703125" style="1768" customWidth="1"/>
    <col min="11274" max="11274" width="2.5703125" style="1768" customWidth="1"/>
    <col min="11275" max="11275" width="10.5703125" style="1768" customWidth="1"/>
    <col min="11276" max="11276" width="1.5703125" style="1768" customWidth="1"/>
    <col min="11277" max="11277" width="10.5703125" style="1768" customWidth="1"/>
    <col min="11278" max="11278" width="1.5703125" style="1768" customWidth="1"/>
    <col min="11279" max="11279" width="12.5703125" style="1768" customWidth="1"/>
    <col min="11280" max="11280" width="1.5703125" style="1768" customWidth="1"/>
    <col min="11281" max="11281" width="22.5703125" style="1768" customWidth="1"/>
    <col min="11282" max="11282" width="4.5703125" style="1768" customWidth="1"/>
    <col min="11283" max="11296" width="0" style="1768" hidden="1" customWidth="1"/>
    <col min="11297" max="11521" width="9.42578125" style="1768"/>
    <col min="11522" max="11522" width="0" style="1768" hidden="1" customWidth="1"/>
    <col min="11523" max="11523" width="11.42578125" style="1768" customWidth="1"/>
    <col min="11524" max="11524" width="1.5703125" style="1768" customWidth="1"/>
    <col min="11525" max="11525" width="7.42578125" style="1768" bestFit="1" customWidth="1"/>
    <col min="11526" max="11526" width="1.5703125" style="1768" customWidth="1"/>
    <col min="11527" max="11527" width="12.5703125" style="1768" customWidth="1"/>
    <col min="11528" max="11528" width="1.5703125" style="1768" customWidth="1"/>
    <col min="11529" max="11529" width="20.5703125" style="1768" customWidth="1"/>
    <col min="11530" max="11530" width="2.5703125" style="1768" customWidth="1"/>
    <col min="11531" max="11531" width="10.5703125" style="1768" customWidth="1"/>
    <col min="11532" max="11532" width="1.5703125" style="1768" customWidth="1"/>
    <col min="11533" max="11533" width="10.5703125" style="1768" customWidth="1"/>
    <col min="11534" max="11534" width="1.5703125" style="1768" customWidth="1"/>
    <col min="11535" max="11535" width="12.5703125" style="1768" customWidth="1"/>
    <col min="11536" max="11536" width="1.5703125" style="1768" customWidth="1"/>
    <col min="11537" max="11537" width="22.5703125" style="1768" customWidth="1"/>
    <col min="11538" max="11538" width="4.5703125" style="1768" customWidth="1"/>
    <col min="11539" max="11552" width="0" style="1768" hidden="1" customWidth="1"/>
    <col min="11553" max="11777" width="9.42578125" style="1768"/>
    <col min="11778" max="11778" width="0" style="1768" hidden="1" customWidth="1"/>
    <col min="11779" max="11779" width="11.42578125" style="1768" customWidth="1"/>
    <col min="11780" max="11780" width="1.5703125" style="1768" customWidth="1"/>
    <col min="11781" max="11781" width="7.42578125" style="1768" bestFit="1" customWidth="1"/>
    <col min="11782" max="11782" width="1.5703125" style="1768" customWidth="1"/>
    <col min="11783" max="11783" width="12.5703125" style="1768" customWidth="1"/>
    <col min="11784" max="11784" width="1.5703125" style="1768" customWidth="1"/>
    <col min="11785" max="11785" width="20.5703125" style="1768" customWidth="1"/>
    <col min="11786" max="11786" width="2.5703125" style="1768" customWidth="1"/>
    <col min="11787" max="11787" width="10.5703125" style="1768" customWidth="1"/>
    <col min="11788" max="11788" width="1.5703125" style="1768" customWidth="1"/>
    <col min="11789" max="11789" width="10.5703125" style="1768" customWidth="1"/>
    <col min="11790" max="11790" width="1.5703125" style="1768" customWidth="1"/>
    <col min="11791" max="11791" width="12.5703125" style="1768" customWidth="1"/>
    <col min="11792" max="11792" width="1.5703125" style="1768" customWidth="1"/>
    <col min="11793" max="11793" width="22.5703125" style="1768" customWidth="1"/>
    <col min="11794" max="11794" width="4.5703125" style="1768" customWidth="1"/>
    <col min="11795" max="11808" width="0" style="1768" hidden="1" customWidth="1"/>
    <col min="11809" max="12033" width="9.42578125" style="1768"/>
    <col min="12034" max="12034" width="0" style="1768" hidden="1" customWidth="1"/>
    <col min="12035" max="12035" width="11.42578125" style="1768" customWidth="1"/>
    <col min="12036" max="12036" width="1.5703125" style="1768" customWidth="1"/>
    <col min="12037" max="12037" width="7.42578125" style="1768" bestFit="1" customWidth="1"/>
    <col min="12038" max="12038" width="1.5703125" style="1768" customWidth="1"/>
    <col min="12039" max="12039" width="12.5703125" style="1768" customWidth="1"/>
    <col min="12040" max="12040" width="1.5703125" style="1768" customWidth="1"/>
    <col min="12041" max="12041" width="20.5703125" style="1768" customWidth="1"/>
    <col min="12042" max="12042" width="2.5703125" style="1768" customWidth="1"/>
    <col min="12043" max="12043" width="10.5703125" style="1768" customWidth="1"/>
    <col min="12044" max="12044" width="1.5703125" style="1768" customWidth="1"/>
    <col min="12045" max="12045" width="10.5703125" style="1768" customWidth="1"/>
    <col min="12046" max="12046" width="1.5703125" style="1768" customWidth="1"/>
    <col min="12047" max="12047" width="12.5703125" style="1768" customWidth="1"/>
    <col min="12048" max="12048" width="1.5703125" style="1768" customWidth="1"/>
    <col min="12049" max="12049" width="22.5703125" style="1768" customWidth="1"/>
    <col min="12050" max="12050" width="4.5703125" style="1768" customWidth="1"/>
    <col min="12051" max="12064" width="0" style="1768" hidden="1" customWidth="1"/>
    <col min="12065" max="12289" width="9.42578125" style="1768"/>
    <col min="12290" max="12290" width="0" style="1768" hidden="1" customWidth="1"/>
    <col min="12291" max="12291" width="11.42578125" style="1768" customWidth="1"/>
    <col min="12292" max="12292" width="1.5703125" style="1768" customWidth="1"/>
    <col min="12293" max="12293" width="7.42578125" style="1768" bestFit="1" customWidth="1"/>
    <col min="12294" max="12294" width="1.5703125" style="1768" customWidth="1"/>
    <col min="12295" max="12295" width="12.5703125" style="1768" customWidth="1"/>
    <col min="12296" max="12296" width="1.5703125" style="1768" customWidth="1"/>
    <col min="12297" max="12297" width="20.5703125" style="1768" customWidth="1"/>
    <col min="12298" max="12298" width="2.5703125" style="1768" customWidth="1"/>
    <col min="12299" max="12299" width="10.5703125" style="1768" customWidth="1"/>
    <col min="12300" max="12300" width="1.5703125" style="1768" customWidth="1"/>
    <col min="12301" max="12301" width="10.5703125" style="1768" customWidth="1"/>
    <col min="12302" max="12302" width="1.5703125" style="1768" customWidth="1"/>
    <col min="12303" max="12303" width="12.5703125" style="1768" customWidth="1"/>
    <col min="12304" max="12304" width="1.5703125" style="1768" customWidth="1"/>
    <col min="12305" max="12305" width="22.5703125" style="1768" customWidth="1"/>
    <col min="12306" max="12306" width="4.5703125" style="1768" customWidth="1"/>
    <col min="12307" max="12320" width="0" style="1768" hidden="1" customWidth="1"/>
    <col min="12321" max="12545" width="9.42578125" style="1768"/>
    <col min="12546" max="12546" width="0" style="1768" hidden="1" customWidth="1"/>
    <col min="12547" max="12547" width="11.42578125" style="1768" customWidth="1"/>
    <col min="12548" max="12548" width="1.5703125" style="1768" customWidth="1"/>
    <col min="12549" max="12549" width="7.42578125" style="1768" bestFit="1" customWidth="1"/>
    <col min="12550" max="12550" width="1.5703125" style="1768" customWidth="1"/>
    <col min="12551" max="12551" width="12.5703125" style="1768" customWidth="1"/>
    <col min="12552" max="12552" width="1.5703125" style="1768" customWidth="1"/>
    <col min="12553" max="12553" width="20.5703125" style="1768" customWidth="1"/>
    <col min="12554" max="12554" width="2.5703125" style="1768" customWidth="1"/>
    <col min="12555" max="12555" width="10.5703125" style="1768" customWidth="1"/>
    <col min="12556" max="12556" width="1.5703125" style="1768" customWidth="1"/>
    <col min="12557" max="12557" width="10.5703125" style="1768" customWidth="1"/>
    <col min="12558" max="12558" width="1.5703125" style="1768" customWidth="1"/>
    <col min="12559" max="12559" width="12.5703125" style="1768" customWidth="1"/>
    <col min="12560" max="12560" width="1.5703125" style="1768" customWidth="1"/>
    <col min="12561" max="12561" width="22.5703125" style="1768" customWidth="1"/>
    <col min="12562" max="12562" width="4.5703125" style="1768" customWidth="1"/>
    <col min="12563" max="12576" width="0" style="1768" hidden="1" customWidth="1"/>
    <col min="12577" max="12801" width="9.42578125" style="1768"/>
    <col min="12802" max="12802" width="0" style="1768" hidden="1" customWidth="1"/>
    <col min="12803" max="12803" width="11.42578125" style="1768" customWidth="1"/>
    <col min="12804" max="12804" width="1.5703125" style="1768" customWidth="1"/>
    <col min="12805" max="12805" width="7.42578125" style="1768" bestFit="1" customWidth="1"/>
    <col min="12806" max="12806" width="1.5703125" style="1768" customWidth="1"/>
    <col min="12807" max="12807" width="12.5703125" style="1768" customWidth="1"/>
    <col min="12808" max="12808" width="1.5703125" style="1768" customWidth="1"/>
    <col min="12809" max="12809" width="20.5703125" style="1768" customWidth="1"/>
    <col min="12810" max="12810" width="2.5703125" style="1768" customWidth="1"/>
    <col min="12811" max="12811" width="10.5703125" style="1768" customWidth="1"/>
    <col min="12812" max="12812" width="1.5703125" style="1768" customWidth="1"/>
    <col min="12813" max="12813" width="10.5703125" style="1768" customWidth="1"/>
    <col min="12814" max="12814" width="1.5703125" style="1768" customWidth="1"/>
    <col min="12815" max="12815" width="12.5703125" style="1768" customWidth="1"/>
    <col min="12816" max="12816" width="1.5703125" style="1768" customWidth="1"/>
    <col min="12817" max="12817" width="22.5703125" style="1768" customWidth="1"/>
    <col min="12818" max="12818" width="4.5703125" style="1768" customWidth="1"/>
    <col min="12819" max="12832" width="0" style="1768" hidden="1" customWidth="1"/>
    <col min="12833" max="13057" width="9.42578125" style="1768"/>
    <col min="13058" max="13058" width="0" style="1768" hidden="1" customWidth="1"/>
    <col min="13059" max="13059" width="11.42578125" style="1768" customWidth="1"/>
    <col min="13060" max="13060" width="1.5703125" style="1768" customWidth="1"/>
    <col min="13061" max="13061" width="7.42578125" style="1768" bestFit="1" customWidth="1"/>
    <col min="13062" max="13062" width="1.5703125" style="1768" customWidth="1"/>
    <col min="13063" max="13063" width="12.5703125" style="1768" customWidth="1"/>
    <col min="13064" max="13064" width="1.5703125" style="1768" customWidth="1"/>
    <col min="13065" max="13065" width="20.5703125" style="1768" customWidth="1"/>
    <col min="13066" max="13066" width="2.5703125" style="1768" customWidth="1"/>
    <col min="13067" max="13067" width="10.5703125" style="1768" customWidth="1"/>
    <col min="13068" max="13068" width="1.5703125" style="1768" customWidth="1"/>
    <col min="13069" max="13069" width="10.5703125" style="1768" customWidth="1"/>
    <col min="13070" max="13070" width="1.5703125" style="1768" customWidth="1"/>
    <col min="13071" max="13071" width="12.5703125" style="1768" customWidth="1"/>
    <col min="13072" max="13072" width="1.5703125" style="1768" customWidth="1"/>
    <col min="13073" max="13073" width="22.5703125" style="1768" customWidth="1"/>
    <col min="13074" max="13074" width="4.5703125" style="1768" customWidth="1"/>
    <col min="13075" max="13088" width="0" style="1768" hidden="1" customWidth="1"/>
    <col min="13089" max="13313" width="9.42578125" style="1768"/>
    <col min="13314" max="13314" width="0" style="1768" hidden="1" customWidth="1"/>
    <col min="13315" max="13315" width="11.42578125" style="1768" customWidth="1"/>
    <col min="13316" max="13316" width="1.5703125" style="1768" customWidth="1"/>
    <col min="13317" max="13317" width="7.42578125" style="1768" bestFit="1" customWidth="1"/>
    <col min="13318" max="13318" width="1.5703125" style="1768" customWidth="1"/>
    <col min="13319" max="13319" width="12.5703125" style="1768" customWidth="1"/>
    <col min="13320" max="13320" width="1.5703125" style="1768" customWidth="1"/>
    <col min="13321" max="13321" width="20.5703125" style="1768" customWidth="1"/>
    <col min="13322" max="13322" width="2.5703125" style="1768" customWidth="1"/>
    <col min="13323" max="13323" width="10.5703125" style="1768" customWidth="1"/>
    <col min="13324" max="13324" width="1.5703125" style="1768" customWidth="1"/>
    <col min="13325" max="13325" width="10.5703125" style="1768" customWidth="1"/>
    <col min="13326" max="13326" width="1.5703125" style="1768" customWidth="1"/>
    <col min="13327" max="13327" width="12.5703125" style="1768" customWidth="1"/>
    <col min="13328" max="13328" width="1.5703125" style="1768" customWidth="1"/>
    <col min="13329" max="13329" width="22.5703125" style="1768" customWidth="1"/>
    <col min="13330" max="13330" width="4.5703125" style="1768" customWidth="1"/>
    <col min="13331" max="13344" width="0" style="1768" hidden="1" customWidth="1"/>
    <col min="13345" max="13569" width="9.42578125" style="1768"/>
    <col min="13570" max="13570" width="0" style="1768" hidden="1" customWidth="1"/>
    <col min="13571" max="13571" width="11.42578125" style="1768" customWidth="1"/>
    <col min="13572" max="13572" width="1.5703125" style="1768" customWidth="1"/>
    <col min="13573" max="13573" width="7.42578125" style="1768" bestFit="1" customWidth="1"/>
    <col min="13574" max="13574" width="1.5703125" style="1768" customWidth="1"/>
    <col min="13575" max="13575" width="12.5703125" style="1768" customWidth="1"/>
    <col min="13576" max="13576" width="1.5703125" style="1768" customWidth="1"/>
    <col min="13577" max="13577" width="20.5703125" style="1768" customWidth="1"/>
    <col min="13578" max="13578" width="2.5703125" style="1768" customWidth="1"/>
    <col min="13579" max="13579" width="10.5703125" style="1768" customWidth="1"/>
    <col min="13580" max="13580" width="1.5703125" style="1768" customWidth="1"/>
    <col min="13581" max="13581" width="10.5703125" style="1768" customWidth="1"/>
    <col min="13582" max="13582" width="1.5703125" style="1768" customWidth="1"/>
    <col min="13583" max="13583" width="12.5703125" style="1768" customWidth="1"/>
    <col min="13584" max="13584" width="1.5703125" style="1768" customWidth="1"/>
    <col min="13585" max="13585" width="22.5703125" style="1768" customWidth="1"/>
    <col min="13586" max="13586" width="4.5703125" style="1768" customWidth="1"/>
    <col min="13587" max="13600" width="0" style="1768" hidden="1" customWidth="1"/>
    <col min="13601" max="13825" width="9.42578125" style="1768"/>
    <col min="13826" max="13826" width="0" style="1768" hidden="1" customWidth="1"/>
    <col min="13827" max="13827" width="11.42578125" style="1768" customWidth="1"/>
    <col min="13828" max="13828" width="1.5703125" style="1768" customWidth="1"/>
    <col min="13829" max="13829" width="7.42578125" style="1768" bestFit="1" customWidth="1"/>
    <col min="13830" max="13830" width="1.5703125" style="1768" customWidth="1"/>
    <col min="13831" max="13831" width="12.5703125" style="1768" customWidth="1"/>
    <col min="13832" max="13832" width="1.5703125" style="1768" customWidth="1"/>
    <col min="13833" max="13833" width="20.5703125" style="1768" customWidth="1"/>
    <col min="13834" max="13834" width="2.5703125" style="1768" customWidth="1"/>
    <col min="13835" max="13835" width="10.5703125" style="1768" customWidth="1"/>
    <col min="13836" max="13836" width="1.5703125" style="1768" customWidth="1"/>
    <col min="13837" max="13837" width="10.5703125" style="1768" customWidth="1"/>
    <col min="13838" max="13838" width="1.5703125" style="1768" customWidth="1"/>
    <col min="13839" max="13839" width="12.5703125" style="1768" customWidth="1"/>
    <col min="13840" max="13840" width="1.5703125" style="1768" customWidth="1"/>
    <col min="13841" max="13841" width="22.5703125" style="1768" customWidth="1"/>
    <col min="13842" max="13842" width="4.5703125" style="1768" customWidth="1"/>
    <col min="13843" max="13856" width="0" style="1768" hidden="1" customWidth="1"/>
    <col min="13857" max="14081" width="9.42578125" style="1768"/>
    <col min="14082" max="14082" width="0" style="1768" hidden="1" customWidth="1"/>
    <col min="14083" max="14083" width="11.42578125" style="1768" customWidth="1"/>
    <col min="14084" max="14084" width="1.5703125" style="1768" customWidth="1"/>
    <col min="14085" max="14085" width="7.42578125" style="1768" bestFit="1" customWidth="1"/>
    <col min="14086" max="14086" width="1.5703125" style="1768" customWidth="1"/>
    <col min="14087" max="14087" width="12.5703125" style="1768" customWidth="1"/>
    <col min="14088" max="14088" width="1.5703125" style="1768" customWidth="1"/>
    <col min="14089" max="14089" width="20.5703125" style="1768" customWidth="1"/>
    <col min="14090" max="14090" width="2.5703125" style="1768" customWidth="1"/>
    <col min="14091" max="14091" width="10.5703125" style="1768" customWidth="1"/>
    <col min="14092" max="14092" width="1.5703125" style="1768" customWidth="1"/>
    <col min="14093" max="14093" width="10.5703125" style="1768" customWidth="1"/>
    <col min="14094" max="14094" width="1.5703125" style="1768" customWidth="1"/>
    <col min="14095" max="14095" width="12.5703125" style="1768" customWidth="1"/>
    <col min="14096" max="14096" width="1.5703125" style="1768" customWidth="1"/>
    <col min="14097" max="14097" width="22.5703125" style="1768" customWidth="1"/>
    <col min="14098" max="14098" width="4.5703125" style="1768" customWidth="1"/>
    <col min="14099" max="14112" width="0" style="1768" hidden="1" customWidth="1"/>
    <col min="14113" max="14337" width="9.42578125" style="1768"/>
    <col min="14338" max="14338" width="0" style="1768" hidden="1" customWidth="1"/>
    <col min="14339" max="14339" width="11.42578125" style="1768" customWidth="1"/>
    <col min="14340" max="14340" width="1.5703125" style="1768" customWidth="1"/>
    <col min="14341" max="14341" width="7.42578125" style="1768" bestFit="1" customWidth="1"/>
    <col min="14342" max="14342" width="1.5703125" style="1768" customWidth="1"/>
    <col min="14343" max="14343" width="12.5703125" style="1768" customWidth="1"/>
    <col min="14344" max="14344" width="1.5703125" style="1768" customWidth="1"/>
    <col min="14345" max="14345" width="20.5703125" style="1768" customWidth="1"/>
    <col min="14346" max="14346" width="2.5703125" style="1768" customWidth="1"/>
    <col min="14347" max="14347" width="10.5703125" style="1768" customWidth="1"/>
    <col min="14348" max="14348" width="1.5703125" style="1768" customWidth="1"/>
    <col min="14349" max="14349" width="10.5703125" style="1768" customWidth="1"/>
    <col min="14350" max="14350" width="1.5703125" style="1768" customWidth="1"/>
    <col min="14351" max="14351" width="12.5703125" style="1768" customWidth="1"/>
    <col min="14352" max="14352" width="1.5703125" style="1768" customWidth="1"/>
    <col min="14353" max="14353" width="22.5703125" style="1768" customWidth="1"/>
    <col min="14354" max="14354" width="4.5703125" style="1768" customWidth="1"/>
    <col min="14355" max="14368" width="0" style="1768" hidden="1" customWidth="1"/>
    <col min="14369" max="14593" width="9.42578125" style="1768"/>
    <col min="14594" max="14594" width="0" style="1768" hidden="1" customWidth="1"/>
    <col min="14595" max="14595" width="11.42578125" style="1768" customWidth="1"/>
    <col min="14596" max="14596" width="1.5703125" style="1768" customWidth="1"/>
    <col min="14597" max="14597" width="7.42578125" style="1768" bestFit="1" customWidth="1"/>
    <col min="14598" max="14598" width="1.5703125" style="1768" customWidth="1"/>
    <col min="14599" max="14599" width="12.5703125" style="1768" customWidth="1"/>
    <col min="14600" max="14600" width="1.5703125" style="1768" customWidth="1"/>
    <col min="14601" max="14601" width="20.5703125" style="1768" customWidth="1"/>
    <col min="14602" max="14602" width="2.5703125" style="1768" customWidth="1"/>
    <col min="14603" max="14603" width="10.5703125" style="1768" customWidth="1"/>
    <col min="14604" max="14604" width="1.5703125" style="1768" customWidth="1"/>
    <col min="14605" max="14605" width="10.5703125" style="1768" customWidth="1"/>
    <col min="14606" max="14606" width="1.5703125" style="1768" customWidth="1"/>
    <col min="14607" max="14607" width="12.5703125" style="1768" customWidth="1"/>
    <col min="14608" max="14608" width="1.5703125" style="1768" customWidth="1"/>
    <col min="14609" max="14609" width="22.5703125" style="1768" customWidth="1"/>
    <col min="14610" max="14610" width="4.5703125" style="1768" customWidth="1"/>
    <col min="14611" max="14624" width="0" style="1768" hidden="1" customWidth="1"/>
    <col min="14625" max="14849" width="9.42578125" style="1768"/>
    <col min="14850" max="14850" width="0" style="1768" hidden="1" customWidth="1"/>
    <col min="14851" max="14851" width="11.42578125" style="1768" customWidth="1"/>
    <col min="14852" max="14852" width="1.5703125" style="1768" customWidth="1"/>
    <col min="14853" max="14853" width="7.42578125" style="1768" bestFit="1" customWidth="1"/>
    <col min="14854" max="14854" width="1.5703125" style="1768" customWidth="1"/>
    <col min="14855" max="14855" width="12.5703125" style="1768" customWidth="1"/>
    <col min="14856" max="14856" width="1.5703125" style="1768" customWidth="1"/>
    <col min="14857" max="14857" width="20.5703125" style="1768" customWidth="1"/>
    <col min="14858" max="14858" width="2.5703125" style="1768" customWidth="1"/>
    <col min="14859" max="14859" width="10.5703125" style="1768" customWidth="1"/>
    <col min="14860" max="14860" width="1.5703125" style="1768" customWidth="1"/>
    <col min="14861" max="14861" width="10.5703125" style="1768" customWidth="1"/>
    <col min="14862" max="14862" width="1.5703125" style="1768" customWidth="1"/>
    <col min="14863" max="14863" width="12.5703125" style="1768" customWidth="1"/>
    <col min="14864" max="14864" width="1.5703125" style="1768" customWidth="1"/>
    <col min="14865" max="14865" width="22.5703125" style="1768" customWidth="1"/>
    <col min="14866" max="14866" width="4.5703125" style="1768" customWidth="1"/>
    <col min="14867" max="14880" width="0" style="1768" hidden="1" customWidth="1"/>
    <col min="14881" max="15105" width="9.42578125" style="1768"/>
    <col min="15106" max="15106" width="0" style="1768" hidden="1" customWidth="1"/>
    <col min="15107" max="15107" width="11.42578125" style="1768" customWidth="1"/>
    <col min="15108" max="15108" width="1.5703125" style="1768" customWidth="1"/>
    <col min="15109" max="15109" width="7.42578125" style="1768" bestFit="1" customWidth="1"/>
    <col min="15110" max="15110" width="1.5703125" style="1768" customWidth="1"/>
    <col min="15111" max="15111" width="12.5703125" style="1768" customWidth="1"/>
    <col min="15112" max="15112" width="1.5703125" style="1768" customWidth="1"/>
    <col min="15113" max="15113" width="20.5703125" style="1768" customWidth="1"/>
    <col min="15114" max="15114" width="2.5703125" style="1768" customWidth="1"/>
    <col min="15115" max="15115" width="10.5703125" style="1768" customWidth="1"/>
    <col min="15116" max="15116" width="1.5703125" style="1768" customWidth="1"/>
    <col min="15117" max="15117" width="10.5703125" style="1768" customWidth="1"/>
    <col min="15118" max="15118" width="1.5703125" style="1768" customWidth="1"/>
    <col min="15119" max="15119" width="12.5703125" style="1768" customWidth="1"/>
    <col min="15120" max="15120" width="1.5703125" style="1768" customWidth="1"/>
    <col min="15121" max="15121" width="22.5703125" style="1768" customWidth="1"/>
    <col min="15122" max="15122" width="4.5703125" style="1768" customWidth="1"/>
    <col min="15123" max="15136" width="0" style="1768" hidden="1" customWidth="1"/>
    <col min="15137" max="15361" width="9.42578125" style="1768"/>
    <col min="15362" max="15362" width="0" style="1768" hidden="1" customWidth="1"/>
    <col min="15363" max="15363" width="11.42578125" style="1768" customWidth="1"/>
    <col min="15364" max="15364" width="1.5703125" style="1768" customWidth="1"/>
    <col min="15365" max="15365" width="7.42578125" style="1768" bestFit="1" customWidth="1"/>
    <col min="15366" max="15366" width="1.5703125" style="1768" customWidth="1"/>
    <col min="15367" max="15367" width="12.5703125" style="1768" customWidth="1"/>
    <col min="15368" max="15368" width="1.5703125" style="1768" customWidth="1"/>
    <col min="15369" max="15369" width="20.5703125" style="1768" customWidth="1"/>
    <col min="15370" max="15370" width="2.5703125" style="1768" customWidth="1"/>
    <col min="15371" max="15371" width="10.5703125" style="1768" customWidth="1"/>
    <col min="15372" max="15372" width="1.5703125" style="1768" customWidth="1"/>
    <col min="15373" max="15373" width="10.5703125" style="1768" customWidth="1"/>
    <col min="15374" max="15374" width="1.5703125" style="1768" customWidth="1"/>
    <col min="15375" max="15375" width="12.5703125" style="1768" customWidth="1"/>
    <col min="15376" max="15376" width="1.5703125" style="1768" customWidth="1"/>
    <col min="15377" max="15377" width="22.5703125" style="1768" customWidth="1"/>
    <col min="15378" max="15378" width="4.5703125" style="1768" customWidth="1"/>
    <col min="15379" max="15392" width="0" style="1768" hidden="1" customWidth="1"/>
    <col min="15393" max="15617" width="9.42578125" style="1768"/>
    <col min="15618" max="15618" width="0" style="1768" hidden="1" customWidth="1"/>
    <col min="15619" max="15619" width="11.42578125" style="1768" customWidth="1"/>
    <col min="15620" max="15620" width="1.5703125" style="1768" customWidth="1"/>
    <col min="15621" max="15621" width="7.42578125" style="1768" bestFit="1" customWidth="1"/>
    <col min="15622" max="15622" width="1.5703125" style="1768" customWidth="1"/>
    <col min="15623" max="15623" width="12.5703125" style="1768" customWidth="1"/>
    <col min="15624" max="15624" width="1.5703125" style="1768" customWidth="1"/>
    <col min="15625" max="15625" width="20.5703125" style="1768" customWidth="1"/>
    <col min="15626" max="15626" width="2.5703125" style="1768" customWidth="1"/>
    <col min="15627" max="15627" width="10.5703125" style="1768" customWidth="1"/>
    <col min="15628" max="15628" width="1.5703125" style="1768" customWidth="1"/>
    <col min="15629" max="15629" width="10.5703125" style="1768" customWidth="1"/>
    <col min="15630" max="15630" width="1.5703125" style="1768" customWidth="1"/>
    <col min="15631" max="15631" width="12.5703125" style="1768" customWidth="1"/>
    <col min="15632" max="15632" width="1.5703125" style="1768" customWidth="1"/>
    <col min="15633" max="15633" width="22.5703125" style="1768" customWidth="1"/>
    <col min="15634" max="15634" width="4.5703125" style="1768" customWidth="1"/>
    <col min="15635" max="15648" width="0" style="1768" hidden="1" customWidth="1"/>
    <col min="15649" max="15873" width="9.42578125" style="1768"/>
    <col min="15874" max="15874" width="0" style="1768" hidden="1" customWidth="1"/>
    <col min="15875" max="15875" width="11.42578125" style="1768" customWidth="1"/>
    <col min="15876" max="15876" width="1.5703125" style="1768" customWidth="1"/>
    <col min="15877" max="15877" width="7.42578125" style="1768" bestFit="1" customWidth="1"/>
    <col min="15878" max="15878" width="1.5703125" style="1768" customWidth="1"/>
    <col min="15879" max="15879" width="12.5703125" style="1768" customWidth="1"/>
    <col min="15880" max="15880" width="1.5703125" style="1768" customWidth="1"/>
    <col min="15881" max="15881" width="20.5703125" style="1768" customWidth="1"/>
    <col min="15882" max="15882" width="2.5703125" style="1768" customWidth="1"/>
    <col min="15883" max="15883" width="10.5703125" style="1768" customWidth="1"/>
    <col min="15884" max="15884" width="1.5703125" style="1768" customWidth="1"/>
    <col min="15885" max="15885" width="10.5703125" style="1768" customWidth="1"/>
    <col min="15886" max="15886" width="1.5703125" style="1768" customWidth="1"/>
    <col min="15887" max="15887" width="12.5703125" style="1768" customWidth="1"/>
    <col min="15888" max="15888" width="1.5703125" style="1768" customWidth="1"/>
    <col min="15889" max="15889" width="22.5703125" style="1768" customWidth="1"/>
    <col min="15890" max="15890" width="4.5703125" style="1768" customWidth="1"/>
    <col min="15891" max="15904" width="0" style="1768" hidden="1" customWidth="1"/>
    <col min="15905" max="16129" width="9.42578125" style="1768"/>
    <col min="16130" max="16130" width="0" style="1768" hidden="1" customWidth="1"/>
    <col min="16131" max="16131" width="11.42578125" style="1768" customWidth="1"/>
    <col min="16132" max="16132" width="1.5703125" style="1768" customWidth="1"/>
    <col min="16133" max="16133" width="7.42578125" style="1768" bestFit="1" customWidth="1"/>
    <col min="16134" max="16134" width="1.5703125" style="1768" customWidth="1"/>
    <col min="16135" max="16135" width="12.5703125" style="1768" customWidth="1"/>
    <col min="16136" max="16136" width="1.5703125" style="1768" customWidth="1"/>
    <col min="16137" max="16137" width="20.5703125" style="1768" customWidth="1"/>
    <col min="16138" max="16138" width="2.5703125" style="1768" customWidth="1"/>
    <col min="16139" max="16139" width="10.5703125" style="1768" customWidth="1"/>
    <col min="16140" max="16140" width="1.5703125" style="1768" customWidth="1"/>
    <col min="16141" max="16141" width="10.5703125" style="1768" customWidth="1"/>
    <col min="16142" max="16142" width="1.5703125" style="1768" customWidth="1"/>
    <col min="16143" max="16143" width="12.5703125" style="1768" customWidth="1"/>
    <col min="16144" max="16144" width="1.5703125" style="1768" customWidth="1"/>
    <col min="16145" max="16145" width="22.5703125" style="1768" customWidth="1"/>
    <col min="16146" max="16146" width="4.5703125" style="1768" customWidth="1"/>
    <col min="16147" max="16160" width="0" style="1768" hidden="1" customWidth="1"/>
    <col min="16161" max="16384" width="9.42578125" style="1768"/>
  </cols>
  <sheetData>
    <row r="1" spans="2:37" ht="15" customHeight="1" x14ac:dyDescent="0.25">
      <c r="B1" s="3094" t="str">
        <f>Index!A1</f>
        <v xml:space="preserve">                                                               Office of the State Controller                                                                </v>
      </c>
      <c r="C1" s="3094"/>
      <c r="D1" s="3094"/>
      <c r="E1" s="3094"/>
      <c r="F1" s="3094"/>
      <c r="G1" s="3094"/>
      <c r="H1" s="3094"/>
      <c r="I1" s="3094"/>
      <c r="J1" s="3094"/>
      <c r="K1" s="3094"/>
      <c r="L1" s="3094"/>
      <c r="M1" s="3094"/>
      <c r="N1" s="3094"/>
      <c r="O1" s="3094"/>
      <c r="P1" s="3094"/>
      <c r="Q1" s="3094"/>
      <c r="R1" s="3094"/>
      <c r="S1" s="182"/>
      <c r="T1" s="182"/>
      <c r="U1" s="182"/>
      <c r="V1" s="182"/>
      <c r="W1" s="182"/>
      <c r="X1" s="182"/>
      <c r="Y1" s="182"/>
      <c r="Z1" s="182"/>
      <c r="AA1" s="182"/>
      <c r="AB1" s="182"/>
      <c r="AC1" s="182"/>
      <c r="AD1" s="182"/>
      <c r="AK1" s="2829" t="str">
        <f>IF(Index!$B$75="na","NA","")</f>
        <v/>
      </c>
    </row>
    <row r="2" spans="2:37" ht="15" customHeight="1" x14ac:dyDescent="0.25">
      <c r="B2" s="3091" t="str">
        <f>Index!A2</f>
        <v>2022 ACFR Worksheets</v>
      </c>
      <c r="C2" s="3091"/>
      <c r="D2" s="3091"/>
      <c r="E2" s="3091"/>
      <c r="F2" s="3091"/>
      <c r="G2" s="3091"/>
      <c r="H2" s="3091"/>
      <c r="I2" s="3091"/>
      <c r="J2" s="3091"/>
      <c r="K2" s="3091"/>
      <c r="L2" s="3091"/>
      <c r="M2" s="3091"/>
      <c r="N2" s="3091"/>
      <c r="O2" s="3091"/>
      <c r="P2" s="3091"/>
      <c r="Q2" s="3091"/>
      <c r="R2" s="3091"/>
      <c r="S2" s="182"/>
      <c r="T2" s="182"/>
      <c r="U2" s="182"/>
      <c r="V2" s="182"/>
      <c r="W2" s="182"/>
      <c r="X2" s="182"/>
      <c r="Y2" s="182"/>
      <c r="Z2" s="182"/>
      <c r="AA2" s="182"/>
      <c r="AB2" s="182"/>
      <c r="AC2" s="182"/>
      <c r="AD2" s="182"/>
      <c r="AK2" s="2829"/>
    </row>
    <row r="3" spans="2:37" ht="15" customHeight="1" x14ac:dyDescent="0.25">
      <c r="B3" s="3092" t="s">
        <v>4313</v>
      </c>
      <c r="C3" s="3092"/>
      <c r="D3" s="3092"/>
      <c r="E3" s="3092"/>
      <c r="F3" s="3092"/>
      <c r="G3" s="3092"/>
      <c r="H3" s="3092"/>
      <c r="I3" s="3092"/>
      <c r="J3" s="3092"/>
      <c r="K3" s="3092"/>
      <c r="L3" s="3092"/>
      <c r="M3" s="3092"/>
      <c r="N3" s="3092"/>
      <c r="O3" s="3092"/>
      <c r="P3" s="3092"/>
      <c r="Q3" s="3092"/>
      <c r="R3" s="3092"/>
      <c r="S3" s="182"/>
      <c r="T3" s="182"/>
      <c r="U3" s="182"/>
      <c r="V3" s="182"/>
      <c r="W3" s="182"/>
      <c r="X3" s="182"/>
      <c r="Y3" s="182"/>
      <c r="Z3" s="182"/>
      <c r="AA3" s="182"/>
      <c r="AB3" s="182"/>
      <c r="AC3" s="182"/>
      <c r="AD3" s="182"/>
      <c r="AK3" s="2829"/>
    </row>
    <row r="4" spans="2:37" ht="15" customHeight="1" x14ac:dyDescent="0.25">
      <c r="B4" s="1769"/>
      <c r="C4" s="1770"/>
      <c r="D4" s="1770"/>
      <c r="E4" s="1770"/>
      <c r="F4" s="1770"/>
      <c r="G4" s="1770"/>
      <c r="H4" s="1770"/>
      <c r="I4" s="1769"/>
      <c r="J4" s="1770"/>
      <c r="K4" s="1770"/>
      <c r="L4" s="1770"/>
      <c r="M4" s="1770"/>
      <c r="N4" s="1770"/>
      <c r="O4" s="1771"/>
      <c r="P4" s="1770"/>
      <c r="Q4" s="1770"/>
      <c r="R4" s="1772" t="s">
        <v>1091</v>
      </c>
      <c r="S4" s="182"/>
      <c r="T4" s="182"/>
      <c r="U4" s="182"/>
      <c r="V4" s="182"/>
      <c r="W4" s="182"/>
      <c r="X4" s="182"/>
      <c r="Y4" s="182"/>
      <c r="Z4" s="182"/>
      <c r="AA4" s="182"/>
      <c r="AB4" s="182"/>
      <c r="AC4" s="182"/>
      <c r="AD4" s="182"/>
    </row>
    <row r="5" spans="2:37" s="1763" customFormat="1" ht="15" customHeight="1" x14ac:dyDescent="0.2">
      <c r="B5" s="1773" t="s">
        <v>4314</v>
      </c>
      <c r="C5" s="1774"/>
      <c r="D5" s="1774"/>
      <c r="E5" s="3086" t="str">
        <f>AgyIdx</f>
        <v>01</v>
      </c>
      <c r="F5" s="3086"/>
      <c r="G5" s="3086"/>
      <c r="H5" s="3086"/>
      <c r="I5" s="3086"/>
      <c r="J5" s="3086"/>
      <c r="K5" s="1775"/>
      <c r="L5" s="1773" t="s">
        <v>4315</v>
      </c>
      <c r="M5" s="1774"/>
      <c r="N5" s="1774"/>
      <c r="O5" s="3093" t="str">
        <f>CONCATENATE(Index!$E$12," ",Index!$E$14)</f>
        <v xml:space="preserve"> </v>
      </c>
      <c r="P5" s="3093"/>
      <c r="Q5" s="3093"/>
      <c r="R5" s="3093"/>
      <c r="S5" s="3093"/>
      <c r="T5" s="3093"/>
      <c r="U5" s="3093"/>
      <c r="V5" s="3093"/>
    </row>
    <row r="6" spans="2:37" s="1763" customFormat="1" ht="15" customHeight="1" x14ac:dyDescent="0.2">
      <c r="B6" s="1773" t="s">
        <v>4316</v>
      </c>
      <c r="C6" s="1774"/>
      <c r="D6" s="1774"/>
      <c r="E6" s="3109" t="str">
        <f>AgyName</f>
        <v>North Carolina General Assembly</v>
      </c>
      <c r="F6" s="3109"/>
      <c r="G6" s="3109"/>
      <c r="H6" s="3109"/>
      <c r="I6" s="3109"/>
      <c r="J6" s="3109"/>
      <c r="K6" s="1774"/>
      <c r="L6" s="1773" t="s">
        <v>4317</v>
      </c>
      <c r="M6" s="1774"/>
      <c r="N6" s="1774"/>
      <c r="O6" s="3098">
        <f>Index!E13</f>
        <v>0</v>
      </c>
      <c r="P6" s="3098"/>
      <c r="Q6" s="3098"/>
      <c r="R6" s="3098"/>
      <c r="S6" s="1776"/>
      <c r="T6" s="1776"/>
      <c r="U6" s="1776"/>
      <c r="V6" s="1776"/>
    </row>
    <row r="7" spans="2:37" s="1763" customFormat="1" ht="15" customHeight="1" x14ac:dyDescent="0.2">
      <c r="B7" s="1773" t="s">
        <v>4318</v>
      </c>
      <c r="C7" s="1774"/>
      <c r="D7" s="1777"/>
      <c r="E7" s="3097" t="s">
        <v>971</v>
      </c>
      <c r="F7" s="3097"/>
      <c r="G7" s="3097"/>
      <c r="H7" s="3097"/>
      <c r="I7" s="3097"/>
      <c r="J7" s="3097"/>
      <c r="K7" s="1774"/>
      <c r="L7" s="1778"/>
      <c r="M7" s="1778"/>
      <c r="N7" s="1778"/>
      <c r="O7" s="1778"/>
      <c r="P7" s="1778"/>
      <c r="Q7" s="1778"/>
      <c r="R7" s="1774"/>
      <c r="S7" s="1774"/>
      <c r="T7" s="1774"/>
      <c r="U7" s="1774"/>
      <c r="V7" s="1774"/>
    </row>
    <row r="8" spans="2:37" s="1763" customFormat="1" ht="15" customHeight="1" thickBot="1" x14ac:dyDescent="0.25">
      <c r="B8" s="1779"/>
      <c r="C8" s="1779"/>
      <c r="D8" s="1779"/>
      <c r="E8" s="1779"/>
      <c r="F8" s="1779"/>
      <c r="G8" s="1779"/>
      <c r="H8" s="1779"/>
      <c r="I8" s="1780"/>
      <c r="J8" s="1779"/>
      <c r="K8" s="1779"/>
      <c r="L8" s="1779"/>
      <c r="M8" s="1779"/>
      <c r="N8" s="1779"/>
      <c r="O8" s="1779"/>
      <c r="P8" s="1779"/>
      <c r="Q8" s="1779"/>
      <c r="R8" s="1779"/>
      <c r="S8" s="1774"/>
      <c r="T8" s="1774"/>
      <c r="U8" s="1774"/>
      <c r="V8" s="1774"/>
    </row>
    <row r="9" spans="2:37" s="1763" customFormat="1" ht="15" customHeight="1" x14ac:dyDescent="0.2">
      <c r="B9" s="1774"/>
      <c r="C9" s="1774"/>
      <c r="D9" s="1774"/>
      <c r="E9" s="1774"/>
      <c r="F9" s="1774"/>
      <c r="G9" s="1774"/>
      <c r="H9" s="1774"/>
      <c r="I9" s="1781"/>
      <c r="J9" s="1774"/>
      <c r="K9" s="1774"/>
      <c r="L9" s="1774"/>
      <c r="M9" s="1774"/>
      <c r="N9" s="1774"/>
      <c r="O9" s="1774"/>
      <c r="P9" s="1774"/>
      <c r="Q9" s="1774"/>
      <c r="R9" s="1774"/>
      <c r="S9" s="1774"/>
      <c r="T9" s="1774"/>
      <c r="U9" s="1774"/>
      <c r="V9" s="1774"/>
    </row>
    <row r="10" spans="2:37" s="1763" customFormat="1" ht="15" customHeight="1" thickBot="1" x14ac:dyDescent="0.25">
      <c r="B10" s="3088" t="s">
        <v>4319</v>
      </c>
      <c r="C10" s="3088"/>
      <c r="D10" s="3088"/>
      <c r="E10" s="3088"/>
      <c r="F10" s="3088"/>
      <c r="G10" s="3088"/>
      <c r="H10" s="3088"/>
      <c r="I10" s="1781"/>
      <c r="J10" s="3088" t="s">
        <v>4320</v>
      </c>
      <c r="K10" s="3088"/>
      <c r="L10" s="3088"/>
      <c r="M10" s="3088"/>
      <c r="N10" s="3088"/>
      <c r="O10" s="3088"/>
      <c r="P10" s="3088"/>
      <c r="Q10" s="1782"/>
      <c r="R10" s="1774"/>
      <c r="S10" s="1774"/>
      <c r="T10" s="1774"/>
      <c r="U10" s="1774"/>
      <c r="V10" s="1774"/>
    </row>
    <row r="11" spans="2:37" s="1763" customFormat="1" ht="15" customHeight="1" x14ac:dyDescent="0.2">
      <c r="B11" s="1774"/>
      <c r="C11" s="1774"/>
      <c r="D11" s="1774"/>
      <c r="E11" s="1774"/>
      <c r="F11" s="1782" t="s">
        <v>1155</v>
      </c>
      <c r="G11" s="1774"/>
      <c r="H11" s="1774"/>
      <c r="I11" s="1782"/>
      <c r="J11" s="1774"/>
      <c r="K11" s="1774"/>
      <c r="L11" s="1774"/>
      <c r="M11" s="1774"/>
      <c r="N11" s="1782" t="s">
        <v>1064</v>
      </c>
      <c r="O11" s="1774"/>
      <c r="P11" s="1774"/>
      <c r="Q11" s="1774"/>
      <c r="R11" s="1774"/>
      <c r="S11" s="1774"/>
      <c r="T11" s="1774"/>
      <c r="U11" s="1774"/>
      <c r="V11" s="1774"/>
    </row>
    <row r="12" spans="2:37" s="1763" customFormat="1" ht="15" customHeight="1" x14ac:dyDescent="0.2">
      <c r="B12" s="1783" t="s">
        <v>4304</v>
      </c>
      <c r="C12" s="1774"/>
      <c r="D12" s="1783" t="s">
        <v>1157</v>
      </c>
      <c r="E12" s="1774"/>
      <c r="F12" s="1782" t="s">
        <v>684</v>
      </c>
      <c r="G12" s="1774"/>
      <c r="H12" s="1774"/>
      <c r="I12" s="1782"/>
      <c r="J12" s="1782" t="s">
        <v>4304</v>
      </c>
      <c r="K12" s="1774"/>
      <c r="L12" s="1782" t="s">
        <v>1157</v>
      </c>
      <c r="M12" s="1774"/>
      <c r="N12" s="1782" t="s">
        <v>684</v>
      </c>
      <c r="O12" s="1774"/>
      <c r="P12" s="1774"/>
      <c r="Q12" s="1774"/>
      <c r="R12" s="1774"/>
      <c r="S12" s="1774"/>
      <c r="T12" s="1774"/>
      <c r="U12" s="1774"/>
      <c r="V12" s="1774"/>
    </row>
    <row r="13" spans="2:37" s="1763" customFormat="1" ht="15" customHeight="1" thickBot="1" x14ac:dyDescent="0.25">
      <c r="B13" s="1784" t="s">
        <v>685</v>
      </c>
      <c r="C13" s="1782"/>
      <c r="D13" s="1784" t="s">
        <v>685</v>
      </c>
      <c r="E13" s="1782"/>
      <c r="F13" s="1784" t="s">
        <v>685</v>
      </c>
      <c r="G13" s="1774"/>
      <c r="H13" s="1784" t="s">
        <v>1156</v>
      </c>
      <c r="I13" s="1782"/>
      <c r="J13" s="1784" t="s">
        <v>685</v>
      </c>
      <c r="K13" s="1782"/>
      <c r="L13" s="1784" t="s">
        <v>685</v>
      </c>
      <c r="M13" s="1782"/>
      <c r="N13" s="1784" t="s">
        <v>685</v>
      </c>
      <c r="O13" s="1774"/>
      <c r="P13" s="1784" t="s">
        <v>1156</v>
      </c>
      <c r="Q13" s="1782"/>
      <c r="R13" s="1784" t="s">
        <v>4321</v>
      </c>
      <c r="S13" s="1782"/>
      <c r="T13" s="1782"/>
      <c r="U13" s="1782"/>
      <c r="V13" s="1782"/>
      <c r="W13" s="1785"/>
      <c r="X13" s="1785"/>
      <c r="Y13" s="1785"/>
      <c r="Z13" s="1785"/>
      <c r="AA13" s="1785"/>
      <c r="AB13" s="1785"/>
      <c r="AC13" s="1785"/>
      <c r="AD13" s="1785"/>
    </row>
    <row r="14" spans="2:37" s="1763" customFormat="1" ht="15" customHeight="1" x14ac:dyDescent="0.2">
      <c r="B14" s="1786"/>
      <c r="C14" s="1787"/>
      <c r="D14" s="1788"/>
      <c r="E14" s="1787"/>
      <c r="F14" s="1788"/>
      <c r="G14" s="1787"/>
      <c r="H14" s="1789"/>
      <c r="I14" s="1774"/>
      <c r="J14" s="1790"/>
      <c r="K14" s="1791"/>
      <c r="L14" s="1788"/>
      <c r="M14" s="1787"/>
      <c r="N14" s="1788"/>
      <c r="O14" s="1774"/>
      <c r="P14" s="1789"/>
      <c r="Q14" s="1792"/>
      <c r="R14" s="1889"/>
      <c r="S14" s="1752" t="b">
        <f>IF(OR(T14=0,T14=4),TRUE, FALSE)</f>
        <v>1</v>
      </c>
      <c r="T14" s="1752">
        <f>COUNTIF(U14:X14,FALSE)</f>
        <v>0</v>
      </c>
      <c r="U14" s="1753" t="b">
        <f>ISBLANK(B14)</f>
        <v>1</v>
      </c>
      <c r="V14" s="1753" t="b">
        <f>ISBLANK(D14)</f>
        <v>1</v>
      </c>
      <c r="W14" s="1753" t="b">
        <f>ISBLANK(F14)</f>
        <v>1</v>
      </c>
      <c r="X14" s="1753" t="b">
        <f>ISBLANK(H14)</f>
        <v>1</v>
      </c>
      <c r="Y14" s="1752" t="b">
        <f>IF(OR(Z14=0,Z14=4),TRUE, FALSE)</f>
        <v>1</v>
      </c>
      <c r="Z14" s="1752">
        <f>COUNTIF(AA14:AD14,FALSE)</f>
        <v>0</v>
      </c>
      <c r="AA14" s="1753" t="b">
        <f>ISBLANK(J14)</f>
        <v>1</v>
      </c>
      <c r="AB14" s="1753" t="b">
        <f>ISBLANK(L14)</f>
        <v>1</v>
      </c>
      <c r="AC14" s="1753" t="b">
        <f>ISBLANK(N14)</f>
        <v>1</v>
      </c>
      <c r="AD14" s="1753" t="b">
        <f>ISBLANK(P14)</f>
        <v>1</v>
      </c>
      <c r="AE14" s="1754" t="b">
        <f>IF(ISBLANK(F14),TRUE,VALUE(LEFT(F14,4))=4381)</f>
        <v>1</v>
      </c>
      <c r="AF14" s="1754" t="b">
        <f>IF(ISBLANK(N14),TRUE,VALUE(LEFT(N14,4))=5381)</f>
        <v>1</v>
      </c>
    </row>
    <row r="15" spans="2:37" s="1763" customFormat="1" ht="15" customHeight="1" x14ac:dyDescent="0.2">
      <c r="B15" s="1786"/>
      <c r="C15" s="1787"/>
      <c r="D15" s="1788"/>
      <c r="E15" s="1787"/>
      <c r="F15" s="1788"/>
      <c r="G15" s="1787"/>
      <c r="H15" s="1789"/>
      <c r="I15" s="1774"/>
      <c r="J15" s="1790"/>
      <c r="K15" s="1791"/>
      <c r="L15" s="1788"/>
      <c r="M15" s="1787"/>
      <c r="N15" s="1788"/>
      <c r="O15" s="1774"/>
      <c r="P15" s="1789"/>
      <c r="Q15" s="1792"/>
      <c r="R15" s="1889"/>
      <c r="S15" s="1752" t="b">
        <f t="shared" ref="S15:S28" si="0">IF(OR(T15=0,T15=4),TRUE, FALSE)</f>
        <v>1</v>
      </c>
      <c r="T15" s="1752">
        <f t="shared" ref="T15:T28" si="1">COUNTIF(U15:X15,FALSE)</f>
        <v>0</v>
      </c>
      <c r="U15" s="1753" t="b">
        <f t="shared" ref="U15:U28" si="2">ISBLANK(B15)</f>
        <v>1</v>
      </c>
      <c r="V15" s="1753" t="b">
        <f t="shared" ref="V15:V28" si="3">ISBLANK(D15)</f>
        <v>1</v>
      </c>
      <c r="W15" s="1753" t="b">
        <f t="shared" ref="W15:W28" si="4">ISBLANK(F15)</f>
        <v>1</v>
      </c>
      <c r="X15" s="1753" t="b">
        <f t="shared" ref="X15:X28" si="5">ISBLANK(H15)</f>
        <v>1</v>
      </c>
      <c r="Y15" s="1752" t="b">
        <f t="shared" ref="Y15:Y28" si="6">IF(OR(Z15=0,Z15=4),TRUE, FALSE)</f>
        <v>1</v>
      </c>
      <c r="Z15" s="1752">
        <f t="shared" ref="Z15:Z28" si="7">COUNTIF(AA15:AD15,FALSE)</f>
        <v>0</v>
      </c>
      <c r="AA15" s="1753" t="b">
        <f t="shared" ref="AA15:AA28" si="8">ISBLANK(J15)</f>
        <v>1</v>
      </c>
      <c r="AB15" s="1753" t="b">
        <f t="shared" ref="AB15:AB28" si="9">ISBLANK(L15)</f>
        <v>1</v>
      </c>
      <c r="AC15" s="1753" t="b">
        <f t="shared" ref="AC15:AC28" si="10">ISBLANK(N15)</f>
        <v>1</v>
      </c>
      <c r="AD15" s="1753" t="b">
        <f t="shared" ref="AD15:AD28" si="11">ISBLANK(P15)</f>
        <v>1</v>
      </c>
      <c r="AE15" s="1754" t="b">
        <f t="shared" ref="AE15:AE28" si="12">IF(ISBLANK(F15),TRUE,VALUE(LEFT(F15,4))=4381)</f>
        <v>1</v>
      </c>
      <c r="AF15" s="1754" t="b">
        <f t="shared" ref="AF15:AF28" si="13">IF(ISBLANK(N15),TRUE,VALUE(LEFT(N15,4))=5381)</f>
        <v>1</v>
      </c>
    </row>
    <row r="16" spans="2:37" s="1763" customFormat="1" ht="15" customHeight="1" x14ac:dyDescent="0.2">
      <c r="B16" s="1790"/>
      <c r="C16" s="1787"/>
      <c r="D16" s="1788"/>
      <c r="E16" s="1787"/>
      <c r="F16" s="1788"/>
      <c r="G16" s="1787"/>
      <c r="H16" s="1789"/>
      <c r="I16" s="1774"/>
      <c r="J16" s="1790"/>
      <c r="K16" s="1791"/>
      <c r="L16" s="1788"/>
      <c r="M16" s="1787"/>
      <c r="N16" s="1788"/>
      <c r="O16" s="1774"/>
      <c r="P16" s="1789"/>
      <c r="Q16" s="1792"/>
      <c r="R16" s="1889"/>
      <c r="S16" s="1752" t="b">
        <f t="shared" si="0"/>
        <v>1</v>
      </c>
      <c r="T16" s="1752">
        <f t="shared" si="1"/>
        <v>0</v>
      </c>
      <c r="U16" s="1753" t="b">
        <f t="shared" si="2"/>
        <v>1</v>
      </c>
      <c r="V16" s="1753" t="b">
        <f t="shared" si="3"/>
        <v>1</v>
      </c>
      <c r="W16" s="1753" t="b">
        <f t="shared" si="4"/>
        <v>1</v>
      </c>
      <c r="X16" s="1753" t="b">
        <f t="shared" si="5"/>
        <v>1</v>
      </c>
      <c r="Y16" s="1752" t="b">
        <f t="shared" si="6"/>
        <v>1</v>
      </c>
      <c r="Z16" s="1752">
        <f t="shared" si="7"/>
        <v>0</v>
      </c>
      <c r="AA16" s="1753" t="b">
        <f t="shared" si="8"/>
        <v>1</v>
      </c>
      <c r="AB16" s="1753" t="b">
        <f t="shared" si="9"/>
        <v>1</v>
      </c>
      <c r="AC16" s="1753" t="b">
        <f t="shared" si="10"/>
        <v>1</v>
      </c>
      <c r="AD16" s="1753" t="b">
        <f t="shared" si="11"/>
        <v>1</v>
      </c>
      <c r="AE16" s="1754" t="b">
        <f t="shared" si="12"/>
        <v>1</v>
      </c>
      <c r="AF16" s="1754" t="b">
        <f t="shared" si="13"/>
        <v>1</v>
      </c>
    </row>
    <row r="17" spans="2:32" s="1763" customFormat="1" ht="15" customHeight="1" x14ac:dyDescent="0.2">
      <c r="B17" s="1790"/>
      <c r="C17" s="1787"/>
      <c r="D17" s="1788"/>
      <c r="E17" s="1787"/>
      <c r="F17" s="1788"/>
      <c r="G17" s="1787"/>
      <c r="H17" s="1789"/>
      <c r="I17" s="1774"/>
      <c r="J17" s="1790"/>
      <c r="K17" s="1791"/>
      <c r="L17" s="1788"/>
      <c r="M17" s="1787"/>
      <c r="N17" s="1788"/>
      <c r="O17" s="1774"/>
      <c r="P17" s="1789"/>
      <c r="Q17" s="1792"/>
      <c r="R17" s="1889"/>
      <c r="S17" s="1752" t="b">
        <f t="shared" si="0"/>
        <v>1</v>
      </c>
      <c r="T17" s="1752">
        <f t="shared" si="1"/>
        <v>0</v>
      </c>
      <c r="U17" s="1753" t="b">
        <f t="shared" si="2"/>
        <v>1</v>
      </c>
      <c r="V17" s="1753" t="b">
        <f t="shared" si="3"/>
        <v>1</v>
      </c>
      <c r="W17" s="1753" t="b">
        <f t="shared" si="4"/>
        <v>1</v>
      </c>
      <c r="X17" s="1753" t="b">
        <f t="shared" si="5"/>
        <v>1</v>
      </c>
      <c r="Y17" s="1752" t="b">
        <f t="shared" si="6"/>
        <v>1</v>
      </c>
      <c r="Z17" s="1752">
        <f t="shared" si="7"/>
        <v>0</v>
      </c>
      <c r="AA17" s="1753" t="b">
        <f t="shared" si="8"/>
        <v>1</v>
      </c>
      <c r="AB17" s="1753" t="b">
        <f t="shared" si="9"/>
        <v>1</v>
      </c>
      <c r="AC17" s="1753" t="b">
        <f t="shared" si="10"/>
        <v>1</v>
      </c>
      <c r="AD17" s="1753" t="b">
        <f t="shared" si="11"/>
        <v>1</v>
      </c>
      <c r="AE17" s="1754" t="b">
        <f t="shared" si="12"/>
        <v>1</v>
      </c>
      <c r="AF17" s="1754" t="b">
        <f t="shared" si="13"/>
        <v>1</v>
      </c>
    </row>
    <row r="18" spans="2:32" s="1763" customFormat="1" ht="15" customHeight="1" x14ac:dyDescent="0.2">
      <c r="B18" s="1790"/>
      <c r="C18" s="1787"/>
      <c r="D18" s="1788"/>
      <c r="E18" s="1787"/>
      <c r="F18" s="1788"/>
      <c r="G18" s="1787"/>
      <c r="H18" s="1789"/>
      <c r="I18" s="1774"/>
      <c r="J18" s="1790"/>
      <c r="K18" s="1791"/>
      <c r="L18" s="1788"/>
      <c r="M18" s="1787"/>
      <c r="N18" s="1788"/>
      <c r="O18" s="1774"/>
      <c r="P18" s="1789"/>
      <c r="Q18" s="1792"/>
      <c r="R18" s="1889"/>
      <c r="S18" s="1752" t="b">
        <f t="shared" si="0"/>
        <v>1</v>
      </c>
      <c r="T18" s="1752">
        <f t="shared" si="1"/>
        <v>0</v>
      </c>
      <c r="U18" s="1753" t="b">
        <f t="shared" si="2"/>
        <v>1</v>
      </c>
      <c r="V18" s="1753" t="b">
        <f t="shared" si="3"/>
        <v>1</v>
      </c>
      <c r="W18" s="1753" t="b">
        <f t="shared" si="4"/>
        <v>1</v>
      </c>
      <c r="X18" s="1753" t="b">
        <f t="shared" si="5"/>
        <v>1</v>
      </c>
      <c r="Y18" s="1752" t="b">
        <f t="shared" si="6"/>
        <v>1</v>
      </c>
      <c r="Z18" s="1752">
        <f t="shared" si="7"/>
        <v>0</v>
      </c>
      <c r="AA18" s="1753" t="b">
        <f t="shared" si="8"/>
        <v>1</v>
      </c>
      <c r="AB18" s="1753" t="b">
        <f t="shared" si="9"/>
        <v>1</v>
      </c>
      <c r="AC18" s="1753" t="b">
        <f t="shared" si="10"/>
        <v>1</v>
      </c>
      <c r="AD18" s="1753" t="b">
        <f t="shared" si="11"/>
        <v>1</v>
      </c>
      <c r="AE18" s="1754" t="b">
        <f t="shared" si="12"/>
        <v>1</v>
      </c>
      <c r="AF18" s="1754" t="b">
        <f t="shared" si="13"/>
        <v>1</v>
      </c>
    </row>
    <row r="19" spans="2:32" s="1763" customFormat="1" ht="15" customHeight="1" x14ac:dyDescent="0.2">
      <c r="B19" s="1790"/>
      <c r="C19" s="1787"/>
      <c r="D19" s="1788"/>
      <c r="E19" s="1787"/>
      <c r="F19" s="1788"/>
      <c r="G19" s="1787"/>
      <c r="H19" s="1789"/>
      <c r="I19" s="1774"/>
      <c r="J19" s="1790"/>
      <c r="K19" s="1791"/>
      <c r="L19" s="1788"/>
      <c r="M19" s="1787"/>
      <c r="N19" s="1788"/>
      <c r="O19" s="1774"/>
      <c r="P19" s="1789"/>
      <c r="Q19" s="1792"/>
      <c r="R19" s="1889"/>
      <c r="S19" s="1752" t="b">
        <f t="shared" si="0"/>
        <v>1</v>
      </c>
      <c r="T19" s="1752">
        <f t="shared" si="1"/>
        <v>0</v>
      </c>
      <c r="U19" s="1753" t="b">
        <f t="shared" si="2"/>
        <v>1</v>
      </c>
      <c r="V19" s="1753" t="b">
        <f t="shared" si="3"/>
        <v>1</v>
      </c>
      <c r="W19" s="1753" t="b">
        <f t="shared" si="4"/>
        <v>1</v>
      </c>
      <c r="X19" s="1753" t="b">
        <f t="shared" si="5"/>
        <v>1</v>
      </c>
      <c r="Y19" s="1752" t="b">
        <f t="shared" si="6"/>
        <v>1</v>
      </c>
      <c r="Z19" s="1752">
        <f t="shared" si="7"/>
        <v>0</v>
      </c>
      <c r="AA19" s="1753" t="b">
        <f t="shared" si="8"/>
        <v>1</v>
      </c>
      <c r="AB19" s="1753" t="b">
        <f t="shared" si="9"/>
        <v>1</v>
      </c>
      <c r="AC19" s="1753" t="b">
        <f t="shared" si="10"/>
        <v>1</v>
      </c>
      <c r="AD19" s="1753" t="b">
        <f t="shared" si="11"/>
        <v>1</v>
      </c>
      <c r="AE19" s="1754" t="b">
        <f t="shared" si="12"/>
        <v>1</v>
      </c>
      <c r="AF19" s="1754" t="b">
        <f t="shared" si="13"/>
        <v>1</v>
      </c>
    </row>
    <row r="20" spans="2:32" s="1763" customFormat="1" ht="15" customHeight="1" x14ac:dyDescent="0.2">
      <c r="B20" s="1790"/>
      <c r="C20" s="1787"/>
      <c r="D20" s="1788"/>
      <c r="E20" s="1787"/>
      <c r="F20" s="1788"/>
      <c r="G20" s="1787"/>
      <c r="H20" s="1789"/>
      <c r="I20" s="1774"/>
      <c r="J20" s="1790"/>
      <c r="K20" s="1791"/>
      <c r="L20" s="1788"/>
      <c r="M20" s="1787"/>
      <c r="N20" s="1788"/>
      <c r="O20" s="1774"/>
      <c r="P20" s="1789"/>
      <c r="Q20" s="1792"/>
      <c r="R20" s="1889"/>
      <c r="S20" s="1752" t="b">
        <f t="shared" si="0"/>
        <v>1</v>
      </c>
      <c r="T20" s="1752">
        <f t="shared" si="1"/>
        <v>0</v>
      </c>
      <c r="U20" s="1753" t="b">
        <f t="shared" si="2"/>
        <v>1</v>
      </c>
      <c r="V20" s="1753" t="b">
        <f t="shared" si="3"/>
        <v>1</v>
      </c>
      <c r="W20" s="1753" t="b">
        <f t="shared" si="4"/>
        <v>1</v>
      </c>
      <c r="X20" s="1753" t="b">
        <f t="shared" si="5"/>
        <v>1</v>
      </c>
      <c r="Y20" s="1752" t="b">
        <f t="shared" si="6"/>
        <v>1</v>
      </c>
      <c r="Z20" s="1752">
        <f t="shared" si="7"/>
        <v>0</v>
      </c>
      <c r="AA20" s="1753" t="b">
        <f t="shared" si="8"/>
        <v>1</v>
      </c>
      <c r="AB20" s="1753" t="b">
        <f t="shared" si="9"/>
        <v>1</v>
      </c>
      <c r="AC20" s="1753" t="b">
        <f t="shared" si="10"/>
        <v>1</v>
      </c>
      <c r="AD20" s="1753" t="b">
        <f t="shared" si="11"/>
        <v>1</v>
      </c>
      <c r="AE20" s="1754" t="b">
        <f t="shared" si="12"/>
        <v>1</v>
      </c>
      <c r="AF20" s="1754" t="b">
        <f t="shared" si="13"/>
        <v>1</v>
      </c>
    </row>
    <row r="21" spans="2:32" s="1763" customFormat="1" ht="15" customHeight="1" x14ac:dyDescent="0.2">
      <c r="B21" s="1790"/>
      <c r="C21" s="1787"/>
      <c r="D21" s="1788"/>
      <c r="E21" s="1787"/>
      <c r="F21" s="1788"/>
      <c r="G21" s="1787"/>
      <c r="H21" s="1789"/>
      <c r="I21" s="1774"/>
      <c r="J21" s="1790"/>
      <c r="K21" s="1791"/>
      <c r="L21" s="1788"/>
      <c r="M21" s="1787"/>
      <c r="N21" s="1788"/>
      <c r="O21" s="1774"/>
      <c r="P21" s="1789"/>
      <c r="Q21" s="1792"/>
      <c r="R21" s="1889"/>
      <c r="S21" s="1752" t="b">
        <f t="shared" si="0"/>
        <v>1</v>
      </c>
      <c r="T21" s="1752">
        <f t="shared" si="1"/>
        <v>0</v>
      </c>
      <c r="U21" s="1753" t="b">
        <f t="shared" si="2"/>
        <v>1</v>
      </c>
      <c r="V21" s="1753" t="b">
        <f t="shared" si="3"/>
        <v>1</v>
      </c>
      <c r="W21" s="1753" t="b">
        <f t="shared" si="4"/>
        <v>1</v>
      </c>
      <c r="X21" s="1753" t="b">
        <f t="shared" si="5"/>
        <v>1</v>
      </c>
      <c r="Y21" s="1752" t="b">
        <f t="shared" si="6"/>
        <v>1</v>
      </c>
      <c r="Z21" s="1752">
        <f t="shared" si="7"/>
        <v>0</v>
      </c>
      <c r="AA21" s="1753" t="b">
        <f t="shared" si="8"/>
        <v>1</v>
      </c>
      <c r="AB21" s="1753" t="b">
        <f t="shared" si="9"/>
        <v>1</v>
      </c>
      <c r="AC21" s="1753" t="b">
        <f t="shared" si="10"/>
        <v>1</v>
      </c>
      <c r="AD21" s="1753" t="b">
        <f t="shared" si="11"/>
        <v>1</v>
      </c>
      <c r="AE21" s="1754" t="b">
        <f t="shared" si="12"/>
        <v>1</v>
      </c>
      <c r="AF21" s="1754" t="b">
        <f t="shared" si="13"/>
        <v>1</v>
      </c>
    </row>
    <row r="22" spans="2:32" s="1763" customFormat="1" ht="15" customHeight="1" x14ac:dyDescent="0.2">
      <c r="B22" s="1790"/>
      <c r="C22" s="1787"/>
      <c r="D22" s="1788"/>
      <c r="E22" s="1787"/>
      <c r="F22" s="1788"/>
      <c r="G22" s="1787"/>
      <c r="H22" s="1789"/>
      <c r="I22" s="1774"/>
      <c r="J22" s="1790"/>
      <c r="K22" s="1791"/>
      <c r="L22" s="1788"/>
      <c r="M22" s="1787"/>
      <c r="N22" s="1788"/>
      <c r="O22" s="1774"/>
      <c r="P22" s="1789"/>
      <c r="Q22" s="1792"/>
      <c r="R22" s="1889"/>
      <c r="S22" s="1752" t="b">
        <f t="shared" si="0"/>
        <v>1</v>
      </c>
      <c r="T22" s="1752">
        <f t="shared" si="1"/>
        <v>0</v>
      </c>
      <c r="U22" s="1753" t="b">
        <f t="shared" si="2"/>
        <v>1</v>
      </c>
      <c r="V22" s="1753" t="b">
        <f t="shared" si="3"/>
        <v>1</v>
      </c>
      <c r="W22" s="1753" t="b">
        <f t="shared" si="4"/>
        <v>1</v>
      </c>
      <c r="X22" s="1753" t="b">
        <f t="shared" si="5"/>
        <v>1</v>
      </c>
      <c r="Y22" s="1752" t="b">
        <f t="shared" si="6"/>
        <v>1</v>
      </c>
      <c r="Z22" s="1752">
        <f t="shared" si="7"/>
        <v>0</v>
      </c>
      <c r="AA22" s="1753" t="b">
        <f t="shared" si="8"/>
        <v>1</v>
      </c>
      <c r="AB22" s="1753" t="b">
        <f t="shared" si="9"/>
        <v>1</v>
      </c>
      <c r="AC22" s="1753" t="b">
        <f t="shared" si="10"/>
        <v>1</v>
      </c>
      <c r="AD22" s="1753" t="b">
        <f t="shared" si="11"/>
        <v>1</v>
      </c>
      <c r="AE22" s="1754" t="b">
        <f t="shared" si="12"/>
        <v>1</v>
      </c>
      <c r="AF22" s="1754" t="b">
        <f t="shared" si="13"/>
        <v>1</v>
      </c>
    </row>
    <row r="23" spans="2:32" s="1763" customFormat="1" ht="15" customHeight="1" x14ac:dyDescent="0.2">
      <c r="B23" s="1790"/>
      <c r="C23" s="1787"/>
      <c r="D23" s="1788"/>
      <c r="E23" s="1787"/>
      <c r="F23" s="1788"/>
      <c r="G23" s="1787"/>
      <c r="H23" s="1789"/>
      <c r="I23" s="1774"/>
      <c r="J23" s="1790"/>
      <c r="K23" s="1791"/>
      <c r="L23" s="1788"/>
      <c r="M23" s="1787"/>
      <c r="N23" s="1788"/>
      <c r="O23" s="1774"/>
      <c r="P23" s="1789"/>
      <c r="Q23" s="1792"/>
      <c r="R23" s="1889"/>
      <c r="S23" s="1752" t="b">
        <f t="shared" si="0"/>
        <v>1</v>
      </c>
      <c r="T23" s="1752">
        <f t="shared" si="1"/>
        <v>0</v>
      </c>
      <c r="U23" s="1753" t="b">
        <f t="shared" si="2"/>
        <v>1</v>
      </c>
      <c r="V23" s="1753" t="b">
        <f t="shared" si="3"/>
        <v>1</v>
      </c>
      <c r="W23" s="1753" t="b">
        <f t="shared" si="4"/>
        <v>1</v>
      </c>
      <c r="X23" s="1753" t="b">
        <f t="shared" si="5"/>
        <v>1</v>
      </c>
      <c r="Y23" s="1752" t="b">
        <f t="shared" si="6"/>
        <v>1</v>
      </c>
      <c r="Z23" s="1752">
        <f t="shared" si="7"/>
        <v>0</v>
      </c>
      <c r="AA23" s="1753" t="b">
        <f t="shared" si="8"/>
        <v>1</v>
      </c>
      <c r="AB23" s="1753" t="b">
        <f t="shared" si="9"/>
        <v>1</v>
      </c>
      <c r="AC23" s="1753" t="b">
        <f t="shared" si="10"/>
        <v>1</v>
      </c>
      <c r="AD23" s="1753" t="b">
        <f t="shared" si="11"/>
        <v>1</v>
      </c>
      <c r="AE23" s="1754" t="b">
        <f t="shared" si="12"/>
        <v>1</v>
      </c>
      <c r="AF23" s="1754" t="b">
        <f t="shared" si="13"/>
        <v>1</v>
      </c>
    </row>
    <row r="24" spans="2:32" s="1763" customFormat="1" ht="15" customHeight="1" x14ac:dyDescent="0.2">
      <c r="B24" s="1790"/>
      <c r="C24" s="1787"/>
      <c r="D24" s="1788"/>
      <c r="E24" s="1787"/>
      <c r="F24" s="1788"/>
      <c r="G24" s="1787"/>
      <c r="H24" s="1789"/>
      <c r="I24" s="1774"/>
      <c r="J24" s="1790"/>
      <c r="K24" s="1791"/>
      <c r="L24" s="1788"/>
      <c r="M24" s="1787"/>
      <c r="N24" s="1788"/>
      <c r="O24" s="1774"/>
      <c r="P24" s="1789"/>
      <c r="Q24" s="1792"/>
      <c r="R24" s="1889"/>
      <c r="S24" s="1752" t="b">
        <f t="shared" si="0"/>
        <v>1</v>
      </c>
      <c r="T24" s="1752">
        <f t="shared" si="1"/>
        <v>0</v>
      </c>
      <c r="U24" s="1753" t="b">
        <f t="shared" si="2"/>
        <v>1</v>
      </c>
      <c r="V24" s="1753" t="b">
        <f t="shared" si="3"/>
        <v>1</v>
      </c>
      <c r="W24" s="1753" t="b">
        <f t="shared" si="4"/>
        <v>1</v>
      </c>
      <c r="X24" s="1753" t="b">
        <f t="shared" si="5"/>
        <v>1</v>
      </c>
      <c r="Y24" s="1752" t="b">
        <f t="shared" si="6"/>
        <v>1</v>
      </c>
      <c r="Z24" s="1752">
        <f t="shared" si="7"/>
        <v>0</v>
      </c>
      <c r="AA24" s="1753" t="b">
        <f t="shared" si="8"/>
        <v>1</v>
      </c>
      <c r="AB24" s="1753" t="b">
        <f t="shared" si="9"/>
        <v>1</v>
      </c>
      <c r="AC24" s="1753" t="b">
        <f t="shared" si="10"/>
        <v>1</v>
      </c>
      <c r="AD24" s="1753" t="b">
        <f t="shared" si="11"/>
        <v>1</v>
      </c>
      <c r="AE24" s="1754" t="b">
        <f t="shared" si="12"/>
        <v>1</v>
      </c>
      <c r="AF24" s="1754" t="b">
        <f t="shared" si="13"/>
        <v>1</v>
      </c>
    </row>
    <row r="25" spans="2:32" s="1763" customFormat="1" ht="15" customHeight="1" x14ac:dyDescent="0.2">
      <c r="B25" s="1790"/>
      <c r="C25" s="1787"/>
      <c r="D25" s="1788"/>
      <c r="E25" s="1787"/>
      <c r="F25" s="1788"/>
      <c r="G25" s="1787"/>
      <c r="H25" s="1789"/>
      <c r="I25" s="1774"/>
      <c r="J25" s="1790"/>
      <c r="K25" s="1791"/>
      <c r="L25" s="1788"/>
      <c r="M25" s="1787"/>
      <c r="N25" s="1788"/>
      <c r="O25" s="1774"/>
      <c r="P25" s="1789"/>
      <c r="Q25" s="1792"/>
      <c r="R25" s="1889"/>
      <c r="S25" s="1752" t="b">
        <f t="shared" si="0"/>
        <v>1</v>
      </c>
      <c r="T25" s="1752">
        <f t="shared" si="1"/>
        <v>0</v>
      </c>
      <c r="U25" s="1753" t="b">
        <f t="shared" si="2"/>
        <v>1</v>
      </c>
      <c r="V25" s="1753" t="b">
        <f t="shared" si="3"/>
        <v>1</v>
      </c>
      <c r="W25" s="1753" t="b">
        <f t="shared" si="4"/>
        <v>1</v>
      </c>
      <c r="X25" s="1753" t="b">
        <f t="shared" si="5"/>
        <v>1</v>
      </c>
      <c r="Y25" s="1752" t="b">
        <f t="shared" si="6"/>
        <v>1</v>
      </c>
      <c r="Z25" s="1752">
        <f t="shared" si="7"/>
        <v>0</v>
      </c>
      <c r="AA25" s="1753" t="b">
        <f t="shared" si="8"/>
        <v>1</v>
      </c>
      <c r="AB25" s="1753" t="b">
        <f t="shared" si="9"/>
        <v>1</v>
      </c>
      <c r="AC25" s="1753" t="b">
        <f t="shared" si="10"/>
        <v>1</v>
      </c>
      <c r="AD25" s="1753" t="b">
        <f t="shared" si="11"/>
        <v>1</v>
      </c>
      <c r="AE25" s="1754" t="b">
        <f t="shared" si="12"/>
        <v>1</v>
      </c>
      <c r="AF25" s="1754" t="b">
        <f t="shared" si="13"/>
        <v>1</v>
      </c>
    </row>
    <row r="26" spans="2:32" s="1763" customFormat="1" ht="15" customHeight="1" x14ac:dyDescent="0.2">
      <c r="B26" s="1790"/>
      <c r="C26" s="1787"/>
      <c r="D26" s="1788"/>
      <c r="E26" s="1787"/>
      <c r="F26" s="1788"/>
      <c r="G26" s="1787"/>
      <c r="H26" s="1789"/>
      <c r="I26" s="1774"/>
      <c r="J26" s="1790"/>
      <c r="K26" s="1791"/>
      <c r="L26" s="1788"/>
      <c r="M26" s="1787"/>
      <c r="N26" s="1788"/>
      <c r="O26" s="1774"/>
      <c r="P26" s="1789"/>
      <c r="Q26" s="1792"/>
      <c r="R26" s="1889"/>
      <c r="S26" s="1752" t="b">
        <f t="shared" si="0"/>
        <v>1</v>
      </c>
      <c r="T26" s="1752">
        <f t="shared" si="1"/>
        <v>0</v>
      </c>
      <c r="U26" s="1753" t="b">
        <f t="shared" si="2"/>
        <v>1</v>
      </c>
      <c r="V26" s="1753" t="b">
        <f t="shared" si="3"/>
        <v>1</v>
      </c>
      <c r="W26" s="1753" t="b">
        <f t="shared" si="4"/>
        <v>1</v>
      </c>
      <c r="X26" s="1753" t="b">
        <f t="shared" si="5"/>
        <v>1</v>
      </c>
      <c r="Y26" s="1752" t="b">
        <f t="shared" si="6"/>
        <v>1</v>
      </c>
      <c r="Z26" s="1752">
        <f t="shared" si="7"/>
        <v>0</v>
      </c>
      <c r="AA26" s="1753" t="b">
        <f t="shared" si="8"/>
        <v>1</v>
      </c>
      <c r="AB26" s="1753" t="b">
        <f t="shared" si="9"/>
        <v>1</v>
      </c>
      <c r="AC26" s="1753" t="b">
        <f t="shared" si="10"/>
        <v>1</v>
      </c>
      <c r="AD26" s="1753" t="b">
        <f t="shared" si="11"/>
        <v>1</v>
      </c>
      <c r="AE26" s="1754" t="b">
        <f t="shared" si="12"/>
        <v>1</v>
      </c>
      <c r="AF26" s="1754" t="b">
        <f t="shared" si="13"/>
        <v>1</v>
      </c>
    </row>
    <row r="27" spans="2:32" s="1763" customFormat="1" ht="15" customHeight="1" x14ac:dyDescent="0.2">
      <c r="B27" s="1790"/>
      <c r="C27" s="1787"/>
      <c r="D27" s="1788"/>
      <c r="E27" s="1787"/>
      <c r="F27" s="1788"/>
      <c r="G27" s="1787"/>
      <c r="H27" s="1789"/>
      <c r="I27" s="1774"/>
      <c r="J27" s="1790"/>
      <c r="K27" s="1791"/>
      <c r="L27" s="1788"/>
      <c r="M27" s="1787"/>
      <c r="N27" s="1788"/>
      <c r="O27" s="1774"/>
      <c r="P27" s="1789"/>
      <c r="Q27" s="1792"/>
      <c r="R27" s="1889"/>
      <c r="S27" s="1752" t="b">
        <f t="shared" si="0"/>
        <v>1</v>
      </c>
      <c r="T27" s="1752">
        <f t="shared" si="1"/>
        <v>0</v>
      </c>
      <c r="U27" s="1753" t="b">
        <f t="shared" si="2"/>
        <v>1</v>
      </c>
      <c r="V27" s="1753" t="b">
        <f t="shared" si="3"/>
        <v>1</v>
      </c>
      <c r="W27" s="1753" t="b">
        <f t="shared" si="4"/>
        <v>1</v>
      </c>
      <c r="X27" s="1753" t="b">
        <f t="shared" si="5"/>
        <v>1</v>
      </c>
      <c r="Y27" s="1752" t="b">
        <f t="shared" si="6"/>
        <v>1</v>
      </c>
      <c r="Z27" s="1752">
        <f t="shared" si="7"/>
        <v>0</v>
      </c>
      <c r="AA27" s="1753" t="b">
        <f t="shared" si="8"/>
        <v>1</v>
      </c>
      <c r="AB27" s="1753" t="b">
        <f t="shared" si="9"/>
        <v>1</v>
      </c>
      <c r="AC27" s="1753" t="b">
        <f t="shared" si="10"/>
        <v>1</v>
      </c>
      <c r="AD27" s="1753" t="b">
        <f t="shared" si="11"/>
        <v>1</v>
      </c>
      <c r="AE27" s="1754" t="b">
        <f t="shared" si="12"/>
        <v>1</v>
      </c>
      <c r="AF27" s="1754" t="b">
        <f t="shared" si="13"/>
        <v>1</v>
      </c>
    </row>
    <row r="28" spans="2:32" s="1763" customFormat="1" ht="15" customHeight="1" x14ac:dyDescent="0.2">
      <c r="B28" s="1790"/>
      <c r="C28" s="1787"/>
      <c r="D28" s="1788"/>
      <c r="E28" s="1787"/>
      <c r="F28" s="1788"/>
      <c r="G28" s="1787"/>
      <c r="H28" s="1789"/>
      <c r="I28" s="1774"/>
      <c r="J28" s="1790"/>
      <c r="K28" s="1791"/>
      <c r="L28" s="1788"/>
      <c r="M28" s="1787"/>
      <c r="N28" s="1788"/>
      <c r="O28" s="1774"/>
      <c r="P28" s="1789"/>
      <c r="Q28" s="1792"/>
      <c r="R28" s="1889"/>
      <c r="S28" s="1752" t="b">
        <f t="shared" si="0"/>
        <v>1</v>
      </c>
      <c r="T28" s="1752">
        <f t="shared" si="1"/>
        <v>0</v>
      </c>
      <c r="U28" s="1753" t="b">
        <f t="shared" si="2"/>
        <v>1</v>
      </c>
      <c r="V28" s="1753" t="b">
        <f t="shared" si="3"/>
        <v>1</v>
      </c>
      <c r="W28" s="1753" t="b">
        <f t="shared" si="4"/>
        <v>1</v>
      </c>
      <c r="X28" s="1753" t="b">
        <f t="shared" si="5"/>
        <v>1</v>
      </c>
      <c r="Y28" s="1752" t="b">
        <f t="shared" si="6"/>
        <v>1</v>
      </c>
      <c r="Z28" s="1752">
        <f t="shared" si="7"/>
        <v>0</v>
      </c>
      <c r="AA28" s="1753" t="b">
        <f t="shared" si="8"/>
        <v>1</v>
      </c>
      <c r="AB28" s="1753" t="b">
        <f t="shared" si="9"/>
        <v>1</v>
      </c>
      <c r="AC28" s="1753" t="b">
        <f t="shared" si="10"/>
        <v>1</v>
      </c>
      <c r="AD28" s="1753" t="b">
        <f t="shared" si="11"/>
        <v>1</v>
      </c>
      <c r="AE28" s="1754" t="b">
        <f t="shared" si="12"/>
        <v>1</v>
      </c>
      <c r="AF28" s="1754" t="b">
        <f t="shared" si="13"/>
        <v>1</v>
      </c>
    </row>
    <row r="29" spans="2:32" s="1763" customFormat="1" ht="15" customHeight="1" x14ac:dyDescent="0.2">
      <c r="B29" s="1774"/>
      <c r="C29" s="1774"/>
      <c r="D29" s="1774"/>
      <c r="E29" s="1774"/>
      <c r="F29" s="1782"/>
      <c r="G29" s="1782"/>
      <c r="H29" s="1793"/>
      <c r="I29" s="1774"/>
      <c r="J29" s="1774"/>
      <c r="K29" s="1774"/>
      <c r="L29" s="1774"/>
      <c r="M29" s="1774"/>
      <c r="N29" s="1782"/>
      <c r="O29" s="1782"/>
      <c r="P29" s="1793"/>
      <c r="Q29" s="1793"/>
      <c r="R29" s="1794"/>
      <c r="S29" s="1752">
        <f>COUNTIF(S14:S28,FALSE)</f>
        <v>0</v>
      </c>
      <c r="T29" s="1795"/>
      <c r="U29" s="1795"/>
      <c r="V29" s="1795"/>
      <c r="W29" s="1759"/>
      <c r="X29" s="1759"/>
      <c r="Y29" s="1752">
        <f>COUNTIF(Y14:Y28,FALSE)</f>
        <v>0</v>
      </c>
      <c r="Z29" s="1759"/>
      <c r="AA29" s="1759"/>
      <c r="AB29" s="1759"/>
      <c r="AC29" s="1759"/>
      <c r="AD29" s="1759"/>
      <c r="AE29" s="1759">
        <f>COUNTIF(AE14:AE28,FALSE)</f>
        <v>0</v>
      </c>
      <c r="AF29" s="1759">
        <f>COUNTIF(AF14:AF28,FALSE)</f>
        <v>0</v>
      </c>
    </row>
    <row r="30" spans="2:32" s="1796" customFormat="1" ht="21.75" customHeight="1" x14ac:dyDescent="0.2">
      <c r="F30" s="3107"/>
      <c r="G30" s="3107"/>
      <c r="H30" s="3107"/>
      <c r="M30" s="3108"/>
      <c r="N30" s="3108"/>
      <c r="O30" s="1797"/>
      <c r="P30" s="1798"/>
      <c r="Q30" s="1798"/>
      <c r="R30" s="1759"/>
    </row>
    <row r="31" spans="2:32" ht="20.85" customHeight="1" x14ac:dyDescent="0.25"/>
    <row r="32" spans="2:32" ht="20.85" customHeight="1" x14ac:dyDescent="0.25"/>
    <row r="33" spans="1:30" ht="20.85" customHeight="1" x14ac:dyDescent="0.25">
      <c r="A33" s="794" t="str">
        <f ca="1">MID(CELL("filename",A3),FIND("]",CELL("filename",A3))+1,256)</f>
        <v>560</v>
      </c>
      <c r="B33" s="1799"/>
    </row>
    <row r="34" spans="1:30" ht="20.85" customHeight="1" x14ac:dyDescent="0.25">
      <c r="A34" s="794" t="s">
        <v>446</v>
      </c>
      <c r="B34" s="1161"/>
    </row>
    <row r="35" spans="1:30" ht="20.85" customHeight="1" x14ac:dyDescent="0.25">
      <c r="A35" s="794" t="s">
        <v>447</v>
      </c>
      <c r="B35" s="794" t="s">
        <v>4128</v>
      </c>
    </row>
    <row r="36" spans="1:30" ht="20.85" customHeight="1" x14ac:dyDescent="0.25">
      <c r="A36" s="794" t="s">
        <v>448</v>
      </c>
      <c r="B36" s="794" t="s">
        <v>4128</v>
      </c>
    </row>
    <row r="37" spans="1:30" ht="20.85" customHeight="1" x14ac:dyDescent="0.25">
      <c r="A37" s="794" t="s">
        <v>450</v>
      </c>
      <c r="B37" s="794" t="s">
        <v>4128</v>
      </c>
      <c r="F37" s="1768" t="s">
        <v>973</v>
      </c>
      <c r="N37" s="1768" t="s">
        <v>973</v>
      </c>
      <c r="R37" s="1768" t="s">
        <v>973</v>
      </c>
    </row>
    <row r="38" spans="1:30" ht="20.85" customHeight="1" x14ac:dyDescent="0.25">
      <c r="A38" s="794" t="s">
        <v>451</v>
      </c>
      <c r="B38" s="794" t="s">
        <v>4128</v>
      </c>
    </row>
    <row r="39" spans="1:30" ht="20.85" customHeight="1" x14ac:dyDescent="0.25">
      <c r="A39" s="794" t="s">
        <v>452</v>
      </c>
      <c r="B39" s="794" t="s">
        <v>4128</v>
      </c>
    </row>
    <row r="40" spans="1:30" ht="20.85" customHeight="1" x14ac:dyDescent="0.25">
      <c r="A40" s="794" t="s">
        <v>453</v>
      </c>
      <c r="B40" s="794" t="s">
        <v>4128</v>
      </c>
    </row>
    <row r="41" spans="1:30" ht="20.85" customHeight="1" x14ac:dyDescent="0.25">
      <c r="A41" s="794" t="s">
        <v>454</v>
      </c>
      <c r="B41" s="794" t="s">
        <v>4128</v>
      </c>
    </row>
    <row r="42" spans="1:30" ht="20.85" customHeight="1" x14ac:dyDescent="0.25">
      <c r="A42" s="794" t="s">
        <v>455</v>
      </c>
      <c r="B42" s="794" t="s">
        <v>4128</v>
      </c>
    </row>
    <row r="43" spans="1:30" ht="20.85" customHeight="1" x14ac:dyDescent="0.25">
      <c r="A43" s="794" t="s">
        <v>456</v>
      </c>
      <c r="B43" s="794" t="s">
        <v>4128</v>
      </c>
    </row>
    <row r="44" spans="1:30" ht="20.85" customHeight="1" x14ac:dyDescent="0.25">
      <c r="F44" s="1768" t="s">
        <v>973</v>
      </c>
    </row>
    <row r="45" spans="1:30" ht="20.85" customHeight="1" x14ac:dyDescent="0.25"/>
    <row r="46" spans="1:30" ht="20.85" customHeight="1" x14ac:dyDescent="0.25"/>
    <row r="47" spans="1:30" ht="20.85" customHeight="1" x14ac:dyDescent="0.25">
      <c r="F47" s="1800" t="s">
        <v>973</v>
      </c>
      <c r="G47" s="1800"/>
      <c r="M47" s="1800"/>
      <c r="N47" s="1801" t="s">
        <v>973</v>
      </c>
      <c r="O47" s="1801"/>
      <c r="R47" s="1800" t="s">
        <v>973</v>
      </c>
      <c r="S47" s="1800"/>
      <c r="T47" s="1800"/>
      <c r="U47" s="1800"/>
      <c r="V47" s="1800"/>
      <c r="W47" s="1800"/>
      <c r="X47" s="1800"/>
      <c r="Y47" s="1800"/>
      <c r="Z47" s="1800"/>
      <c r="AA47" s="1800"/>
      <c r="AB47" s="1800"/>
      <c r="AC47" s="1800"/>
      <c r="AD47" s="1800"/>
    </row>
  </sheetData>
  <sheetProtection algorithmName="SHA-512" hashValue="MtOmG/lWR1T7sjwadRcs0x8ggyIj+Tvjn2vcUvTWT01nFNvoyXG0AuJn7+ZGTM57FuGcL32EHkioin8+a+eRmw==" saltValue="TyD7eTUYKJ5yctZHDxwW7g==" spinCount="100000" sheet="1" objects="1" scenarios="1" autoFilter="0"/>
  <dataConsolidate link="1"/>
  <mergeCells count="13">
    <mergeCell ref="F30:H30"/>
    <mergeCell ref="M30:N30"/>
    <mergeCell ref="B1:R1"/>
    <mergeCell ref="AK1:AK3"/>
    <mergeCell ref="B2:R2"/>
    <mergeCell ref="B3:R3"/>
    <mergeCell ref="E5:J5"/>
    <mergeCell ref="O5:V5"/>
    <mergeCell ref="E6:J6"/>
    <mergeCell ref="O6:R6"/>
    <mergeCell ref="E7:J7"/>
    <mergeCell ref="B10:H10"/>
    <mergeCell ref="J10:P10"/>
  </mergeCells>
  <conditionalFormatting sqref="S1:AD4">
    <cfRule type="cellIs" dxfId="53" priority="3" stopIfTrue="1" operator="equal">
      <formula>"na"</formula>
    </cfRule>
  </conditionalFormatting>
  <conditionalFormatting sqref="AK1:AK3">
    <cfRule type="cellIs" dxfId="52" priority="1" stopIfTrue="1" operator="equal">
      <formula>"na"</formula>
    </cfRule>
  </conditionalFormatting>
  <dataValidations count="2">
    <dataValidation type="textLength" operator="equal" allowBlank="1" showInputMessage="1" showErrorMessage="1" errorTitle="Invalid data!" error="GASB number must be 4 digits." sqref="D14:D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WBU14:WBU28 WLQ14:WLQ28 WVM14:WVM28 D65545:D65559 JA65545:JA65559 SW65545:SW65559 ACS65545:ACS65559 AMO65545:AMO65559 AWK65545:AWK65559 BGG65545:BGG65559 BQC65545:BQC65559 BZY65545:BZY65559 CJU65545:CJU65559 CTQ65545:CTQ65559 DDM65545:DDM65559 DNI65545:DNI65559 DXE65545:DXE65559 EHA65545:EHA65559 EQW65545:EQW65559 FAS65545:FAS65559 FKO65545:FKO65559 FUK65545:FUK65559 GEG65545:GEG65559 GOC65545:GOC65559 GXY65545:GXY65559 HHU65545:HHU65559 HRQ65545:HRQ65559 IBM65545:IBM65559 ILI65545:ILI65559 IVE65545:IVE65559 JFA65545:JFA65559 JOW65545:JOW65559 JYS65545:JYS65559 KIO65545:KIO65559 KSK65545:KSK65559 LCG65545:LCG65559 LMC65545:LMC65559 LVY65545:LVY65559 MFU65545:MFU65559 MPQ65545:MPQ65559 MZM65545:MZM65559 NJI65545:NJI65559 NTE65545:NTE65559 ODA65545:ODA65559 OMW65545:OMW65559 OWS65545:OWS65559 PGO65545:PGO65559 PQK65545:PQK65559 QAG65545:QAG65559 QKC65545:QKC65559 QTY65545:QTY65559 RDU65545:RDU65559 RNQ65545:RNQ65559 RXM65545:RXM65559 SHI65545:SHI65559 SRE65545:SRE65559 TBA65545:TBA65559 TKW65545:TKW65559 TUS65545:TUS65559 UEO65545:UEO65559 UOK65545:UOK65559 UYG65545:UYG65559 VIC65545:VIC65559 VRY65545:VRY65559 WBU65545:WBU65559 WLQ65545:WLQ65559 WVM65545:WVM65559 D131081:D131095 JA131081:JA131095 SW131081:SW131095 ACS131081:ACS131095 AMO131081:AMO131095 AWK131081:AWK131095 BGG131081:BGG131095 BQC131081:BQC131095 BZY131081:BZY131095 CJU131081:CJU131095 CTQ131081:CTQ131095 DDM131081:DDM131095 DNI131081:DNI131095 DXE131081:DXE131095 EHA131081:EHA131095 EQW131081:EQW131095 FAS131081:FAS131095 FKO131081:FKO131095 FUK131081:FUK131095 GEG131081:GEG131095 GOC131081:GOC131095 GXY131081:GXY131095 HHU131081:HHU131095 HRQ131081:HRQ131095 IBM131081:IBM131095 ILI131081:ILI131095 IVE131081:IVE131095 JFA131081:JFA131095 JOW131081:JOW131095 JYS131081:JYS131095 KIO131081:KIO131095 KSK131081:KSK131095 LCG131081:LCG131095 LMC131081:LMC131095 LVY131081:LVY131095 MFU131081:MFU131095 MPQ131081:MPQ131095 MZM131081:MZM131095 NJI131081:NJI131095 NTE131081:NTE131095 ODA131081:ODA131095 OMW131081:OMW131095 OWS131081:OWS131095 PGO131081:PGO131095 PQK131081:PQK131095 QAG131081:QAG131095 QKC131081:QKC131095 QTY131081:QTY131095 RDU131081:RDU131095 RNQ131081:RNQ131095 RXM131081:RXM131095 SHI131081:SHI131095 SRE131081:SRE131095 TBA131081:TBA131095 TKW131081:TKW131095 TUS131081:TUS131095 UEO131081:UEO131095 UOK131081:UOK131095 UYG131081:UYG131095 VIC131081:VIC131095 VRY131081:VRY131095 WBU131081:WBU131095 WLQ131081:WLQ131095 WVM131081:WVM131095 D196617:D196631 JA196617:JA196631 SW196617:SW196631 ACS196617:ACS196631 AMO196617:AMO196631 AWK196617:AWK196631 BGG196617:BGG196631 BQC196617:BQC196631 BZY196617:BZY196631 CJU196617:CJU196631 CTQ196617:CTQ196631 DDM196617:DDM196631 DNI196617:DNI196631 DXE196617:DXE196631 EHA196617:EHA196631 EQW196617:EQW196631 FAS196617:FAS196631 FKO196617:FKO196631 FUK196617:FUK196631 GEG196617:GEG196631 GOC196617:GOC196631 GXY196617:GXY196631 HHU196617:HHU196631 HRQ196617:HRQ196631 IBM196617:IBM196631 ILI196617:ILI196631 IVE196617:IVE196631 JFA196617:JFA196631 JOW196617:JOW196631 JYS196617:JYS196631 KIO196617:KIO196631 KSK196617:KSK196631 LCG196617:LCG196631 LMC196617:LMC196631 LVY196617:LVY196631 MFU196617:MFU196631 MPQ196617:MPQ196631 MZM196617:MZM196631 NJI196617:NJI196631 NTE196617:NTE196631 ODA196617:ODA196631 OMW196617:OMW196631 OWS196617:OWS196631 PGO196617:PGO196631 PQK196617:PQK196631 QAG196617:QAG196631 QKC196617:QKC196631 QTY196617:QTY196631 RDU196617:RDU196631 RNQ196617:RNQ196631 RXM196617:RXM196631 SHI196617:SHI196631 SRE196617:SRE196631 TBA196617:TBA196631 TKW196617:TKW196631 TUS196617:TUS196631 UEO196617:UEO196631 UOK196617:UOK196631 UYG196617:UYG196631 VIC196617:VIC196631 VRY196617:VRY196631 WBU196617:WBU196631 WLQ196617:WLQ196631 WVM196617:WVM196631 D262153:D262167 JA262153:JA262167 SW262153:SW262167 ACS262153:ACS262167 AMO262153:AMO262167 AWK262153:AWK262167 BGG262153:BGG262167 BQC262153:BQC262167 BZY262153:BZY262167 CJU262153:CJU262167 CTQ262153:CTQ262167 DDM262153:DDM262167 DNI262153:DNI262167 DXE262153:DXE262167 EHA262153:EHA262167 EQW262153:EQW262167 FAS262153:FAS262167 FKO262153:FKO262167 FUK262153:FUK262167 GEG262153:GEG262167 GOC262153:GOC262167 GXY262153:GXY262167 HHU262153:HHU262167 HRQ262153:HRQ262167 IBM262153:IBM262167 ILI262153:ILI262167 IVE262153:IVE262167 JFA262153:JFA262167 JOW262153:JOW262167 JYS262153:JYS262167 KIO262153:KIO262167 KSK262153:KSK262167 LCG262153:LCG262167 LMC262153:LMC262167 LVY262153:LVY262167 MFU262153:MFU262167 MPQ262153:MPQ262167 MZM262153:MZM262167 NJI262153:NJI262167 NTE262153:NTE262167 ODA262153:ODA262167 OMW262153:OMW262167 OWS262153:OWS262167 PGO262153:PGO262167 PQK262153:PQK262167 QAG262153:QAG262167 QKC262153:QKC262167 QTY262153:QTY262167 RDU262153:RDU262167 RNQ262153:RNQ262167 RXM262153:RXM262167 SHI262153:SHI262167 SRE262153:SRE262167 TBA262153:TBA262167 TKW262153:TKW262167 TUS262153:TUS262167 UEO262153:UEO262167 UOK262153:UOK262167 UYG262153:UYG262167 VIC262153:VIC262167 VRY262153:VRY262167 WBU262153:WBU262167 WLQ262153:WLQ262167 WVM262153:WVM262167 D327689:D327703 JA327689:JA327703 SW327689:SW327703 ACS327689:ACS327703 AMO327689:AMO327703 AWK327689:AWK327703 BGG327689:BGG327703 BQC327689:BQC327703 BZY327689:BZY327703 CJU327689:CJU327703 CTQ327689:CTQ327703 DDM327689:DDM327703 DNI327689:DNI327703 DXE327689:DXE327703 EHA327689:EHA327703 EQW327689:EQW327703 FAS327689:FAS327703 FKO327689:FKO327703 FUK327689:FUK327703 GEG327689:GEG327703 GOC327689:GOC327703 GXY327689:GXY327703 HHU327689:HHU327703 HRQ327689:HRQ327703 IBM327689:IBM327703 ILI327689:ILI327703 IVE327689:IVE327703 JFA327689:JFA327703 JOW327689:JOW327703 JYS327689:JYS327703 KIO327689:KIO327703 KSK327689:KSK327703 LCG327689:LCG327703 LMC327689:LMC327703 LVY327689:LVY327703 MFU327689:MFU327703 MPQ327689:MPQ327703 MZM327689:MZM327703 NJI327689:NJI327703 NTE327689:NTE327703 ODA327689:ODA327703 OMW327689:OMW327703 OWS327689:OWS327703 PGO327689:PGO327703 PQK327689:PQK327703 QAG327689:QAG327703 QKC327689:QKC327703 QTY327689:QTY327703 RDU327689:RDU327703 RNQ327689:RNQ327703 RXM327689:RXM327703 SHI327689:SHI327703 SRE327689:SRE327703 TBA327689:TBA327703 TKW327689:TKW327703 TUS327689:TUS327703 UEO327689:UEO327703 UOK327689:UOK327703 UYG327689:UYG327703 VIC327689:VIC327703 VRY327689:VRY327703 WBU327689:WBU327703 WLQ327689:WLQ327703 WVM327689:WVM327703 D393225:D393239 JA393225:JA393239 SW393225:SW393239 ACS393225:ACS393239 AMO393225:AMO393239 AWK393225:AWK393239 BGG393225:BGG393239 BQC393225:BQC393239 BZY393225:BZY393239 CJU393225:CJU393239 CTQ393225:CTQ393239 DDM393225:DDM393239 DNI393225:DNI393239 DXE393225:DXE393239 EHA393225:EHA393239 EQW393225:EQW393239 FAS393225:FAS393239 FKO393225:FKO393239 FUK393225:FUK393239 GEG393225:GEG393239 GOC393225:GOC393239 GXY393225:GXY393239 HHU393225:HHU393239 HRQ393225:HRQ393239 IBM393225:IBM393239 ILI393225:ILI393239 IVE393225:IVE393239 JFA393225:JFA393239 JOW393225:JOW393239 JYS393225:JYS393239 KIO393225:KIO393239 KSK393225:KSK393239 LCG393225:LCG393239 LMC393225:LMC393239 LVY393225:LVY393239 MFU393225:MFU393239 MPQ393225:MPQ393239 MZM393225:MZM393239 NJI393225:NJI393239 NTE393225:NTE393239 ODA393225:ODA393239 OMW393225:OMW393239 OWS393225:OWS393239 PGO393225:PGO393239 PQK393225:PQK393239 QAG393225:QAG393239 QKC393225:QKC393239 QTY393225:QTY393239 RDU393225:RDU393239 RNQ393225:RNQ393239 RXM393225:RXM393239 SHI393225:SHI393239 SRE393225:SRE393239 TBA393225:TBA393239 TKW393225:TKW393239 TUS393225:TUS393239 UEO393225:UEO393239 UOK393225:UOK393239 UYG393225:UYG393239 VIC393225:VIC393239 VRY393225:VRY393239 WBU393225:WBU393239 WLQ393225:WLQ393239 WVM393225:WVM393239 D458761:D458775 JA458761:JA458775 SW458761:SW458775 ACS458761:ACS458775 AMO458761:AMO458775 AWK458761:AWK458775 BGG458761:BGG458775 BQC458761:BQC458775 BZY458761:BZY458775 CJU458761:CJU458775 CTQ458761:CTQ458775 DDM458761:DDM458775 DNI458761:DNI458775 DXE458761:DXE458775 EHA458761:EHA458775 EQW458761:EQW458775 FAS458761:FAS458775 FKO458761:FKO458775 FUK458761:FUK458775 GEG458761:GEG458775 GOC458761:GOC458775 GXY458761:GXY458775 HHU458761:HHU458775 HRQ458761:HRQ458775 IBM458761:IBM458775 ILI458761:ILI458775 IVE458761:IVE458775 JFA458761:JFA458775 JOW458761:JOW458775 JYS458761:JYS458775 KIO458761:KIO458775 KSK458761:KSK458775 LCG458761:LCG458775 LMC458761:LMC458775 LVY458761:LVY458775 MFU458761:MFU458775 MPQ458761:MPQ458775 MZM458761:MZM458775 NJI458761:NJI458775 NTE458761:NTE458775 ODA458761:ODA458775 OMW458761:OMW458775 OWS458761:OWS458775 PGO458761:PGO458775 PQK458761:PQK458775 QAG458761:QAG458775 QKC458761:QKC458775 QTY458761:QTY458775 RDU458761:RDU458775 RNQ458761:RNQ458775 RXM458761:RXM458775 SHI458761:SHI458775 SRE458761:SRE458775 TBA458761:TBA458775 TKW458761:TKW458775 TUS458761:TUS458775 UEO458761:UEO458775 UOK458761:UOK458775 UYG458761:UYG458775 VIC458761:VIC458775 VRY458761:VRY458775 WBU458761:WBU458775 WLQ458761:WLQ458775 WVM458761:WVM458775 D524297:D524311 JA524297:JA524311 SW524297:SW524311 ACS524297:ACS524311 AMO524297:AMO524311 AWK524297:AWK524311 BGG524297:BGG524311 BQC524297:BQC524311 BZY524297:BZY524311 CJU524297:CJU524311 CTQ524297:CTQ524311 DDM524297:DDM524311 DNI524297:DNI524311 DXE524297:DXE524311 EHA524297:EHA524311 EQW524297:EQW524311 FAS524297:FAS524311 FKO524297:FKO524311 FUK524297:FUK524311 GEG524297:GEG524311 GOC524297:GOC524311 GXY524297:GXY524311 HHU524297:HHU524311 HRQ524297:HRQ524311 IBM524297:IBM524311 ILI524297:ILI524311 IVE524297:IVE524311 JFA524297:JFA524311 JOW524297:JOW524311 JYS524297:JYS524311 KIO524297:KIO524311 KSK524297:KSK524311 LCG524297:LCG524311 LMC524297:LMC524311 LVY524297:LVY524311 MFU524297:MFU524311 MPQ524297:MPQ524311 MZM524297:MZM524311 NJI524297:NJI524311 NTE524297:NTE524311 ODA524297:ODA524311 OMW524297:OMW524311 OWS524297:OWS524311 PGO524297:PGO524311 PQK524297:PQK524311 QAG524297:QAG524311 QKC524297:QKC524311 QTY524297:QTY524311 RDU524297:RDU524311 RNQ524297:RNQ524311 RXM524297:RXM524311 SHI524297:SHI524311 SRE524297:SRE524311 TBA524297:TBA524311 TKW524297:TKW524311 TUS524297:TUS524311 UEO524297:UEO524311 UOK524297:UOK524311 UYG524297:UYG524311 VIC524297:VIC524311 VRY524297:VRY524311 WBU524297:WBU524311 WLQ524297:WLQ524311 WVM524297:WVM524311 D589833:D589847 JA589833:JA589847 SW589833:SW589847 ACS589833:ACS589847 AMO589833:AMO589847 AWK589833:AWK589847 BGG589833:BGG589847 BQC589833:BQC589847 BZY589833:BZY589847 CJU589833:CJU589847 CTQ589833:CTQ589847 DDM589833:DDM589847 DNI589833:DNI589847 DXE589833:DXE589847 EHA589833:EHA589847 EQW589833:EQW589847 FAS589833:FAS589847 FKO589833:FKO589847 FUK589833:FUK589847 GEG589833:GEG589847 GOC589833:GOC589847 GXY589833:GXY589847 HHU589833:HHU589847 HRQ589833:HRQ589847 IBM589833:IBM589847 ILI589833:ILI589847 IVE589833:IVE589847 JFA589833:JFA589847 JOW589833:JOW589847 JYS589833:JYS589847 KIO589833:KIO589847 KSK589833:KSK589847 LCG589833:LCG589847 LMC589833:LMC589847 LVY589833:LVY589847 MFU589833:MFU589847 MPQ589833:MPQ589847 MZM589833:MZM589847 NJI589833:NJI589847 NTE589833:NTE589847 ODA589833:ODA589847 OMW589833:OMW589847 OWS589833:OWS589847 PGO589833:PGO589847 PQK589833:PQK589847 QAG589833:QAG589847 QKC589833:QKC589847 QTY589833:QTY589847 RDU589833:RDU589847 RNQ589833:RNQ589847 RXM589833:RXM589847 SHI589833:SHI589847 SRE589833:SRE589847 TBA589833:TBA589847 TKW589833:TKW589847 TUS589833:TUS589847 UEO589833:UEO589847 UOK589833:UOK589847 UYG589833:UYG589847 VIC589833:VIC589847 VRY589833:VRY589847 WBU589833:WBU589847 WLQ589833:WLQ589847 WVM589833:WVM589847 D655369:D655383 JA655369:JA655383 SW655369:SW655383 ACS655369:ACS655383 AMO655369:AMO655383 AWK655369:AWK655383 BGG655369:BGG655383 BQC655369:BQC655383 BZY655369:BZY655383 CJU655369:CJU655383 CTQ655369:CTQ655383 DDM655369:DDM655383 DNI655369:DNI655383 DXE655369:DXE655383 EHA655369:EHA655383 EQW655369:EQW655383 FAS655369:FAS655383 FKO655369:FKO655383 FUK655369:FUK655383 GEG655369:GEG655383 GOC655369:GOC655383 GXY655369:GXY655383 HHU655369:HHU655383 HRQ655369:HRQ655383 IBM655369:IBM655383 ILI655369:ILI655383 IVE655369:IVE655383 JFA655369:JFA655383 JOW655369:JOW655383 JYS655369:JYS655383 KIO655369:KIO655383 KSK655369:KSK655383 LCG655369:LCG655383 LMC655369:LMC655383 LVY655369:LVY655383 MFU655369:MFU655383 MPQ655369:MPQ655383 MZM655369:MZM655383 NJI655369:NJI655383 NTE655369:NTE655383 ODA655369:ODA655383 OMW655369:OMW655383 OWS655369:OWS655383 PGO655369:PGO655383 PQK655369:PQK655383 QAG655369:QAG655383 QKC655369:QKC655383 QTY655369:QTY655383 RDU655369:RDU655383 RNQ655369:RNQ655383 RXM655369:RXM655383 SHI655369:SHI655383 SRE655369:SRE655383 TBA655369:TBA655383 TKW655369:TKW655383 TUS655369:TUS655383 UEO655369:UEO655383 UOK655369:UOK655383 UYG655369:UYG655383 VIC655369:VIC655383 VRY655369:VRY655383 WBU655369:WBU655383 WLQ655369:WLQ655383 WVM655369:WVM655383 D720905:D720919 JA720905:JA720919 SW720905:SW720919 ACS720905:ACS720919 AMO720905:AMO720919 AWK720905:AWK720919 BGG720905:BGG720919 BQC720905:BQC720919 BZY720905:BZY720919 CJU720905:CJU720919 CTQ720905:CTQ720919 DDM720905:DDM720919 DNI720905:DNI720919 DXE720905:DXE720919 EHA720905:EHA720919 EQW720905:EQW720919 FAS720905:FAS720919 FKO720905:FKO720919 FUK720905:FUK720919 GEG720905:GEG720919 GOC720905:GOC720919 GXY720905:GXY720919 HHU720905:HHU720919 HRQ720905:HRQ720919 IBM720905:IBM720919 ILI720905:ILI720919 IVE720905:IVE720919 JFA720905:JFA720919 JOW720905:JOW720919 JYS720905:JYS720919 KIO720905:KIO720919 KSK720905:KSK720919 LCG720905:LCG720919 LMC720905:LMC720919 LVY720905:LVY720919 MFU720905:MFU720919 MPQ720905:MPQ720919 MZM720905:MZM720919 NJI720905:NJI720919 NTE720905:NTE720919 ODA720905:ODA720919 OMW720905:OMW720919 OWS720905:OWS720919 PGO720905:PGO720919 PQK720905:PQK720919 QAG720905:QAG720919 QKC720905:QKC720919 QTY720905:QTY720919 RDU720905:RDU720919 RNQ720905:RNQ720919 RXM720905:RXM720919 SHI720905:SHI720919 SRE720905:SRE720919 TBA720905:TBA720919 TKW720905:TKW720919 TUS720905:TUS720919 UEO720905:UEO720919 UOK720905:UOK720919 UYG720905:UYG720919 VIC720905:VIC720919 VRY720905:VRY720919 WBU720905:WBU720919 WLQ720905:WLQ720919 WVM720905:WVM720919 D786441:D786455 JA786441:JA786455 SW786441:SW786455 ACS786441:ACS786455 AMO786441:AMO786455 AWK786441:AWK786455 BGG786441:BGG786455 BQC786441:BQC786455 BZY786441:BZY786455 CJU786441:CJU786455 CTQ786441:CTQ786455 DDM786441:DDM786455 DNI786441:DNI786455 DXE786441:DXE786455 EHA786441:EHA786455 EQW786441:EQW786455 FAS786441:FAS786455 FKO786441:FKO786455 FUK786441:FUK786455 GEG786441:GEG786455 GOC786441:GOC786455 GXY786441:GXY786455 HHU786441:HHU786455 HRQ786441:HRQ786455 IBM786441:IBM786455 ILI786441:ILI786455 IVE786441:IVE786455 JFA786441:JFA786455 JOW786441:JOW786455 JYS786441:JYS786455 KIO786441:KIO786455 KSK786441:KSK786455 LCG786441:LCG786455 LMC786441:LMC786455 LVY786441:LVY786455 MFU786441:MFU786455 MPQ786441:MPQ786455 MZM786441:MZM786455 NJI786441:NJI786455 NTE786441:NTE786455 ODA786441:ODA786455 OMW786441:OMW786455 OWS786441:OWS786455 PGO786441:PGO786455 PQK786441:PQK786455 QAG786441:QAG786455 QKC786441:QKC786455 QTY786441:QTY786455 RDU786441:RDU786455 RNQ786441:RNQ786455 RXM786441:RXM786455 SHI786441:SHI786455 SRE786441:SRE786455 TBA786441:TBA786455 TKW786441:TKW786455 TUS786441:TUS786455 UEO786441:UEO786455 UOK786441:UOK786455 UYG786441:UYG786455 VIC786441:VIC786455 VRY786441:VRY786455 WBU786441:WBU786455 WLQ786441:WLQ786455 WVM786441:WVM786455 D851977:D851991 JA851977:JA851991 SW851977:SW851991 ACS851977:ACS851991 AMO851977:AMO851991 AWK851977:AWK851991 BGG851977:BGG851991 BQC851977:BQC851991 BZY851977:BZY851991 CJU851977:CJU851991 CTQ851977:CTQ851991 DDM851977:DDM851991 DNI851977:DNI851991 DXE851977:DXE851991 EHA851977:EHA851991 EQW851977:EQW851991 FAS851977:FAS851991 FKO851977:FKO851991 FUK851977:FUK851991 GEG851977:GEG851991 GOC851977:GOC851991 GXY851977:GXY851991 HHU851977:HHU851991 HRQ851977:HRQ851991 IBM851977:IBM851991 ILI851977:ILI851991 IVE851977:IVE851991 JFA851977:JFA851991 JOW851977:JOW851991 JYS851977:JYS851991 KIO851977:KIO851991 KSK851977:KSK851991 LCG851977:LCG851991 LMC851977:LMC851991 LVY851977:LVY851991 MFU851977:MFU851991 MPQ851977:MPQ851991 MZM851977:MZM851991 NJI851977:NJI851991 NTE851977:NTE851991 ODA851977:ODA851991 OMW851977:OMW851991 OWS851977:OWS851991 PGO851977:PGO851991 PQK851977:PQK851991 QAG851977:QAG851991 QKC851977:QKC851991 QTY851977:QTY851991 RDU851977:RDU851991 RNQ851977:RNQ851991 RXM851977:RXM851991 SHI851977:SHI851991 SRE851977:SRE851991 TBA851977:TBA851991 TKW851977:TKW851991 TUS851977:TUS851991 UEO851977:UEO851991 UOK851977:UOK851991 UYG851977:UYG851991 VIC851977:VIC851991 VRY851977:VRY851991 WBU851977:WBU851991 WLQ851977:WLQ851991 WVM851977:WVM851991 D917513:D917527 JA917513:JA917527 SW917513:SW917527 ACS917513:ACS917527 AMO917513:AMO917527 AWK917513:AWK917527 BGG917513:BGG917527 BQC917513:BQC917527 BZY917513:BZY917527 CJU917513:CJU917527 CTQ917513:CTQ917527 DDM917513:DDM917527 DNI917513:DNI917527 DXE917513:DXE917527 EHA917513:EHA917527 EQW917513:EQW917527 FAS917513:FAS917527 FKO917513:FKO917527 FUK917513:FUK917527 GEG917513:GEG917527 GOC917513:GOC917527 GXY917513:GXY917527 HHU917513:HHU917527 HRQ917513:HRQ917527 IBM917513:IBM917527 ILI917513:ILI917527 IVE917513:IVE917527 JFA917513:JFA917527 JOW917513:JOW917527 JYS917513:JYS917527 KIO917513:KIO917527 KSK917513:KSK917527 LCG917513:LCG917527 LMC917513:LMC917527 LVY917513:LVY917527 MFU917513:MFU917527 MPQ917513:MPQ917527 MZM917513:MZM917527 NJI917513:NJI917527 NTE917513:NTE917527 ODA917513:ODA917527 OMW917513:OMW917527 OWS917513:OWS917527 PGO917513:PGO917527 PQK917513:PQK917527 QAG917513:QAG917527 QKC917513:QKC917527 QTY917513:QTY917527 RDU917513:RDU917527 RNQ917513:RNQ917527 RXM917513:RXM917527 SHI917513:SHI917527 SRE917513:SRE917527 TBA917513:TBA917527 TKW917513:TKW917527 TUS917513:TUS917527 UEO917513:UEO917527 UOK917513:UOK917527 UYG917513:UYG917527 VIC917513:VIC917527 VRY917513:VRY917527 WBU917513:WBU917527 WLQ917513:WLQ917527 WVM917513:WVM917527 D983049:D983063 JA983049:JA983063 SW983049:SW983063 ACS983049:ACS983063 AMO983049:AMO983063 AWK983049:AWK983063 BGG983049:BGG983063 BQC983049:BQC983063 BZY983049:BZY983063 CJU983049:CJU983063 CTQ983049:CTQ983063 DDM983049:DDM983063 DNI983049:DNI983063 DXE983049:DXE983063 EHA983049:EHA983063 EQW983049:EQW983063 FAS983049:FAS983063 FKO983049:FKO983063 FUK983049:FUK983063 GEG983049:GEG983063 GOC983049:GOC983063 GXY983049:GXY983063 HHU983049:HHU983063 HRQ983049:HRQ983063 IBM983049:IBM983063 ILI983049:ILI983063 IVE983049:IVE983063 JFA983049:JFA983063 JOW983049:JOW983063 JYS983049:JYS983063 KIO983049:KIO983063 KSK983049:KSK983063 LCG983049:LCG983063 LMC983049:LMC983063 LVY983049:LVY983063 MFU983049:MFU983063 MPQ983049:MPQ983063 MZM983049:MZM983063 NJI983049:NJI983063 NTE983049:NTE983063 ODA983049:ODA983063 OMW983049:OMW983063 OWS983049:OWS983063 PGO983049:PGO983063 PQK983049:PQK983063 QAG983049:QAG983063 QKC983049:QKC983063 QTY983049:QTY983063 RDU983049:RDU983063 RNQ983049:RNQ983063 RXM983049:RXM983063 SHI983049:SHI983063 SRE983049:SRE983063 TBA983049:TBA983063 TKW983049:TKW983063 TUS983049:TUS983063 UEO983049:UEO983063 UOK983049:UOK983063 UYG983049:UYG983063 VIC983049:VIC983063 VRY983049:VRY983063 WBU983049:WBU983063 WLQ983049:WLQ983063 WVM983049:WVM983063 K14:L28 JH14:JI28 TD14:TE28 ACZ14:ADA28 AMV14:AMW28 AWR14:AWS28 BGN14:BGO28 BQJ14:BQK28 CAF14:CAG28 CKB14:CKC28 CTX14:CTY28 DDT14:DDU28 DNP14:DNQ28 DXL14:DXM28 EHH14:EHI28 ERD14:ERE28 FAZ14:FBA28 FKV14:FKW28 FUR14:FUS28 GEN14:GEO28 GOJ14:GOK28 GYF14:GYG28 HIB14:HIC28 HRX14:HRY28 IBT14:IBU28 ILP14:ILQ28 IVL14:IVM28 JFH14:JFI28 JPD14:JPE28 JYZ14:JZA28 KIV14:KIW28 KSR14:KSS28 LCN14:LCO28 LMJ14:LMK28 LWF14:LWG28 MGB14:MGC28 MPX14:MPY28 MZT14:MZU28 NJP14:NJQ28 NTL14:NTM28 ODH14:ODI28 OND14:ONE28 OWZ14:OXA28 PGV14:PGW28 PQR14:PQS28 QAN14:QAO28 QKJ14:QKK28 QUF14:QUG28 REB14:REC28 RNX14:RNY28 RXT14:RXU28 SHP14:SHQ28 SRL14:SRM28 TBH14:TBI28 TLD14:TLE28 TUZ14:TVA28 UEV14:UEW28 UOR14:UOS28 UYN14:UYO28 VIJ14:VIK28 VSF14:VSG28 WCB14:WCC28 WLX14:WLY28 WVT14:WVU28 K65545:L65559 JH65545:JI65559 TD65545:TE65559 ACZ65545:ADA65559 AMV65545:AMW65559 AWR65545:AWS65559 BGN65545:BGO65559 BQJ65545:BQK65559 CAF65545:CAG65559 CKB65545:CKC65559 CTX65545:CTY65559 DDT65545:DDU65559 DNP65545:DNQ65559 DXL65545:DXM65559 EHH65545:EHI65559 ERD65545:ERE65559 FAZ65545:FBA65559 FKV65545:FKW65559 FUR65545:FUS65559 GEN65545:GEO65559 GOJ65545:GOK65559 GYF65545:GYG65559 HIB65545:HIC65559 HRX65545:HRY65559 IBT65545:IBU65559 ILP65545:ILQ65559 IVL65545:IVM65559 JFH65545:JFI65559 JPD65545:JPE65559 JYZ65545:JZA65559 KIV65545:KIW65559 KSR65545:KSS65559 LCN65545:LCO65559 LMJ65545:LMK65559 LWF65545:LWG65559 MGB65545:MGC65559 MPX65545:MPY65559 MZT65545:MZU65559 NJP65545:NJQ65559 NTL65545:NTM65559 ODH65545:ODI65559 OND65545:ONE65559 OWZ65545:OXA65559 PGV65545:PGW65559 PQR65545:PQS65559 QAN65545:QAO65559 QKJ65545:QKK65559 QUF65545:QUG65559 REB65545:REC65559 RNX65545:RNY65559 RXT65545:RXU65559 SHP65545:SHQ65559 SRL65545:SRM65559 TBH65545:TBI65559 TLD65545:TLE65559 TUZ65545:TVA65559 UEV65545:UEW65559 UOR65545:UOS65559 UYN65545:UYO65559 VIJ65545:VIK65559 VSF65545:VSG65559 WCB65545:WCC65559 WLX65545:WLY65559 WVT65545:WVU65559 K131081:L131095 JH131081:JI131095 TD131081:TE131095 ACZ131081:ADA131095 AMV131081:AMW131095 AWR131081:AWS131095 BGN131081:BGO131095 BQJ131081:BQK131095 CAF131081:CAG131095 CKB131081:CKC131095 CTX131081:CTY131095 DDT131081:DDU131095 DNP131081:DNQ131095 DXL131081:DXM131095 EHH131081:EHI131095 ERD131081:ERE131095 FAZ131081:FBA131095 FKV131081:FKW131095 FUR131081:FUS131095 GEN131081:GEO131095 GOJ131081:GOK131095 GYF131081:GYG131095 HIB131081:HIC131095 HRX131081:HRY131095 IBT131081:IBU131095 ILP131081:ILQ131095 IVL131081:IVM131095 JFH131081:JFI131095 JPD131081:JPE131095 JYZ131081:JZA131095 KIV131081:KIW131095 KSR131081:KSS131095 LCN131081:LCO131095 LMJ131081:LMK131095 LWF131081:LWG131095 MGB131081:MGC131095 MPX131081:MPY131095 MZT131081:MZU131095 NJP131081:NJQ131095 NTL131081:NTM131095 ODH131081:ODI131095 OND131081:ONE131095 OWZ131081:OXA131095 PGV131081:PGW131095 PQR131081:PQS131095 QAN131081:QAO131095 QKJ131081:QKK131095 QUF131081:QUG131095 REB131081:REC131095 RNX131081:RNY131095 RXT131081:RXU131095 SHP131081:SHQ131095 SRL131081:SRM131095 TBH131081:TBI131095 TLD131081:TLE131095 TUZ131081:TVA131095 UEV131081:UEW131095 UOR131081:UOS131095 UYN131081:UYO131095 VIJ131081:VIK131095 VSF131081:VSG131095 WCB131081:WCC131095 WLX131081:WLY131095 WVT131081:WVU131095 K196617:L196631 JH196617:JI196631 TD196617:TE196631 ACZ196617:ADA196631 AMV196617:AMW196631 AWR196617:AWS196631 BGN196617:BGO196631 BQJ196617:BQK196631 CAF196617:CAG196631 CKB196617:CKC196631 CTX196617:CTY196631 DDT196617:DDU196631 DNP196617:DNQ196631 DXL196617:DXM196631 EHH196617:EHI196631 ERD196617:ERE196631 FAZ196617:FBA196631 FKV196617:FKW196631 FUR196617:FUS196631 GEN196617:GEO196631 GOJ196617:GOK196631 GYF196617:GYG196631 HIB196617:HIC196631 HRX196617:HRY196631 IBT196617:IBU196631 ILP196617:ILQ196631 IVL196617:IVM196631 JFH196617:JFI196631 JPD196617:JPE196631 JYZ196617:JZA196631 KIV196617:KIW196631 KSR196617:KSS196631 LCN196617:LCO196631 LMJ196617:LMK196631 LWF196617:LWG196631 MGB196617:MGC196631 MPX196617:MPY196631 MZT196617:MZU196631 NJP196617:NJQ196631 NTL196617:NTM196631 ODH196617:ODI196631 OND196617:ONE196631 OWZ196617:OXA196631 PGV196617:PGW196631 PQR196617:PQS196631 QAN196617:QAO196631 QKJ196617:QKK196631 QUF196617:QUG196631 REB196617:REC196631 RNX196617:RNY196631 RXT196617:RXU196631 SHP196617:SHQ196631 SRL196617:SRM196631 TBH196617:TBI196631 TLD196617:TLE196631 TUZ196617:TVA196631 UEV196617:UEW196631 UOR196617:UOS196631 UYN196617:UYO196631 VIJ196617:VIK196631 VSF196617:VSG196631 WCB196617:WCC196631 WLX196617:WLY196631 WVT196617:WVU196631 K262153:L262167 JH262153:JI262167 TD262153:TE262167 ACZ262153:ADA262167 AMV262153:AMW262167 AWR262153:AWS262167 BGN262153:BGO262167 BQJ262153:BQK262167 CAF262153:CAG262167 CKB262153:CKC262167 CTX262153:CTY262167 DDT262153:DDU262167 DNP262153:DNQ262167 DXL262153:DXM262167 EHH262153:EHI262167 ERD262153:ERE262167 FAZ262153:FBA262167 FKV262153:FKW262167 FUR262153:FUS262167 GEN262153:GEO262167 GOJ262153:GOK262167 GYF262153:GYG262167 HIB262153:HIC262167 HRX262153:HRY262167 IBT262153:IBU262167 ILP262153:ILQ262167 IVL262153:IVM262167 JFH262153:JFI262167 JPD262153:JPE262167 JYZ262153:JZA262167 KIV262153:KIW262167 KSR262153:KSS262167 LCN262153:LCO262167 LMJ262153:LMK262167 LWF262153:LWG262167 MGB262153:MGC262167 MPX262153:MPY262167 MZT262153:MZU262167 NJP262153:NJQ262167 NTL262153:NTM262167 ODH262153:ODI262167 OND262153:ONE262167 OWZ262153:OXA262167 PGV262153:PGW262167 PQR262153:PQS262167 QAN262153:QAO262167 QKJ262153:QKK262167 QUF262153:QUG262167 REB262153:REC262167 RNX262153:RNY262167 RXT262153:RXU262167 SHP262153:SHQ262167 SRL262153:SRM262167 TBH262153:TBI262167 TLD262153:TLE262167 TUZ262153:TVA262167 UEV262153:UEW262167 UOR262153:UOS262167 UYN262153:UYO262167 VIJ262153:VIK262167 VSF262153:VSG262167 WCB262153:WCC262167 WLX262153:WLY262167 WVT262153:WVU262167 K327689:L327703 JH327689:JI327703 TD327689:TE327703 ACZ327689:ADA327703 AMV327689:AMW327703 AWR327689:AWS327703 BGN327689:BGO327703 BQJ327689:BQK327703 CAF327689:CAG327703 CKB327689:CKC327703 CTX327689:CTY327703 DDT327689:DDU327703 DNP327689:DNQ327703 DXL327689:DXM327703 EHH327689:EHI327703 ERD327689:ERE327703 FAZ327689:FBA327703 FKV327689:FKW327703 FUR327689:FUS327703 GEN327689:GEO327703 GOJ327689:GOK327703 GYF327689:GYG327703 HIB327689:HIC327703 HRX327689:HRY327703 IBT327689:IBU327703 ILP327689:ILQ327703 IVL327689:IVM327703 JFH327689:JFI327703 JPD327689:JPE327703 JYZ327689:JZA327703 KIV327689:KIW327703 KSR327689:KSS327703 LCN327689:LCO327703 LMJ327689:LMK327703 LWF327689:LWG327703 MGB327689:MGC327703 MPX327689:MPY327703 MZT327689:MZU327703 NJP327689:NJQ327703 NTL327689:NTM327703 ODH327689:ODI327703 OND327689:ONE327703 OWZ327689:OXA327703 PGV327689:PGW327703 PQR327689:PQS327703 QAN327689:QAO327703 QKJ327689:QKK327703 QUF327689:QUG327703 REB327689:REC327703 RNX327689:RNY327703 RXT327689:RXU327703 SHP327689:SHQ327703 SRL327689:SRM327703 TBH327689:TBI327703 TLD327689:TLE327703 TUZ327689:TVA327703 UEV327689:UEW327703 UOR327689:UOS327703 UYN327689:UYO327703 VIJ327689:VIK327703 VSF327689:VSG327703 WCB327689:WCC327703 WLX327689:WLY327703 WVT327689:WVU327703 K393225:L393239 JH393225:JI393239 TD393225:TE393239 ACZ393225:ADA393239 AMV393225:AMW393239 AWR393225:AWS393239 BGN393225:BGO393239 BQJ393225:BQK393239 CAF393225:CAG393239 CKB393225:CKC393239 CTX393225:CTY393239 DDT393225:DDU393239 DNP393225:DNQ393239 DXL393225:DXM393239 EHH393225:EHI393239 ERD393225:ERE393239 FAZ393225:FBA393239 FKV393225:FKW393239 FUR393225:FUS393239 GEN393225:GEO393239 GOJ393225:GOK393239 GYF393225:GYG393239 HIB393225:HIC393239 HRX393225:HRY393239 IBT393225:IBU393239 ILP393225:ILQ393239 IVL393225:IVM393239 JFH393225:JFI393239 JPD393225:JPE393239 JYZ393225:JZA393239 KIV393225:KIW393239 KSR393225:KSS393239 LCN393225:LCO393239 LMJ393225:LMK393239 LWF393225:LWG393239 MGB393225:MGC393239 MPX393225:MPY393239 MZT393225:MZU393239 NJP393225:NJQ393239 NTL393225:NTM393239 ODH393225:ODI393239 OND393225:ONE393239 OWZ393225:OXA393239 PGV393225:PGW393239 PQR393225:PQS393239 QAN393225:QAO393239 QKJ393225:QKK393239 QUF393225:QUG393239 REB393225:REC393239 RNX393225:RNY393239 RXT393225:RXU393239 SHP393225:SHQ393239 SRL393225:SRM393239 TBH393225:TBI393239 TLD393225:TLE393239 TUZ393225:TVA393239 UEV393225:UEW393239 UOR393225:UOS393239 UYN393225:UYO393239 VIJ393225:VIK393239 VSF393225:VSG393239 WCB393225:WCC393239 WLX393225:WLY393239 WVT393225:WVU393239 K458761:L458775 JH458761:JI458775 TD458761:TE458775 ACZ458761:ADA458775 AMV458761:AMW458775 AWR458761:AWS458775 BGN458761:BGO458775 BQJ458761:BQK458775 CAF458761:CAG458775 CKB458761:CKC458775 CTX458761:CTY458775 DDT458761:DDU458775 DNP458761:DNQ458775 DXL458761:DXM458775 EHH458761:EHI458775 ERD458761:ERE458775 FAZ458761:FBA458775 FKV458761:FKW458775 FUR458761:FUS458775 GEN458761:GEO458775 GOJ458761:GOK458775 GYF458761:GYG458775 HIB458761:HIC458775 HRX458761:HRY458775 IBT458761:IBU458775 ILP458761:ILQ458775 IVL458761:IVM458775 JFH458761:JFI458775 JPD458761:JPE458775 JYZ458761:JZA458775 KIV458761:KIW458775 KSR458761:KSS458775 LCN458761:LCO458775 LMJ458761:LMK458775 LWF458761:LWG458775 MGB458761:MGC458775 MPX458761:MPY458775 MZT458761:MZU458775 NJP458761:NJQ458775 NTL458761:NTM458775 ODH458761:ODI458775 OND458761:ONE458775 OWZ458761:OXA458775 PGV458761:PGW458775 PQR458761:PQS458775 QAN458761:QAO458775 QKJ458761:QKK458775 QUF458761:QUG458775 REB458761:REC458775 RNX458761:RNY458775 RXT458761:RXU458775 SHP458761:SHQ458775 SRL458761:SRM458775 TBH458761:TBI458775 TLD458761:TLE458775 TUZ458761:TVA458775 UEV458761:UEW458775 UOR458761:UOS458775 UYN458761:UYO458775 VIJ458761:VIK458775 VSF458761:VSG458775 WCB458761:WCC458775 WLX458761:WLY458775 WVT458761:WVU458775 K524297:L524311 JH524297:JI524311 TD524297:TE524311 ACZ524297:ADA524311 AMV524297:AMW524311 AWR524297:AWS524311 BGN524297:BGO524311 BQJ524297:BQK524311 CAF524297:CAG524311 CKB524297:CKC524311 CTX524297:CTY524311 DDT524297:DDU524311 DNP524297:DNQ524311 DXL524297:DXM524311 EHH524297:EHI524311 ERD524297:ERE524311 FAZ524297:FBA524311 FKV524297:FKW524311 FUR524297:FUS524311 GEN524297:GEO524311 GOJ524297:GOK524311 GYF524297:GYG524311 HIB524297:HIC524311 HRX524297:HRY524311 IBT524297:IBU524311 ILP524297:ILQ524311 IVL524297:IVM524311 JFH524297:JFI524311 JPD524297:JPE524311 JYZ524297:JZA524311 KIV524297:KIW524311 KSR524297:KSS524311 LCN524297:LCO524311 LMJ524297:LMK524311 LWF524297:LWG524311 MGB524297:MGC524311 MPX524297:MPY524311 MZT524297:MZU524311 NJP524297:NJQ524311 NTL524297:NTM524311 ODH524297:ODI524311 OND524297:ONE524311 OWZ524297:OXA524311 PGV524297:PGW524311 PQR524297:PQS524311 QAN524297:QAO524311 QKJ524297:QKK524311 QUF524297:QUG524311 REB524297:REC524311 RNX524297:RNY524311 RXT524297:RXU524311 SHP524297:SHQ524311 SRL524297:SRM524311 TBH524297:TBI524311 TLD524297:TLE524311 TUZ524297:TVA524311 UEV524297:UEW524311 UOR524297:UOS524311 UYN524297:UYO524311 VIJ524297:VIK524311 VSF524297:VSG524311 WCB524297:WCC524311 WLX524297:WLY524311 WVT524297:WVU524311 K589833:L589847 JH589833:JI589847 TD589833:TE589847 ACZ589833:ADA589847 AMV589833:AMW589847 AWR589833:AWS589847 BGN589833:BGO589847 BQJ589833:BQK589847 CAF589833:CAG589847 CKB589833:CKC589847 CTX589833:CTY589847 DDT589833:DDU589847 DNP589833:DNQ589847 DXL589833:DXM589847 EHH589833:EHI589847 ERD589833:ERE589847 FAZ589833:FBA589847 FKV589833:FKW589847 FUR589833:FUS589847 GEN589833:GEO589847 GOJ589833:GOK589847 GYF589833:GYG589847 HIB589833:HIC589847 HRX589833:HRY589847 IBT589833:IBU589847 ILP589833:ILQ589847 IVL589833:IVM589847 JFH589833:JFI589847 JPD589833:JPE589847 JYZ589833:JZA589847 KIV589833:KIW589847 KSR589833:KSS589847 LCN589833:LCO589847 LMJ589833:LMK589847 LWF589833:LWG589847 MGB589833:MGC589847 MPX589833:MPY589847 MZT589833:MZU589847 NJP589833:NJQ589847 NTL589833:NTM589847 ODH589833:ODI589847 OND589833:ONE589847 OWZ589833:OXA589847 PGV589833:PGW589847 PQR589833:PQS589847 QAN589833:QAO589847 QKJ589833:QKK589847 QUF589833:QUG589847 REB589833:REC589847 RNX589833:RNY589847 RXT589833:RXU589847 SHP589833:SHQ589847 SRL589833:SRM589847 TBH589833:TBI589847 TLD589833:TLE589847 TUZ589833:TVA589847 UEV589833:UEW589847 UOR589833:UOS589847 UYN589833:UYO589847 VIJ589833:VIK589847 VSF589833:VSG589847 WCB589833:WCC589847 WLX589833:WLY589847 WVT589833:WVU589847 K655369:L655383 JH655369:JI655383 TD655369:TE655383 ACZ655369:ADA655383 AMV655369:AMW655383 AWR655369:AWS655383 BGN655369:BGO655383 BQJ655369:BQK655383 CAF655369:CAG655383 CKB655369:CKC655383 CTX655369:CTY655383 DDT655369:DDU655383 DNP655369:DNQ655383 DXL655369:DXM655383 EHH655369:EHI655383 ERD655369:ERE655383 FAZ655369:FBA655383 FKV655369:FKW655383 FUR655369:FUS655383 GEN655369:GEO655383 GOJ655369:GOK655383 GYF655369:GYG655383 HIB655369:HIC655383 HRX655369:HRY655383 IBT655369:IBU655383 ILP655369:ILQ655383 IVL655369:IVM655383 JFH655369:JFI655383 JPD655369:JPE655383 JYZ655369:JZA655383 KIV655369:KIW655383 KSR655369:KSS655383 LCN655369:LCO655383 LMJ655369:LMK655383 LWF655369:LWG655383 MGB655369:MGC655383 MPX655369:MPY655383 MZT655369:MZU655383 NJP655369:NJQ655383 NTL655369:NTM655383 ODH655369:ODI655383 OND655369:ONE655383 OWZ655369:OXA655383 PGV655369:PGW655383 PQR655369:PQS655383 QAN655369:QAO655383 QKJ655369:QKK655383 QUF655369:QUG655383 REB655369:REC655383 RNX655369:RNY655383 RXT655369:RXU655383 SHP655369:SHQ655383 SRL655369:SRM655383 TBH655369:TBI655383 TLD655369:TLE655383 TUZ655369:TVA655383 UEV655369:UEW655383 UOR655369:UOS655383 UYN655369:UYO655383 VIJ655369:VIK655383 VSF655369:VSG655383 WCB655369:WCC655383 WLX655369:WLY655383 WVT655369:WVU655383 K720905:L720919 JH720905:JI720919 TD720905:TE720919 ACZ720905:ADA720919 AMV720905:AMW720919 AWR720905:AWS720919 BGN720905:BGO720919 BQJ720905:BQK720919 CAF720905:CAG720919 CKB720905:CKC720919 CTX720905:CTY720919 DDT720905:DDU720919 DNP720905:DNQ720919 DXL720905:DXM720919 EHH720905:EHI720919 ERD720905:ERE720919 FAZ720905:FBA720919 FKV720905:FKW720919 FUR720905:FUS720919 GEN720905:GEO720919 GOJ720905:GOK720919 GYF720905:GYG720919 HIB720905:HIC720919 HRX720905:HRY720919 IBT720905:IBU720919 ILP720905:ILQ720919 IVL720905:IVM720919 JFH720905:JFI720919 JPD720905:JPE720919 JYZ720905:JZA720919 KIV720905:KIW720919 KSR720905:KSS720919 LCN720905:LCO720919 LMJ720905:LMK720919 LWF720905:LWG720919 MGB720905:MGC720919 MPX720905:MPY720919 MZT720905:MZU720919 NJP720905:NJQ720919 NTL720905:NTM720919 ODH720905:ODI720919 OND720905:ONE720919 OWZ720905:OXA720919 PGV720905:PGW720919 PQR720905:PQS720919 QAN720905:QAO720919 QKJ720905:QKK720919 QUF720905:QUG720919 REB720905:REC720919 RNX720905:RNY720919 RXT720905:RXU720919 SHP720905:SHQ720919 SRL720905:SRM720919 TBH720905:TBI720919 TLD720905:TLE720919 TUZ720905:TVA720919 UEV720905:UEW720919 UOR720905:UOS720919 UYN720905:UYO720919 VIJ720905:VIK720919 VSF720905:VSG720919 WCB720905:WCC720919 WLX720905:WLY720919 WVT720905:WVU720919 K786441:L786455 JH786441:JI786455 TD786441:TE786455 ACZ786441:ADA786455 AMV786441:AMW786455 AWR786441:AWS786455 BGN786441:BGO786455 BQJ786441:BQK786455 CAF786441:CAG786455 CKB786441:CKC786455 CTX786441:CTY786455 DDT786441:DDU786455 DNP786441:DNQ786455 DXL786441:DXM786455 EHH786441:EHI786455 ERD786441:ERE786455 FAZ786441:FBA786455 FKV786441:FKW786455 FUR786441:FUS786455 GEN786441:GEO786455 GOJ786441:GOK786455 GYF786441:GYG786455 HIB786441:HIC786455 HRX786441:HRY786455 IBT786441:IBU786455 ILP786441:ILQ786455 IVL786441:IVM786455 JFH786441:JFI786455 JPD786441:JPE786455 JYZ786441:JZA786455 KIV786441:KIW786455 KSR786441:KSS786455 LCN786441:LCO786455 LMJ786441:LMK786455 LWF786441:LWG786455 MGB786441:MGC786455 MPX786441:MPY786455 MZT786441:MZU786455 NJP786441:NJQ786455 NTL786441:NTM786455 ODH786441:ODI786455 OND786441:ONE786455 OWZ786441:OXA786455 PGV786441:PGW786455 PQR786441:PQS786455 QAN786441:QAO786455 QKJ786441:QKK786455 QUF786441:QUG786455 REB786441:REC786455 RNX786441:RNY786455 RXT786441:RXU786455 SHP786441:SHQ786455 SRL786441:SRM786455 TBH786441:TBI786455 TLD786441:TLE786455 TUZ786441:TVA786455 UEV786441:UEW786455 UOR786441:UOS786455 UYN786441:UYO786455 VIJ786441:VIK786455 VSF786441:VSG786455 WCB786441:WCC786455 WLX786441:WLY786455 WVT786441:WVU786455 K851977:L851991 JH851977:JI851991 TD851977:TE851991 ACZ851977:ADA851991 AMV851977:AMW851991 AWR851977:AWS851991 BGN851977:BGO851991 BQJ851977:BQK851991 CAF851977:CAG851991 CKB851977:CKC851991 CTX851977:CTY851991 DDT851977:DDU851991 DNP851977:DNQ851991 DXL851977:DXM851991 EHH851977:EHI851991 ERD851977:ERE851991 FAZ851977:FBA851991 FKV851977:FKW851991 FUR851977:FUS851991 GEN851977:GEO851991 GOJ851977:GOK851991 GYF851977:GYG851991 HIB851977:HIC851991 HRX851977:HRY851991 IBT851977:IBU851991 ILP851977:ILQ851991 IVL851977:IVM851991 JFH851977:JFI851991 JPD851977:JPE851991 JYZ851977:JZA851991 KIV851977:KIW851991 KSR851977:KSS851991 LCN851977:LCO851991 LMJ851977:LMK851991 LWF851977:LWG851991 MGB851977:MGC851991 MPX851977:MPY851991 MZT851977:MZU851991 NJP851977:NJQ851991 NTL851977:NTM851991 ODH851977:ODI851991 OND851977:ONE851991 OWZ851977:OXA851991 PGV851977:PGW851991 PQR851977:PQS851991 QAN851977:QAO851991 QKJ851977:QKK851991 QUF851977:QUG851991 REB851977:REC851991 RNX851977:RNY851991 RXT851977:RXU851991 SHP851977:SHQ851991 SRL851977:SRM851991 TBH851977:TBI851991 TLD851977:TLE851991 TUZ851977:TVA851991 UEV851977:UEW851991 UOR851977:UOS851991 UYN851977:UYO851991 VIJ851977:VIK851991 VSF851977:VSG851991 WCB851977:WCC851991 WLX851977:WLY851991 WVT851977:WVU851991 K917513:L917527 JH917513:JI917527 TD917513:TE917527 ACZ917513:ADA917527 AMV917513:AMW917527 AWR917513:AWS917527 BGN917513:BGO917527 BQJ917513:BQK917527 CAF917513:CAG917527 CKB917513:CKC917527 CTX917513:CTY917527 DDT917513:DDU917527 DNP917513:DNQ917527 DXL917513:DXM917527 EHH917513:EHI917527 ERD917513:ERE917527 FAZ917513:FBA917527 FKV917513:FKW917527 FUR917513:FUS917527 GEN917513:GEO917527 GOJ917513:GOK917527 GYF917513:GYG917527 HIB917513:HIC917527 HRX917513:HRY917527 IBT917513:IBU917527 ILP917513:ILQ917527 IVL917513:IVM917527 JFH917513:JFI917527 JPD917513:JPE917527 JYZ917513:JZA917527 KIV917513:KIW917527 KSR917513:KSS917527 LCN917513:LCO917527 LMJ917513:LMK917527 LWF917513:LWG917527 MGB917513:MGC917527 MPX917513:MPY917527 MZT917513:MZU917527 NJP917513:NJQ917527 NTL917513:NTM917527 ODH917513:ODI917527 OND917513:ONE917527 OWZ917513:OXA917527 PGV917513:PGW917527 PQR917513:PQS917527 QAN917513:QAO917527 QKJ917513:QKK917527 QUF917513:QUG917527 REB917513:REC917527 RNX917513:RNY917527 RXT917513:RXU917527 SHP917513:SHQ917527 SRL917513:SRM917527 TBH917513:TBI917527 TLD917513:TLE917527 TUZ917513:TVA917527 UEV917513:UEW917527 UOR917513:UOS917527 UYN917513:UYO917527 VIJ917513:VIK917527 VSF917513:VSG917527 WCB917513:WCC917527 WLX917513:WLY917527 WVT917513:WVU917527 K983049:L983063 JH983049:JI983063 TD983049:TE983063 ACZ983049:ADA983063 AMV983049:AMW983063 AWR983049:AWS983063 BGN983049:BGO983063 BQJ983049:BQK983063 CAF983049:CAG983063 CKB983049:CKC983063 CTX983049:CTY983063 DDT983049:DDU983063 DNP983049:DNQ983063 DXL983049:DXM983063 EHH983049:EHI983063 ERD983049:ERE983063 FAZ983049:FBA983063 FKV983049:FKW983063 FUR983049:FUS983063 GEN983049:GEO983063 GOJ983049:GOK983063 GYF983049:GYG983063 HIB983049:HIC983063 HRX983049:HRY983063 IBT983049:IBU983063 ILP983049:ILQ983063 IVL983049:IVM983063 JFH983049:JFI983063 JPD983049:JPE983063 JYZ983049:JZA983063 KIV983049:KIW983063 KSR983049:KSS983063 LCN983049:LCO983063 LMJ983049:LMK983063 LWF983049:LWG983063 MGB983049:MGC983063 MPX983049:MPY983063 MZT983049:MZU983063 NJP983049:NJQ983063 NTL983049:NTM983063 ODH983049:ODI983063 OND983049:ONE983063 OWZ983049:OXA983063 PGV983049:PGW983063 PQR983049:PQS983063 QAN983049:QAO983063 QKJ983049:QKK983063 QUF983049:QUG983063 REB983049:REC983063 RNX983049:RNY983063 RXT983049:RXU983063 SHP983049:SHQ983063 SRL983049:SRM983063 TBH983049:TBI983063 TLD983049:TLE983063 TUZ983049:TVA983063 UEV983049:UEW983063 UOR983049:UOS983063 UYN983049:UYO983063 VIJ983049:VIK983063 VSF983049:VSG983063 WCB983049:WCC983063 WLX983049:WLY983063 WVT983049:WVU983063" xr:uid="{00000000-0002-0000-3200-000000000000}">
      <formula1>4</formula1>
    </dataValidation>
    <dataValidation type="textLength" operator="equal" allowBlank="1" showInputMessage="1" showErrorMessage="1" errorTitle="Invalid data!" error="Company number must be 4 digits." sqref="B14:B28 IY14:IY28 SU14:SU28 ACQ14:ACQ28 AMM14:AMM28 AWI14:AWI28 BGE14:BGE28 BQA14:BQA28 BZW14:BZW28 CJS14:CJS28 CTO14:CTO28 DDK14:DDK28 DNG14:DNG28 DXC14:DXC28 EGY14:EGY28 EQU14:EQU28 FAQ14:FAQ28 FKM14:FKM28 FUI14:FUI28 GEE14:GEE28 GOA14:GOA28 GXW14:GXW28 HHS14:HHS28 HRO14:HRO28 IBK14:IBK28 ILG14:ILG28 IVC14:IVC28 JEY14:JEY28 JOU14:JOU28 JYQ14:JYQ28 KIM14:KIM28 KSI14:KSI28 LCE14:LCE28 LMA14:LMA28 LVW14:LVW28 MFS14:MFS28 MPO14:MPO28 MZK14:MZK28 NJG14:NJG28 NTC14:NTC28 OCY14:OCY28 OMU14:OMU28 OWQ14:OWQ28 PGM14:PGM28 PQI14:PQI28 QAE14:QAE28 QKA14:QKA28 QTW14:QTW28 RDS14:RDS28 RNO14:RNO28 RXK14:RXK28 SHG14:SHG28 SRC14:SRC28 TAY14:TAY28 TKU14:TKU28 TUQ14:TUQ28 UEM14:UEM28 UOI14:UOI28 UYE14:UYE28 VIA14:VIA28 VRW14:VRW28 WBS14:WBS28 WLO14:WLO28 WVK14:WVK28 B65545:B65559 IY65545:IY65559 SU65545:SU65559 ACQ65545:ACQ65559 AMM65545:AMM65559 AWI65545:AWI65559 BGE65545:BGE65559 BQA65545:BQA65559 BZW65545:BZW65559 CJS65545:CJS65559 CTO65545:CTO65559 DDK65545:DDK65559 DNG65545:DNG65559 DXC65545:DXC65559 EGY65545:EGY65559 EQU65545:EQU65559 FAQ65545:FAQ65559 FKM65545:FKM65559 FUI65545:FUI65559 GEE65545:GEE65559 GOA65545:GOA65559 GXW65545:GXW65559 HHS65545:HHS65559 HRO65545:HRO65559 IBK65545:IBK65559 ILG65545:ILG65559 IVC65545:IVC65559 JEY65545:JEY65559 JOU65545:JOU65559 JYQ65545:JYQ65559 KIM65545:KIM65559 KSI65545:KSI65559 LCE65545:LCE65559 LMA65545:LMA65559 LVW65545:LVW65559 MFS65545:MFS65559 MPO65545:MPO65559 MZK65545:MZK65559 NJG65545:NJG65559 NTC65545:NTC65559 OCY65545:OCY65559 OMU65545:OMU65559 OWQ65545:OWQ65559 PGM65545:PGM65559 PQI65545:PQI65559 QAE65545:QAE65559 QKA65545:QKA65559 QTW65545:QTW65559 RDS65545:RDS65559 RNO65545:RNO65559 RXK65545:RXK65559 SHG65545:SHG65559 SRC65545:SRC65559 TAY65545:TAY65559 TKU65545:TKU65559 TUQ65545:TUQ65559 UEM65545:UEM65559 UOI65545:UOI65559 UYE65545:UYE65559 VIA65545:VIA65559 VRW65545:VRW65559 WBS65545:WBS65559 WLO65545:WLO65559 WVK65545:WVK65559 B131081:B131095 IY131081:IY131095 SU131081:SU131095 ACQ131081:ACQ131095 AMM131081:AMM131095 AWI131081:AWI131095 BGE131081:BGE131095 BQA131081:BQA131095 BZW131081:BZW131095 CJS131081:CJS131095 CTO131081:CTO131095 DDK131081:DDK131095 DNG131081:DNG131095 DXC131081:DXC131095 EGY131081:EGY131095 EQU131081:EQU131095 FAQ131081:FAQ131095 FKM131081:FKM131095 FUI131081:FUI131095 GEE131081:GEE131095 GOA131081:GOA131095 GXW131081:GXW131095 HHS131081:HHS131095 HRO131081:HRO131095 IBK131081:IBK131095 ILG131081:ILG131095 IVC131081:IVC131095 JEY131081:JEY131095 JOU131081:JOU131095 JYQ131081:JYQ131095 KIM131081:KIM131095 KSI131081:KSI131095 LCE131081:LCE131095 LMA131081:LMA131095 LVW131081:LVW131095 MFS131081:MFS131095 MPO131081:MPO131095 MZK131081:MZK131095 NJG131081:NJG131095 NTC131081:NTC131095 OCY131081:OCY131095 OMU131081:OMU131095 OWQ131081:OWQ131095 PGM131081:PGM131095 PQI131081:PQI131095 QAE131081:QAE131095 QKA131081:QKA131095 QTW131081:QTW131095 RDS131081:RDS131095 RNO131081:RNO131095 RXK131081:RXK131095 SHG131081:SHG131095 SRC131081:SRC131095 TAY131081:TAY131095 TKU131081:TKU131095 TUQ131081:TUQ131095 UEM131081:UEM131095 UOI131081:UOI131095 UYE131081:UYE131095 VIA131081:VIA131095 VRW131081:VRW131095 WBS131081:WBS131095 WLO131081:WLO131095 WVK131081:WVK131095 B196617:B196631 IY196617:IY196631 SU196617:SU196631 ACQ196617:ACQ196631 AMM196617:AMM196631 AWI196617:AWI196631 BGE196617:BGE196631 BQA196617:BQA196631 BZW196617:BZW196631 CJS196617:CJS196631 CTO196617:CTO196631 DDK196617:DDK196631 DNG196617:DNG196631 DXC196617:DXC196631 EGY196617:EGY196631 EQU196617:EQU196631 FAQ196617:FAQ196631 FKM196617:FKM196631 FUI196617:FUI196631 GEE196617:GEE196631 GOA196617:GOA196631 GXW196617:GXW196631 HHS196617:HHS196631 HRO196617:HRO196631 IBK196617:IBK196631 ILG196617:ILG196631 IVC196617:IVC196631 JEY196617:JEY196631 JOU196617:JOU196631 JYQ196617:JYQ196631 KIM196617:KIM196631 KSI196617:KSI196631 LCE196617:LCE196631 LMA196617:LMA196631 LVW196617:LVW196631 MFS196617:MFS196631 MPO196617:MPO196631 MZK196617:MZK196631 NJG196617:NJG196631 NTC196617:NTC196631 OCY196617:OCY196631 OMU196617:OMU196631 OWQ196617:OWQ196631 PGM196617:PGM196631 PQI196617:PQI196631 QAE196617:QAE196631 QKA196617:QKA196631 QTW196617:QTW196631 RDS196617:RDS196631 RNO196617:RNO196631 RXK196617:RXK196631 SHG196617:SHG196631 SRC196617:SRC196631 TAY196617:TAY196631 TKU196617:TKU196631 TUQ196617:TUQ196631 UEM196617:UEM196631 UOI196617:UOI196631 UYE196617:UYE196631 VIA196617:VIA196631 VRW196617:VRW196631 WBS196617:WBS196631 WLO196617:WLO196631 WVK196617:WVK196631 B262153:B262167 IY262153:IY262167 SU262153:SU262167 ACQ262153:ACQ262167 AMM262153:AMM262167 AWI262153:AWI262167 BGE262153:BGE262167 BQA262153:BQA262167 BZW262153:BZW262167 CJS262153:CJS262167 CTO262153:CTO262167 DDK262153:DDK262167 DNG262153:DNG262167 DXC262153:DXC262167 EGY262153:EGY262167 EQU262153:EQU262167 FAQ262153:FAQ262167 FKM262153:FKM262167 FUI262153:FUI262167 GEE262153:GEE262167 GOA262153:GOA262167 GXW262153:GXW262167 HHS262153:HHS262167 HRO262153:HRO262167 IBK262153:IBK262167 ILG262153:ILG262167 IVC262153:IVC262167 JEY262153:JEY262167 JOU262153:JOU262167 JYQ262153:JYQ262167 KIM262153:KIM262167 KSI262153:KSI262167 LCE262153:LCE262167 LMA262153:LMA262167 LVW262153:LVW262167 MFS262153:MFS262167 MPO262153:MPO262167 MZK262153:MZK262167 NJG262153:NJG262167 NTC262153:NTC262167 OCY262153:OCY262167 OMU262153:OMU262167 OWQ262153:OWQ262167 PGM262153:PGM262167 PQI262153:PQI262167 QAE262153:QAE262167 QKA262153:QKA262167 QTW262153:QTW262167 RDS262153:RDS262167 RNO262153:RNO262167 RXK262153:RXK262167 SHG262153:SHG262167 SRC262153:SRC262167 TAY262153:TAY262167 TKU262153:TKU262167 TUQ262153:TUQ262167 UEM262153:UEM262167 UOI262153:UOI262167 UYE262153:UYE262167 VIA262153:VIA262167 VRW262153:VRW262167 WBS262153:WBS262167 WLO262153:WLO262167 WVK262153:WVK262167 B327689:B327703 IY327689:IY327703 SU327689:SU327703 ACQ327689:ACQ327703 AMM327689:AMM327703 AWI327689:AWI327703 BGE327689:BGE327703 BQA327689:BQA327703 BZW327689:BZW327703 CJS327689:CJS327703 CTO327689:CTO327703 DDK327689:DDK327703 DNG327689:DNG327703 DXC327689:DXC327703 EGY327689:EGY327703 EQU327689:EQU327703 FAQ327689:FAQ327703 FKM327689:FKM327703 FUI327689:FUI327703 GEE327689:GEE327703 GOA327689:GOA327703 GXW327689:GXW327703 HHS327689:HHS327703 HRO327689:HRO327703 IBK327689:IBK327703 ILG327689:ILG327703 IVC327689:IVC327703 JEY327689:JEY327703 JOU327689:JOU327703 JYQ327689:JYQ327703 KIM327689:KIM327703 KSI327689:KSI327703 LCE327689:LCE327703 LMA327689:LMA327703 LVW327689:LVW327703 MFS327689:MFS327703 MPO327689:MPO327703 MZK327689:MZK327703 NJG327689:NJG327703 NTC327689:NTC327703 OCY327689:OCY327703 OMU327689:OMU327703 OWQ327689:OWQ327703 PGM327689:PGM327703 PQI327689:PQI327703 QAE327689:QAE327703 QKA327689:QKA327703 QTW327689:QTW327703 RDS327689:RDS327703 RNO327689:RNO327703 RXK327689:RXK327703 SHG327689:SHG327703 SRC327689:SRC327703 TAY327689:TAY327703 TKU327689:TKU327703 TUQ327689:TUQ327703 UEM327689:UEM327703 UOI327689:UOI327703 UYE327689:UYE327703 VIA327689:VIA327703 VRW327689:VRW327703 WBS327689:WBS327703 WLO327689:WLO327703 WVK327689:WVK327703 B393225:B393239 IY393225:IY393239 SU393225:SU393239 ACQ393225:ACQ393239 AMM393225:AMM393239 AWI393225:AWI393239 BGE393225:BGE393239 BQA393225:BQA393239 BZW393225:BZW393239 CJS393225:CJS393239 CTO393225:CTO393239 DDK393225:DDK393239 DNG393225:DNG393239 DXC393225:DXC393239 EGY393225:EGY393239 EQU393225:EQU393239 FAQ393225:FAQ393239 FKM393225:FKM393239 FUI393225:FUI393239 GEE393225:GEE393239 GOA393225:GOA393239 GXW393225:GXW393239 HHS393225:HHS393239 HRO393225:HRO393239 IBK393225:IBK393239 ILG393225:ILG393239 IVC393225:IVC393239 JEY393225:JEY393239 JOU393225:JOU393239 JYQ393225:JYQ393239 KIM393225:KIM393239 KSI393225:KSI393239 LCE393225:LCE393239 LMA393225:LMA393239 LVW393225:LVW393239 MFS393225:MFS393239 MPO393225:MPO393239 MZK393225:MZK393239 NJG393225:NJG393239 NTC393225:NTC393239 OCY393225:OCY393239 OMU393225:OMU393239 OWQ393225:OWQ393239 PGM393225:PGM393239 PQI393225:PQI393239 QAE393225:QAE393239 QKA393225:QKA393239 QTW393225:QTW393239 RDS393225:RDS393239 RNO393225:RNO393239 RXK393225:RXK393239 SHG393225:SHG393239 SRC393225:SRC393239 TAY393225:TAY393239 TKU393225:TKU393239 TUQ393225:TUQ393239 UEM393225:UEM393239 UOI393225:UOI393239 UYE393225:UYE393239 VIA393225:VIA393239 VRW393225:VRW393239 WBS393225:WBS393239 WLO393225:WLO393239 WVK393225:WVK393239 B458761:B458775 IY458761:IY458775 SU458761:SU458775 ACQ458761:ACQ458775 AMM458761:AMM458775 AWI458761:AWI458775 BGE458761:BGE458775 BQA458761:BQA458775 BZW458761:BZW458775 CJS458761:CJS458775 CTO458761:CTO458775 DDK458761:DDK458775 DNG458761:DNG458775 DXC458761:DXC458775 EGY458761:EGY458775 EQU458761:EQU458775 FAQ458761:FAQ458775 FKM458761:FKM458775 FUI458761:FUI458775 GEE458761:GEE458775 GOA458761:GOA458775 GXW458761:GXW458775 HHS458761:HHS458775 HRO458761:HRO458775 IBK458761:IBK458775 ILG458761:ILG458775 IVC458761:IVC458775 JEY458761:JEY458775 JOU458761:JOU458775 JYQ458761:JYQ458775 KIM458761:KIM458775 KSI458761:KSI458775 LCE458761:LCE458775 LMA458761:LMA458775 LVW458761:LVW458775 MFS458761:MFS458775 MPO458761:MPO458775 MZK458761:MZK458775 NJG458761:NJG458775 NTC458761:NTC458775 OCY458761:OCY458775 OMU458761:OMU458775 OWQ458761:OWQ458775 PGM458761:PGM458775 PQI458761:PQI458775 QAE458761:QAE458775 QKA458761:QKA458775 QTW458761:QTW458775 RDS458761:RDS458775 RNO458761:RNO458775 RXK458761:RXK458775 SHG458761:SHG458775 SRC458761:SRC458775 TAY458761:TAY458775 TKU458761:TKU458775 TUQ458761:TUQ458775 UEM458761:UEM458775 UOI458761:UOI458775 UYE458761:UYE458775 VIA458761:VIA458775 VRW458761:VRW458775 WBS458761:WBS458775 WLO458761:WLO458775 WVK458761:WVK458775 B524297:B524311 IY524297:IY524311 SU524297:SU524311 ACQ524297:ACQ524311 AMM524297:AMM524311 AWI524297:AWI524311 BGE524297:BGE524311 BQA524297:BQA524311 BZW524297:BZW524311 CJS524297:CJS524311 CTO524297:CTO524311 DDK524297:DDK524311 DNG524297:DNG524311 DXC524297:DXC524311 EGY524297:EGY524311 EQU524297:EQU524311 FAQ524297:FAQ524311 FKM524297:FKM524311 FUI524297:FUI524311 GEE524297:GEE524311 GOA524297:GOA524311 GXW524297:GXW524311 HHS524297:HHS524311 HRO524297:HRO524311 IBK524297:IBK524311 ILG524297:ILG524311 IVC524297:IVC524311 JEY524297:JEY524311 JOU524297:JOU524311 JYQ524297:JYQ524311 KIM524297:KIM524311 KSI524297:KSI524311 LCE524297:LCE524311 LMA524297:LMA524311 LVW524297:LVW524311 MFS524297:MFS524311 MPO524297:MPO524311 MZK524297:MZK524311 NJG524297:NJG524311 NTC524297:NTC524311 OCY524297:OCY524311 OMU524297:OMU524311 OWQ524297:OWQ524311 PGM524297:PGM524311 PQI524297:PQI524311 QAE524297:QAE524311 QKA524297:QKA524311 QTW524297:QTW524311 RDS524297:RDS524311 RNO524297:RNO524311 RXK524297:RXK524311 SHG524297:SHG524311 SRC524297:SRC524311 TAY524297:TAY524311 TKU524297:TKU524311 TUQ524297:TUQ524311 UEM524297:UEM524311 UOI524297:UOI524311 UYE524297:UYE524311 VIA524297:VIA524311 VRW524297:VRW524311 WBS524297:WBS524311 WLO524297:WLO524311 WVK524297:WVK524311 B589833:B589847 IY589833:IY589847 SU589833:SU589847 ACQ589833:ACQ589847 AMM589833:AMM589847 AWI589833:AWI589847 BGE589833:BGE589847 BQA589833:BQA589847 BZW589833:BZW589847 CJS589833:CJS589847 CTO589833:CTO589847 DDK589833:DDK589847 DNG589833:DNG589847 DXC589833:DXC589847 EGY589833:EGY589847 EQU589833:EQU589847 FAQ589833:FAQ589847 FKM589833:FKM589847 FUI589833:FUI589847 GEE589833:GEE589847 GOA589833:GOA589847 GXW589833:GXW589847 HHS589833:HHS589847 HRO589833:HRO589847 IBK589833:IBK589847 ILG589833:ILG589847 IVC589833:IVC589847 JEY589833:JEY589847 JOU589833:JOU589847 JYQ589833:JYQ589847 KIM589833:KIM589847 KSI589833:KSI589847 LCE589833:LCE589847 LMA589833:LMA589847 LVW589833:LVW589847 MFS589833:MFS589847 MPO589833:MPO589847 MZK589833:MZK589847 NJG589833:NJG589847 NTC589833:NTC589847 OCY589833:OCY589847 OMU589833:OMU589847 OWQ589833:OWQ589847 PGM589833:PGM589847 PQI589833:PQI589847 QAE589833:QAE589847 QKA589833:QKA589847 QTW589833:QTW589847 RDS589833:RDS589847 RNO589833:RNO589847 RXK589833:RXK589847 SHG589833:SHG589847 SRC589833:SRC589847 TAY589833:TAY589847 TKU589833:TKU589847 TUQ589833:TUQ589847 UEM589833:UEM589847 UOI589833:UOI589847 UYE589833:UYE589847 VIA589833:VIA589847 VRW589833:VRW589847 WBS589833:WBS589847 WLO589833:WLO589847 WVK589833:WVK589847 B655369:B655383 IY655369:IY655383 SU655369:SU655383 ACQ655369:ACQ655383 AMM655369:AMM655383 AWI655369:AWI655383 BGE655369:BGE655383 BQA655369:BQA655383 BZW655369:BZW655383 CJS655369:CJS655383 CTO655369:CTO655383 DDK655369:DDK655383 DNG655369:DNG655383 DXC655369:DXC655383 EGY655369:EGY655383 EQU655369:EQU655383 FAQ655369:FAQ655383 FKM655369:FKM655383 FUI655369:FUI655383 GEE655369:GEE655383 GOA655369:GOA655383 GXW655369:GXW655383 HHS655369:HHS655383 HRO655369:HRO655383 IBK655369:IBK655383 ILG655369:ILG655383 IVC655369:IVC655383 JEY655369:JEY655383 JOU655369:JOU655383 JYQ655369:JYQ655383 KIM655369:KIM655383 KSI655369:KSI655383 LCE655369:LCE655383 LMA655369:LMA655383 LVW655369:LVW655383 MFS655369:MFS655383 MPO655369:MPO655383 MZK655369:MZK655383 NJG655369:NJG655383 NTC655369:NTC655383 OCY655369:OCY655383 OMU655369:OMU655383 OWQ655369:OWQ655383 PGM655369:PGM655383 PQI655369:PQI655383 QAE655369:QAE655383 QKA655369:QKA655383 QTW655369:QTW655383 RDS655369:RDS655383 RNO655369:RNO655383 RXK655369:RXK655383 SHG655369:SHG655383 SRC655369:SRC655383 TAY655369:TAY655383 TKU655369:TKU655383 TUQ655369:TUQ655383 UEM655369:UEM655383 UOI655369:UOI655383 UYE655369:UYE655383 VIA655369:VIA655383 VRW655369:VRW655383 WBS655369:WBS655383 WLO655369:WLO655383 WVK655369:WVK655383 B720905:B720919 IY720905:IY720919 SU720905:SU720919 ACQ720905:ACQ720919 AMM720905:AMM720919 AWI720905:AWI720919 BGE720905:BGE720919 BQA720905:BQA720919 BZW720905:BZW720919 CJS720905:CJS720919 CTO720905:CTO720919 DDK720905:DDK720919 DNG720905:DNG720919 DXC720905:DXC720919 EGY720905:EGY720919 EQU720905:EQU720919 FAQ720905:FAQ720919 FKM720905:FKM720919 FUI720905:FUI720919 GEE720905:GEE720919 GOA720905:GOA720919 GXW720905:GXW720919 HHS720905:HHS720919 HRO720905:HRO720919 IBK720905:IBK720919 ILG720905:ILG720919 IVC720905:IVC720919 JEY720905:JEY720919 JOU720905:JOU720919 JYQ720905:JYQ720919 KIM720905:KIM720919 KSI720905:KSI720919 LCE720905:LCE720919 LMA720905:LMA720919 LVW720905:LVW720919 MFS720905:MFS720919 MPO720905:MPO720919 MZK720905:MZK720919 NJG720905:NJG720919 NTC720905:NTC720919 OCY720905:OCY720919 OMU720905:OMU720919 OWQ720905:OWQ720919 PGM720905:PGM720919 PQI720905:PQI720919 QAE720905:QAE720919 QKA720905:QKA720919 QTW720905:QTW720919 RDS720905:RDS720919 RNO720905:RNO720919 RXK720905:RXK720919 SHG720905:SHG720919 SRC720905:SRC720919 TAY720905:TAY720919 TKU720905:TKU720919 TUQ720905:TUQ720919 UEM720905:UEM720919 UOI720905:UOI720919 UYE720905:UYE720919 VIA720905:VIA720919 VRW720905:VRW720919 WBS720905:WBS720919 WLO720905:WLO720919 WVK720905:WVK720919 B786441:B786455 IY786441:IY786455 SU786441:SU786455 ACQ786441:ACQ786455 AMM786441:AMM786455 AWI786441:AWI786455 BGE786441:BGE786455 BQA786441:BQA786455 BZW786441:BZW786455 CJS786441:CJS786455 CTO786441:CTO786455 DDK786441:DDK786455 DNG786441:DNG786455 DXC786441:DXC786455 EGY786441:EGY786455 EQU786441:EQU786455 FAQ786441:FAQ786455 FKM786441:FKM786455 FUI786441:FUI786455 GEE786441:GEE786455 GOA786441:GOA786455 GXW786441:GXW786455 HHS786441:HHS786455 HRO786441:HRO786455 IBK786441:IBK786455 ILG786441:ILG786455 IVC786441:IVC786455 JEY786441:JEY786455 JOU786441:JOU786455 JYQ786441:JYQ786455 KIM786441:KIM786455 KSI786441:KSI786455 LCE786441:LCE786455 LMA786441:LMA786455 LVW786441:LVW786455 MFS786441:MFS786455 MPO786441:MPO786455 MZK786441:MZK786455 NJG786441:NJG786455 NTC786441:NTC786455 OCY786441:OCY786455 OMU786441:OMU786455 OWQ786441:OWQ786455 PGM786441:PGM786455 PQI786441:PQI786455 QAE786441:QAE786455 QKA786441:QKA786455 QTW786441:QTW786455 RDS786441:RDS786455 RNO786441:RNO786455 RXK786441:RXK786455 SHG786441:SHG786455 SRC786441:SRC786455 TAY786441:TAY786455 TKU786441:TKU786455 TUQ786441:TUQ786455 UEM786441:UEM786455 UOI786441:UOI786455 UYE786441:UYE786455 VIA786441:VIA786455 VRW786441:VRW786455 WBS786441:WBS786455 WLO786441:WLO786455 WVK786441:WVK786455 B851977:B851991 IY851977:IY851991 SU851977:SU851991 ACQ851977:ACQ851991 AMM851977:AMM851991 AWI851977:AWI851991 BGE851977:BGE851991 BQA851977:BQA851991 BZW851977:BZW851991 CJS851977:CJS851991 CTO851977:CTO851991 DDK851977:DDK851991 DNG851977:DNG851991 DXC851977:DXC851991 EGY851977:EGY851991 EQU851977:EQU851991 FAQ851977:FAQ851991 FKM851977:FKM851991 FUI851977:FUI851991 GEE851977:GEE851991 GOA851977:GOA851991 GXW851977:GXW851991 HHS851977:HHS851991 HRO851977:HRO851991 IBK851977:IBK851991 ILG851977:ILG851991 IVC851977:IVC851991 JEY851977:JEY851991 JOU851977:JOU851991 JYQ851977:JYQ851991 KIM851977:KIM851991 KSI851977:KSI851991 LCE851977:LCE851991 LMA851977:LMA851991 LVW851977:LVW851991 MFS851977:MFS851991 MPO851977:MPO851991 MZK851977:MZK851991 NJG851977:NJG851991 NTC851977:NTC851991 OCY851977:OCY851991 OMU851977:OMU851991 OWQ851977:OWQ851991 PGM851977:PGM851991 PQI851977:PQI851991 QAE851977:QAE851991 QKA851977:QKA851991 QTW851977:QTW851991 RDS851977:RDS851991 RNO851977:RNO851991 RXK851977:RXK851991 SHG851977:SHG851991 SRC851977:SRC851991 TAY851977:TAY851991 TKU851977:TKU851991 TUQ851977:TUQ851991 UEM851977:UEM851991 UOI851977:UOI851991 UYE851977:UYE851991 VIA851977:VIA851991 VRW851977:VRW851991 WBS851977:WBS851991 WLO851977:WLO851991 WVK851977:WVK851991 B917513:B917527 IY917513:IY917527 SU917513:SU917527 ACQ917513:ACQ917527 AMM917513:AMM917527 AWI917513:AWI917527 BGE917513:BGE917527 BQA917513:BQA917527 BZW917513:BZW917527 CJS917513:CJS917527 CTO917513:CTO917527 DDK917513:DDK917527 DNG917513:DNG917527 DXC917513:DXC917527 EGY917513:EGY917527 EQU917513:EQU917527 FAQ917513:FAQ917527 FKM917513:FKM917527 FUI917513:FUI917527 GEE917513:GEE917527 GOA917513:GOA917527 GXW917513:GXW917527 HHS917513:HHS917527 HRO917513:HRO917527 IBK917513:IBK917527 ILG917513:ILG917527 IVC917513:IVC917527 JEY917513:JEY917527 JOU917513:JOU917527 JYQ917513:JYQ917527 KIM917513:KIM917527 KSI917513:KSI917527 LCE917513:LCE917527 LMA917513:LMA917527 LVW917513:LVW917527 MFS917513:MFS917527 MPO917513:MPO917527 MZK917513:MZK917527 NJG917513:NJG917527 NTC917513:NTC917527 OCY917513:OCY917527 OMU917513:OMU917527 OWQ917513:OWQ917527 PGM917513:PGM917527 PQI917513:PQI917527 QAE917513:QAE917527 QKA917513:QKA917527 QTW917513:QTW917527 RDS917513:RDS917527 RNO917513:RNO917527 RXK917513:RXK917527 SHG917513:SHG917527 SRC917513:SRC917527 TAY917513:TAY917527 TKU917513:TKU917527 TUQ917513:TUQ917527 UEM917513:UEM917527 UOI917513:UOI917527 UYE917513:UYE917527 VIA917513:VIA917527 VRW917513:VRW917527 WBS917513:WBS917527 WLO917513:WLO917527 WVK917513:WVK917527 B983049:B983063 IY983049:IY983063 SU983049:SU983063 ACQ983049:ACQ983063 AMM983049:AMM983063 AWI983049:AWI983063 BGE983049:BGE983063 BQA983049:BQA983063 BZW983049:BZW983063 CJS983049:CJS983063 CTO983049:CTO983063 DDK983049:DDK983063 DNG983049:DNG983063 DXC983049:DXC983063 EGY983049:EGY983063 EQU983049:EQU983063 FAQ983049:FAQ983063 FKM983049:FKM983063 FUI983049:FUI983063 GEE983049:GEE983063 GOA983049:GOA983063 GXW983049:GXW983063 HHS983049:HHS983063 HRO983049:HRO983063 IBK983049:IBK983063 ILG983049:ILG983063 IVC983049:IVC983063 JEY983049:JEY983063 JOU983049:JOU983063 JYQ983049:JYQ983063 KIM983049:KIM983063 KSI983049:KSI983063 LCE983049:LCE983063 LMA983049:LMA983063 LVW983049:LVW983063 MFS983049:MFS983063 MPO983049:MPO983063 MZK983049:MZK983063 NJG983049:NJG983063 NTC983049:NTC983063 OCY983049:OCY983063 OMU983049:OMU983063 OWQ983049:OWQ983063 PGM983049:PGM983063 PQI983049:PQI983063 QAE983049:QAE983063 QKA983049:QKA983063 QTW983049:QTW983063 RDS983049:RDS983063 RNO983049:RNO983063 RXK983049:RXK983063 SHG983049:SHG983063 SRC983049:SRC983063 TAY983049:TAY983063 TKU983049:TKU983063 TUQ983049:TUQ983063 UEM983049:UEM983063 UOI983049:UOI983063 UYE983049:UYE983063 VIA983049:VIA983063 VRW983049:VRW983063 WBS983049:WBS983063 WLO983049:WLO983063 WVK983049:WVK983063 J14:J28 JG14:JG28 TC14:TC28 ACY14:ACY28 AMU14:AMU28 AWQ14:AWQ28 BGM14:BGM28 BQI14:BQI28 CAE14:CAE28 CKA14:CKA28 CTW14:CTW28 DDS14:DDS28 DNO14:DNO28 DXK14:DXK28 EHG14:EHG28 ERC14:ERC28 FAY14:FAY28 FKU14:FKU28 FUQ14:FUQ28 GEM14:GEM28 GOI14:GOI28 GYE14:GYE28 HIA14:HIA28 HRW14:HRW28 IBS14:IBS28 ILO14:ILO28 IVK14:IVK28 JFG14:JFG28 JPC14:JPC28 JYY14:JYY28 KIU14:KIU28 KSQ14:KSQ28 LCM14:LCM28 LMI14:LMI28 LWE14:LWE28 MGA14:MGA28 MPW14:MPW28 MZS14:MZS28 NJO14:NJO28 NTK14:NTK28 ODG14:ODG28 ONC14:ONC28 OWY14:OWY28 PGU14:PGU28 PQQ14:PQQ28 QAM14:QAM28 QKI14:QKI28 QUE14:QUE28 REA14:REA28 RNW14:RNW28 RXS14:RXS28 SHO14:SHO28 SRK14:SRK28 TBG14:TBG28 TLC14:TLC28 TUY14:TUY28 UEU14:UEU28 UOQ14:UOQ28 UYM14:UYM28 VII14:VII28 VSE14:VSE28 WCA14:WCA28 WLW14:WLW28 WVS14:WVS28 J65545:J65559 JG65545:JG65559 TC65545:TC65559 ACY65545:ACY65559 AMU65545:AMU65559 AWQ65545:AWQ65559 BGM65545:BGM65559 BQI65545:BQI65559 CAE65545:CAE65559 CKA65545:CKA65559 CTW65545:CTW65559 DDS65545:DDS65559 DNO65545:DNO65559 DXK65545:DXK65559 EHG65545:EHG65559 ERC65545:ERC65559 FAY65545:FAY65559 FKU65545:FKU65559 FUQ65545:FUQ65559 GEM65545:GEM65559 GOI65545:GOI65559 GYE65545:GYE65559 HIA65545:HIA65559 HRW65545:HRW65559 IBS65545:IBS65559 ILO65545:ILO65559 IVK65545:IVK65559 JFG65545:JFG65559 JPC65545:JPC65559 JYY65545:JYY65559 KIU65545:KIU65559 KSQ65545:KSQ65559 LCM65545:LCM65559 LMI65545:LMI65559 LWE65545:LWE65559 MGA65545:MGA65559 MPW65545:MPW65559 MZS65545:MZS65559 NJO65545:NJO65559 NTK65545:NTK65559 ODG65545:ODG65559 ONC65545:ONC65559 OWY65545:OWY65559 PGU65545:PGU65559 PQQ65545:PQQ65559 QAM65545:QAM65559 QKI65545:QKI65559 QUE65545:QUE65559 REA65545:REA65559 RNW65545:RNW65559 RXS65545:RXS65559 SHO65545:SHO65559 SRK65545:SRK65559 TBG65545:TBG65559 TLC65545:TLC65559 TUY65545:TUY65559 UEU65545:UEU65559 UOQ65545:UOQ65559 UYM65545:UYM65559 VII65545:VII65559 VSE65545:VSE65559 WCA65545:WCA65559 WLW65545:WLW65559 WVS65545:WVS65559 J131081:J131095 JG131081:JG131095 TC131081:TC131095 ACY131081:ACY131095 AMU131081:AMU131095 AWQ131081:AWQ131095 BGM131081:BGM131095 BQI131081:BQI131095 CAE131081:CAE131095 CKA131081:CKA131095 CTW131081:CTW131095 DDS131081:DDS131095 DNO131081:DNO131095 DXK131081:DXK131095 EHG131081:EHG131095 ERC131081:ERC131095 FAY131081:FAY131095 FKU131081:FKU131095 FUQ131081:FUQ131095 GEM131081:GEM131095 GOI131081:GOI131095 GYE131081:GYE131095 HIA131081:HIA131095 HRW131081:HRW131095 IBS131081:IBS131095 ILO131081:ILO131095 IVK131081:IVK131095 JFG131081:JFG131095 JPC131081:JPC131095 JYY131081:JYY131095 KIU131081:KIU131095 KSQ131081:KSQ131095 LCM131081:LCM131095 LMI131081:LMI131095 LWE131081:LWE131095 MGA131081:MGA131095 MPW131081:MPW131095 MZS131081:MZS131095 NJO131081:NJO131095 NTK131081:NTK131095 ODG131081:ODG131095 ONC131081:ONC131095 OWY131081:OWY131095 PGU131081:PGU131095 PQQ131081:PQQ131095 QAM131081:QAM131095 QKI131081:QKI131095 QUE131081:QUE131095 REA131081:REA131095 RNW131081:RNW131095 RXS131081:RXS131095 SHO131081:SHO131095 SRK131081:SRK131095 TBG131081:TBG131095 TLC131081:TLC131095 TUY131081:TUY131095 UEU131081:UEU131095 UOQ131081:UOQ131095 UYM131081:UYM131095 VII131081:VII131095 VSE131081:VSE131095 WCA131081:WCA131095 WLW131081:WLW131095 WVS131081:WVS131095 J196617:J196631 JG196617:JG196631 TC196617:TC196631 ACY196617:ACY196631 AMU196617:AMU196631 AWQ196617:AWQ196631 BGM196617:BGM196631 BQI196617:BQI196631 CAE196617:CAE196631 CKA196617:CKA196631 CTW196617:CTW196631 DDS196617:DDS196631 DNO196617:DNO196631 DXK196617:DXK196631 EHG196617:EHG196631 ERC196617:ERC196631 FAY196617:FAY196631 FKU196617:FKU196631 FUQ196617:FUQ196631 GEM196617:GEM196631 GOI196617:GOI196631 GYE196617:GYE196631 HIA196617:HIA196631 HRW196617:HRW196631 IBS196617:IBS196631 ILO196617:ILO196631 IVK196617:IVK196631 JFG196617:JFG196631 JPC196617:JPC196631 JYY196617:JYY196631 KIU196617:KIU196631 KSQ196617:KSQ196631 LCM196617:LCM196631 LMI196617:LMI196631 LWE196617:LWE196631 MGA196617:MGA196631 MPW196617:MPW196631 MZS196617:MZS196631 NJO196617:NJO196631 NTK196617:NTK196631 ODG196617:ODG196631 ONC196617:ONC196631 OWY196617:OWY196631 PGU196617:PGU196631 PQQ196617:PQQ196631 QAM196617:QAM196631 QKI196617:QKI196631 QUE196617:QUE196631 REA196617:REA196631 RNW196617:RNW196631 RXS196617:RXS196631 SHO196617:SHO196631 SRK196617:SRK196631 TBG196617:TBG196631 TLC196617:TLC196631 TUY196617:TUY196631 UEU196617:UEU196631 UOQ196617:UOQ196631 UYM196617:UYM196631 VII196617:VII196631 VSE196617:VSE196631 WCA196617:WCA196631 WLW196617:WLW196631 WVS196617:WVS196631 J262153:J262167 JG262153:JG262167 TC262153:TC262167 ACY262153:ACY262167 AMU262153:AMU262167 AWQ262153:AWQ262167 BGM262153:BGM262167 BQI262153:BQI262167 CAE262153:CAE262167 CKA262153:CKA262167 CTW262153:CTW262167 DDS262153:DDS262167 DNO262153:DNO262167 DXK262153:DXK262167 EHG262153:EHG262167 ERC262153:ERC262167 FAY262153:FAY262167 FKU262153:FKU262167 FUQ262153:FUQ262167 GEM262153:GEM262167 GOI262153:GOI262167 GYE262153:GYE262167 HIA262153:HIA262167 HRW262153:HRW262167 IBS262153:IBS262167 ILO262153:ILO262167 IVK262153:IVK262167 JFG262153:JFG262167 JPC262153:JPC262167 JYY262153:JYY262167 KIU262153:KIU262167 KSQ262153:KSQ262167 LCM262153:LCM262167 LMI262153:LMI262167 LWE262153:LWE262167 MGA262153:MGA262167 MPW262153:MPW262167 MZS262153:MZS262167 NJO262153:NJO262167 NTK262153:NTK262167 ODG262153:ODG262167 ONC262153:ONC262167 OWY262153:OWY262167 PGU262153:PGU262167 PQQ262153:PQQ262167 QAM262153:QAM262167 QKI262153:QKI262167 QUE262153:QUE262167 REA262153:REA262167 RNW262153:RNW262167 RXS262153:RXS262167 SHO262153:SHO262167 SRK262153:SRK262167 TBG262153:TBG262167 TLC262153:TLC262167 TUY262153:TUY262167 UEU262153:UEU262167 UOQ262153:UOQ262167 UYM262153:UYM262167 VII262153:VII262167 VSE262153:VSE262167 WCA262153:WCA262167 WLW262153:WLW262167 WVS262153:WVS262167 J327689:J327703 JG327689:JG327703 TC327689:TC327703 ACY327689:ACY327703 AMU327689:AMU327703 AWQ327689:AWQ327703 BGM327689:BGM327703 BQI327689:BQI327703 CAE327689:CAE327703 CKA327689:CKA327703 CTW327689:CTW327703 DDS327689:DDS327703 DNO327689:DNO327703 DXK327689:DXK327703 EHG327689:EHG327703 ERC327689:ERC327703 FAY327689:FAY327703 FKU327689:FKU327703 FUQ327689:FUQ327703 GEM327689:GEM327703 GOI327689:GOI327703 GYE327689:GYE327703 HIA327689:HIA327703 HRW327689:HRW327703 IBS327689:IBS327703 ILO327689:ILO327703 IVK327689:IVK327703 JFG327689:JFG327703 JPC327689:JPC327703 JYY327689:JYY327703 KIU327689:KIU327703 KSQ327689:KSQ327703 LCM327689:LCM327703 LMI327689:LMI327703 LWE327689:LWE327703 MGA327689:MGA327703 MPW327689:MPW327703 MZS327689:MZS327703 NJO327689:NJO327703 NTK327689:NTK327703 ODG327689:ODG327703 ONC327689:ONC327703 OWY327689:OWY327703 PGU327689:PGU327703 PQQ327689:PQQ327703 QAM327689:QAM327703 QKI327689:QKI327703 QUE327689:QUE327703 REA327689:REA327703 RNW327689:RNW327703 RXS327689:RXS327703 SHO327689:SHO327703 SRK327689:SRK327703 TBG327689:TBG327703 TLC327689:TLC327703 TUY327689:TUY327703 UEU327689:UEU327703 UOQ327689:UOQ327703 UYM327689:UYM327703 VII327689:VII327703 VSE327689:VSE327703 WCA327689:WCA327703 WLW327689:WLW327703 WVS327689:WVS327703 J393225:J393239 JG393225:JG393239 TC393225:TC393239 ACY393225:ACY393239 AMU393225:AMU393239 AWQ393225:AWQ393239 BGM393225:BGM393239 BQI393225:BQI393239 CAE393225:CAE393239 CKA393225:CKA393239 CTW393225:CTW393239 DDS393225:DDS393239 DNO393225:DNO393239 DXK393225:DXK393239 EHG393225:EHG393239 ERC393225:ERC393239 FAY393225:FAY393239 FKU393225:FKU393239 FUQ393225:FUQ393239 GEM393225:GEM393239 GOI393225:GOI393239 GYE393225:GYE393239 HIA393225:HIA393239 HRW393225:HRW393239 IBS393225:IBS393239 ILO393225:ILO393239 IVK393225:IVK393239 JFG393225:JFG393239 JPC393225:JPC393239 JYY393225:JYY393239 KIU393225:KIU393239 KSQ393225:KSQ393239 LCM393225:LCM393239 LMI393225:LMI393239 LWE393225:LWE393239 MGA393225:MGA393239 MPW393225:MPW393239 MZS393225:MZS393239 NJO393225:NJO393239 NTK393225:NTK393239 ODG393225:ODG393239 ONC393225:ONC393239 OWY393225:OWY393239 PGU393225:PGU393239 PQQ393225:PQQ393239 QAM393225:QAM393239 QKI393225:QKI393239 QUE393225:QUE393239 REA393225:REA393239 RNW393225:RNW393239 RXS393225:RXS393239 SHO393225:SHO393239 SRK393225:SRK393239 TBG393225:TBG393239 TLC393225:TLC393239 TUY393225:TUY393239 UEU393225:UEU393239 UOQ393225:UOQ393239 UYM393225:UYM393239 VII393225:VII393239 VSE393225:VSE393239 WCA393225:WCA393239 WLW393225:WLW393239 WVS393225:WVS393239 J458761:J458775 JG458761:JG458775 TC458761:TC458775 ACY458761:ACY458775 AMU458761:AMU458775 AWQ458761:AWQ458775 BGM458761:BGM458775 BQI458761:BQI458775 CAE458761:CAE458775 CKA458761:CKA458775 CTW458761:CTW458775 DDS458761:DDS458775 DNO458761:DNO458775 DXK458761:DXK458775 EHG458761:EHG458775 ERC458761:ERC458775 FAY458761:FAY458775 FKU458761:FKU458775 FUQ458761:FUQ458775 GEM458761:GEM458775 GOI458761:GOI458775 GYE458761:GYE458775 HIA458761:HIA458775 HRW458761:HRW458775 IBS458761:IBS458775 ILO458761:ILO458775 IVK458761:IVK458775 JFG458761:JFG458775 JPC458761:JPC458775 JYY458761:JYY458775 KIU458761:KIU458775 KSQ458761:KSQ458775 LCM458761:LCM458775 LMI458761:LMI458775 LWE458761:LWE458775 MGA458761:MGA458775 MPW458761:MPW458775 MZS458761:MZS458775 NJO458761:NJO458775 NTK458761:NTK458775 ODG458761:ODG458775 ONC458761:ONC458775 OWY458761:OWY458775 PGU458761:PGU458775 PQQ458761:PQQ458775 QAM458761:QAM458775 QKI458761:QKI458775 QUE458761:QUE458775 REA458761:REA458775 RNW458761:RNW458775 RXS458761:RXS458775 SHO458761:SHO458775 SRK458761:SRK458775 TBG458761:TBG458775 TLC458761:TLC458775 TUY458761:TUY458775 UEU458761:UEU458775 UOQ458761:UOQ458775 UYM458761:UYM458775 VII458761:VII458775 VSE458761:VSE458775 WCA458761:WCA458775 WLW458761:WLW458775 WVS458761:WVS458775 J524297:J524311 JG524297:JG524311 TC524297:TC524311 ACY524297:ACY524311 AMU524297:AMU524311 AWQ524297:AWQ524311 BGM524297:BGM524311 BQI524297:BQI524311 CAE524297:CAE524311 CKA524297:CKA524311 CTW524297:CTW524311 DDS524297:DDS524311 DNO524297:DNO524311 DXK524297:DXK524311 EHG524297:EHG524311 ERC524297:ERC524311 FAY524297:FAY524311 FKU524297:FKU524311 FUQ524297:FUQ524311 GEM524297:GEM524311 GOI524297:GOI524311 GYE524297:GYE524311 HIA524297:HIA524311 HRW524297:HRW524311 IBS524297:IBS524311 ILO524297:ILO524311 IVK524297:IVK524311 JFG524297:JFG524311 JPC524297:JPC524311 JYY524297:JYY524311 KIU524297:KIU524311 KSQ524297:KSQ524311 LCM524297:LCM524311 LMI524297:LMI524311 LWE524297:LWE524311 MGA524297:MGA524311 MPW524297:MPW524311 MZS524297:MZS524311 NJO524297:NJO524311 NTK524297:NTK524311 ODG524297:ODG524311 ONC524297:ONC524311 OWY524297:OWY524311 PGU524297:PGU524311 PQQ524297:PQQ524311 QAM524297:QAM524311 QKI524297:QKI524311 QUE524297:QUE524311 REA524297:REA524311 RNW524297:RNW524311 RXS524297:RXS524311 SHO524297:SHO524311 SRK524297:SRK524311 TBG524297:TBG524311 TLC524297:TLC524311 TUY524297:TUY524311 UEU524297:UEU524311 UOQ524297:UOQ524311 UYM524297:UYM524311 VII524297:VII524311 VSE524297:VSE524311 WCA524297:WCA524311 WLW524297:WLW524311 WVS524297:WVS524311 J589833:J589847 JG589833:JG589847 TC589833:TC589847 ACY589833:ACY589847 AMU589833:AMU589847 AWQ589833:AWQ589847 BGM589833:BGM589847 BQI589833:BQI589847 CAE589833:CAE589847 CKA589833:CKA589847 CTW589833:CTW589847 DDS589833:DDS589847 DNO589833:DNO589847 DXK589833:DXK589847 EHG589833:EHG589847 ERC589833:ERC589847 FAY589833:FAY589847 FKU589833:FKU589847 FUQ589833:FUQ589847 GEM589833:GEM589847 GOI589833:GOI589847 GYE589833:GYE589847 HIA589833:HIA589847 HRW589833:HRW589847 IBS589833:IBS589847 ILO589833:ILO589847 IVK589833:IVK589847 JFG589833:JFG589847 JPC589833:JPC589847 JYY589833:JYY589847 KIU589833:KIU589847 KSQ589833:KSQ589847 LCM589833:LCM589847 LMI589833:LMI589847 LWE589833:LWE589847 MGA589833:MGA589847 MPW589833:MPW589847 MZS589833:MZS589847 NJO589833:NJO589847 NTK589833:NTK589847 ODG589833:ODG589847 ONC589833:ONC589847 OWY589833:OWY589847 PGU589833:PGU589847 PQQ589833:PQQ589847 QAM589833:QAM589847 QKI589833:QKI589847 QUE589833:QUE589847 REA589833:REA589847 RNW589833:RNW589847 RXS589833:RXS589847 SHO589833:SHO589847 SRK589833:SRK589847 TBG589833:TBG589847 TLC589833:TLC589847 TUY589833:TUY589847 UEU589833:UEU589847 UOQ589833:UOQ589847 UYM589833:UYM589847 VII589833:VII589847 VSE589833:VSE589847 WCA589833:WCA589847 WLW589833:WLW589847 WVS589833:WVS589847 J655369:J655383 JG655369:JG655383 TC655369:TC655383 ACY655369:ACY655383 AMU655369:AMU655383 AWQ655369:AWQ655383 BGM655369:BGM655383 BQI655369:BQI655383 CAE655369:CAE655383 CKA655369:CKA655383 CTW655369:CTW655383 DDS655369:DDS655383 DNO655369:DNO655383 DXK655369:DXK655383 EHG655369:EHG655383 ERC655369:ERC655383 FAY655369:FAY655383 FKU655369:FKU655383 FUQ655369:FUQ655383 GEM655369:GEM655383 GOI655369:GOI655383 GYE655369:GYE655383 HIA655369:HIA655383 HRW655369:HRW655383 IBS655369:IBS655383 ILO655369:ILO655383 IVK655369:IVK655383 JFG655369:JFG655383 JPC655369:JPC655383 JYY655369:JYY655383 KIU655369:KIU655383 KSQ655369:KSQ655383 LCM655369:LCM655383 LMI655369:LMI655383 LWE655369:LWE655383 MGA655369:MGA655383 MPW655369:MPW655383 MZS655369:MZS655383 NJO655369:NJO655383 NTK655369:NTK655383 ODG655369:ODG655383 ONC655369:ONC655383 OWY655369:OWY655383 PGU655369:PGU655383 PQQ655369:PQQ655383 QAM655369:QAM655383 QKI655369:QKI655383 QUE655369:QUE655383 REA655369:REA655383 RNW655369:RNW655383 RXS655369:RXS655383 SHO655369:SHO655383 SRK655369:SRK655383 TBG655369:TBG655383 TLC655369:TLC655383 TUY655369:TUY655383 UEU655369:UEU655383 UOQ655369:UOQ655383 UYM655369:UYM655383 VII655369:VII655383 VSE655369:VSE655383 WCA655369:WCA655383 WLW655369:WLW655383 WVS655369:WVS655383 J720905:J720919 JG720905:JG720919 TC720905:TC720919 ACY720905:ACY720919 AMU720905:AMU720919 AWQ720905:AWQ720919 BGM720905:BGM720919 BQI720905:BQI720919 CAE720905:CAE720919 CKA720905:CKA720919 CTW720905:CTW720919 DDS720905:DDS720919 DNO720905:DNO720919 DXK720905:DXK720919 EHG720905:EHG720919 ERC720905:ERC720919 FAY720905:FAY720919 FKU720905:FKU720919 FUQ720905:FUQ720919 GEM720905:GEM720919 GOI720905:GOI720919 GYE720905:GYE720919 HIA720905:HIA720919 HRW720905:HRW720919 IBS720905:IBS720919 ILO720905:ILO720919 IVK720905:IVK720919 JFG720905:JFG720919 JPC720905:JPC720919 JYY720905:JYY720919 KIU720905:KIU720919 KSQ720905:KSQ720919 LCM720905:LCM720919 LMI720905:LMI720919 LWE720905:LWE720919 MGA720905:MGA720919 MPW720905:MPW720919 MZS720905:MZS720919 NJO720905:NJO720919 NTK720905:NTK720919 ODG720905:ODG720919 ONC720905:ONC720919 OWY720905:OWY720919 PGU720905:PGU720919 PQQ720905:PQQ720919 QAM720905:QAM720919 QKI720905:QKI720919 QUE720905:QUE720919 REA720905:REA720919 RNW720905:RNW720919 RXS720905:RXS720919 SHO720905:SHO720919 SRK720905:SRK720919 TBG720905:TBG720919 TLC720905:TLC720919 TUY720905:TUY720919 UEU720905:UEU720919 UOQ720905:UOQ720919 UYM720905:UYM720919 VII720905:VII720919 VSE720905:VSE720919 WCA720905:WCA720919 WLW720905:WLW720919 WVS720905:WVS720919 J786441:J786455 JG786441:JG786455 TC786441:TC786455 ACY786441:ACY786455 AMU786441:AMU786455 AWQ786441:AWQ786455 BGM786441:BGM786455 BQI786441:BQI786455 CAE786441:CAE786455 CKA786441:CKA786455 CTW786441:CTW786455 DDS786441:DDS786455 DNO786441:DNO786455 DXK786441:DXK786455 EHG786441:EHG786455 ERC786441:ERC786455 FAY786441:FAY786455 FKU786441:FKU786455 FUQ786441:FUQ786455 GEM786441:GEM786455 GOI786441:GOI786455 GYE786441:GYE786455 HIA786441:HIA786455 HRW786441:HRW786455 IBS786441:IBS786455 ILO786441:ILO786455 IVK786441:IVK786455 JFG786441:JFG786455 JPC786441:JPC786455 JYY786441:JYY786455 KIU786441:KIU786455 KSQ786441:KSQ786455 LCM786441:LCM786455 LMI786441:LMI786455 LWE786441:LWE786455 MGA786441:MGA786455 MPW786441:MPW786455 MZS786441:MZS786455 NJO786441:NJO786455 NTK786441:NTK786455 ODG786441:ODG786455 ONC786441:ONC786455 OWY786441:OWY786455 PGU786441:PGU786455 PQQ786441:PQQ786455 QAM786441:QAM786455 QKI786441:QKI786455 QUE786441:QUE786455 REA786441:REA786455 RNW786441:RNW786455 RXS786441:RXS786455 SHO786441:SHO786455 SRK786441:SRK786455 TBG786441:TBG786455 TLC786441:TLC786455 TUY786441:TUY786455 UEU786441:UEU786455 UOQ786441:UOQ786455 UYM786441:UYM786455 VII786441:VII786455 VSE786441:VSE786455 WCA786441:WCA786455 WLW786441:WLW786455 WVS786441:WVS786455 J851977:J851991 JG851977:JG851991 TC851977:TC851991 ACY851977:ACY851991 AMU851977:AMU851991 AWQ851977:AWQ851991 BGM851977:BGM851991 BQI851977:BQI851991 CAE851977:CAE851991 CKA851977:CKA851991 CTW851977:CTW851991 DDS851977:DDS851991 DNO851977:DNO851991 DXK851977:DXK851991 EHG851977:EHG851991 ERC851977:ERC851991 FAY851977:FAY851991 FKU851977:FKU851991 FUQ851977:FUQ851991 GEM851977:GEM851991 GOI851977:GOI851991 GYE851977:GYE851991 HIA851977:HIA851991 HRW851977:HRW851991 IBS851977:IBS851991 ILO851977:ILO851991 IVK851977:IVK851991 JFG851977:JFG851991 JPC851977:JPC851991 JYY851977:JYY851991 KIU851977:KIU851991 KSQ851977:KSQ851991 LCM851977:LCM851991 LMI851977:LMI851991 LWE851977:LWE851991 MGA851977:MGA851991 MPW851977:MPW851991 MZS851977:MZS851991 NJO851977:NJO851991 NTK851977:NTK851991 ODG851977:ODG851991 ONC851977:ONC851991 OWY851977:OWY851991 PGU851977:PGU851991 PQQ851977:PQQ851991 QAM851977:QAM851991 QKI851977:QKI851991 QUE851977:QUE851991 REA851977:REA851991 RNW851977:RNW851991 RXS851977:RXS851991 SHO851977:SHO851991 SRK851977:SRK851991 TBG851977:TBG851991 TLC851977:TLC851991 TUY851977:TUY851991 UEU851977:UEU851991 UOQ851977:UOQ851991 UYM851977:UYM851991 VII851977:VII851991 VSE851977:VSE851991 WCA851977:WCA851991 WLW851977:WLW851991 WVS851977:WVS851991 J917513:J917527 JG917513:JG917527 TC917513:TC917527 ACY917513:ACY917527 AMU917513:AMU917527 AWQ917513:AWQ917527 BGM917513:BGM917527 BQI917513:BQI917527 CAE917513:CAE917527 CKA917513:CKA917527 CTW917513:CTW917527 DDS917513:DDS917527 DNO917513:DNO917527 DXK917513:DXK917527 EHG917513:EHG917527 ERC917513:ERC917527 FAY917513:FAY917527 FKU917513:FKU917527 FUQ917513:FUQ917527 GEM917513:GEM917527 GOI917513:GOI917527 GYE917513:GYE917527 HIA917513:HIA917527 HRW917513:HRW917527 IBS917513:IBS917527 ILO917513:ILO917527 IVK917513:IVK917527 JFG917513:JFG917527 JPC917513:JPC917527 JYY917513:JYY917527 KIU917513:KIU917527 KSQ917513:KSQ917527 LCM917513:LCM917527 LMI917513:LMI917527 LWE917513:LWE917527 MGA917513:MGA917527 MPW917513:MPW917527 MZS917513:MZS917527 NJO917513:NJO917527 NTK917513:NTK917527 ODG917513:ODG917527 ONC917513:ONC917527 OWY917513:OWY917527 PGU917513:PGU917527 PQQ917513:PQQ917527 QAM917513:QAM917527 QKI917513:QKI917527 QUE917513:QUE917527 REA917513:REA917527 RNW917513:RNW917527 RXS917513:RXS917527 SHO917513:SHO917527 SRK917513:SRK917527 TBG917513:TBG917527 TLC917513:TLC917527 TUY917513:TUY917527 UEU917513:UEU917527 UOQ917513:UOQ917527 UYM917513:UYM917527 VII917513:VII917527 VSE917513:VSE917527 WCA917513:WCA917527 WLW917513:WLW917527 WVS917513:WVS917527 J983049:J983063 JG983049:JG983063 TC983049:TC983063 ACY983049:ACY983063 AMU983049:AMU983063 AWQ983049:AWQ983063 BGM983049:BGM983063 BQI983049:BQI983063 CAE983049:CAE983063 CKA983049:CKA983063 CTW983049:CTW983063 DDS983049:DDS983063 DNO983049:DNO983063 DXK983049:DXK983063 EHG983049:EHG983063 ERC983049:ERC983063 FAY983049:FAY983063 FKU983049:FKU983063 FUQ983049:FUQ983063 GEM983049:GEM983063 GOI983049:GOI983063 GYE983049:GYE983063 HIA983049:HIA983063 HRW983049:HRW983063 IBS983049:IBS983063 ILO983049:ILO983063 IVK983049:IVK983063 JFG983049:JFG983063 JPC983049:JPC983063 JYY983049:JYY983063 KIU983049:KIU983063 KSQ983049:KSQ983063 LCM983049:LCM983063 LMI983049:LMI983063 LWE983049:LWE983063 MGA983049:MGA983063 MPW983049:MPW983063 MZS983049:MZS983063 NJO983049:NJO983063 NTK983049:NTK983063 ODG983049:ODG983063 ONC983049:ONC983063 OWY983049:OWY983063 PGU983049:PGU983063 PQQ983049:PQQ983063 QAM983049:QAM983063 QKI983049:QKI983063 QUE983049:QUE983063 REA983049:REA983063 RNW983049:RNW983063 RXS983049:RXS983063 SHO983049:SHO983063 SRK983049:SRK983063 TBG983049:TBG983063 TLC983049:TLC983063 TUY983049:TUY983063 UEU983049:UEU983063 UOQ983049:UOQ983063 UYM983049:UYM983063 VII983049:VII983063 VSE983049:VSE983063 WCA983049:WCA983063 WLW983049:WLW983063 WVS983049:WVS983063" xr:uid="{00000000-0002-0000-3200-000001000000}">
      <formula1>4</formula1>
    </dataValidation>
  </dataValidations>
  <hyperlinks>
    <hyperlink ref="B1:P1" location="Index!A1" display="Index!A1" xr:uid="{00000000-0004-0000-3200-000000000000}"/>
  </hyperlinks>
  <printOptions horizontalCentered="1"/>
  <pageMargins left="0.5" right="0.5" top="0.75" bottom="0.5" header="0.5" footer="0.5"/>
  <pageSetup scale="79" orientation="landscape" blackAndWhite="1" r:id="rId1"/>
  <headerFooter alignWithMargins="0">
    <oddFooter>&amp;R&amp;A</oddFooter>
  </headerFooter>
  <ignoredErrors>
    <ignoredError sqref="O5:V6" unlocked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X56"/>
  <sheetViews>
    <sheetView showGridLines="0" topLeftCell="B1" zoomScaleNormal="100" workbookViewId="0">
      <selection activeCell="B3" sqref="B3:N3"/>
    </sheetView>
  </sheetViews>
  <sheetFormatPr defaultColWidth="9.42578125" defaultRowHeight="15.75" x14ac:dyDescent="0.25"/>
  <cols>
    <col min="1" max="1" width="0" style="226" hidden="1" customWidth="1"/>
    <col min="2" max="2" width="12.42578125" style="226" customWidth="1"/>
    <col min="3" max="3" width="1.5703125" style="226" customWidth="1"/>
    <col min="4" max="4" width="24.42578125" style="226" customWidth="1"/>
    <col min="5" max="5" width="1.5703125" style="226" customWidth="1"/>
    <col min="6" max="6" width="30.5703125" style="226" customWidth="1"/>
    <col min="7" max="7" width="1.5703125" style="226" customWidth="1"/>
    <col min="8" max="8" width="15.5703125" style="226" customWidth="1"/>
    <col min="9" max="9" width="1.5703125" style="226" customWidth="1"/>
    <col min="10" max="10" width="6.5703125" style="226" customWidth="1"/>
    <col min="11" max="11" width="1.42578125" style="226" customWidth="1"/>
    <col min="12" max="12" width="9" style="226" customWidth="1"/>
    <col min="13" max="13" width="1.5703125" style="226" customWidth="1"/>
    <col min="14" max="14" width="9.5703125" style="226" customWidth="1"/>
    <col min="15" max="15" width="4.5703125" style="56" customWidth="1"/>
    <col min="16" max="16" width="7" style="226" hidden="1" customWidth="1"/>
    <col min="17" max="17" width="2" style="226" hidden="1" customWidth="1"/>
    <col min="18" max="18" width="7" style="226" hidden="1" customWidth="1"/>
    <col min="19" max="21" width="5.5703125" style="226" hidden="1" customWidth="1"/>
    <col min="22" max="23" width="7" style="226" hidden="1" customWidth="1"/>
    <col min="24" max="24" width="8.5703125" style="226" hidden="1" customWidth="1"/>
    <col min="25" max="16384" width="9.42578125" style="226"/>
  </cols>
  <sheetData>
    <row r="1" spans="2:24" s="209"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829" t="str">
        <f>IF(Index!$B$76="na","NA","")</f>
        <v/>
      </c>
    </row>
    <row r="2" spans="2:24" s="209" customFormat="1" ht="15" customHeight="1" x14ac:dyDescent="0.25">
      <c r="B2" s="3111" t="str">
        <f>Index!$A$2</f>
        <v>2022 ACFR Worksheets</v>
      </c>
      <c r="C2" s="3111"/>
      <c r="D2" s="3111"/>
      <c r="E2" s="3111"/>
      <c r="F2" s="3111"/>
      <c r="G2" s="3111"/>
      <c r="H2" s="3111"/>
      <c r="I2" s="3111"/>
      <c r="J2" s="3111"/>
      <c r="K2" s="3111"/>
      <c r="L2" s="3111"/>
      <c r="M2" s="3111"/>
      <c r="N2" s="3111"/>
      <c r="O2" s="2829"/>
    </row>
    <row r="3" spans="2:24" s="209" customFormat="1" ht="15" customHeight="1" x14ac:dyDescent="0.25">
      <c r="B3" s="3111" t="s">
        <v>1530</v>
      </c>
      <c r="C3" s="3111"/>
      <c r="D3" s="3111"/>
      <c r="E3" s="3111"/>
      <c r="F3" s="3111"/>
      <c r="G3" s="3111"/>
      <c r="H3" s="3111"/>
      <c r="I3" s="3111"/>
      <c r="J3" s="3111"/>
      <c r="K3" s="3111"/>
      <c r="L3" s="3111"/>
      <c r="M3" s="3111"/>
      <c r="N3" s="3111"/>
      <c r="O3" s="2829"/>
    </row>
    <row r="4" spans="2:24" s="211" customFormat="1" ht="15" customHeight="1" x14ac:dyDescent="0.25">
      <c r="B4" s="210"/>
      <c r="C4" s="210"/>
      <c r="D4" s="210"/>
      <c r="E4" s="210"/>
      <c r="F4" s="210"/>
      <c r="G4" s="210"/>
      <c r="H4" s="238" t="s">
        <v>4724</v>
      </c>
      <c r="I4" s="210"/>
      <c r="J4" s="210"/>
      <c r="K4" s="210"/>
      <c r="L4" s="210"/>
      <c r="M4" s="210"/>
      <c r="N4" s="210"/>
      <c r="O4" s="183"/>
    </row>
    <row r="5" spans="2:24" s="184" customFormat="1" ht="21" customHeight="1" x14ac:dyDescent="0.2">
      <c r="B5" s="212" t="s">
        <v>327</v>
      </c>
      <c r="D5" s="213" t="str">
        <f>Index!$E$10</f>
        <v>01</v>
      </c>
      <c r="F5" s="214"/>
      <c r="H5" s="215" t="s">
        <v>972</v>
      </c>
      <c r="I5" s="3077" t="str">
        <f>CONCATENATE(Index!$E$12," ",Index!$E$14)</f>
        <v xml:space="preserve"> </v>
      </c>
      <c r="J5" s="2764"/>
      <c r="K5" s="2764"/>
      <c r="L5" s="2764"/>
      <c r="M5" s="2764"/>
      <c r="N5" s="2764"/>
    </row>
    <row r="6" spans="2:24" s="184" customFormat="1" ht="15" customHeight="1" x14ac:dyDescent="0.2">
      <c r="B6" s="212" t="s">
        <v>1154</v>
      </c>
      <c r="D6" s="3110" t="str">
        <f>Index!$E$11</f>
        <v>North Carolina General Assembly</v>
      </c>
      <c r="E6" s="3110"/>
      <c r="F6" s="3110"/>
      <c r="G6" s="214"/>
      <c r="H6" s="215" t="s">
        <v>348</v>
      </c>
      <c r="I6" s="3112">
        <f>+Index!$E$13</f>
        <v>0</v>
      </c>
      <c r="J6" s="3112"/>
      <c r="K6" s="3112"/>
      <c r="L6" s="3112"/>
      <c r="M6" s="3112"/>
      <c r="N6" s="3112"/>
      <c r="O6" s="57"/>
    </row>
    <row r="7" spans="2:24" s="184" customFormat="1" ht="15" customHeight="1" x14ac:dyDescent="0.2">
      <c r="B7" s="212" t="s">
        <v>723</v>
      </c>
      <c r="D7" s="2422" t="s">
        <v>351</v>
      </c>
      <c r="F7" s="216"/>
      <c r="O7" s="57"/>
    </row>
    <row r="8" spans="2:24" s="211" customFormat="1" ht="15" customHeight="1" thickBot="1" x14ac:dyDescent="0.25">
      <c r="B8" s="217"/>
      <c r="C8" s="217"/>
      <c r="D8" s="217"/>
      <c r="E8" s="217"/>
      <c r="F8" s="217"/>
      <c r="G8" s="217"/>
      <c r="H8" s="217"/>
      <c r="I8" s="217"/>
      <c r="J8" s="217"/>
      <c r="K8" s="218"/>
      <c r="L8" s="217"/>
      <c r="M8" s="217"/>
      <c r="N8" s="217"/>
      <c r="O8" s="57"/>
    </row>
    <row r="9" spans="2:24" s="211" customFormat="1" ht="15" customHeight="1" thickBot="1" x14ac:dyDescent="0.25">
      <c r="B9" s="219" t="s">
        <v>1155</v>
      </c>
      <c r="F9" s="219"/>
      <c r="I9" s="220"/>
      <c r="J9" s="221" t="s">
        <v>352</v>
      </c>
      <c r="K9" s="222"/>
      <c r="L9" s="222"/>
      <c r="M9" s="222"/>
      <c r="N9" s="222"/>
      <c r="O9" s="57"/>
    </row>
    <row r="10" spans="2:24" s="211" customFormat="1" ht="15" customHeight="1" x14ac:dyDescent="0.2">
      <c r="B10" s="219" t="s">
        <v>684</v>
      </c>
      <c r="D10" s="219" t="s">
        <v>353</v>
      </c>
      <c r="F10" s="219" t="s">
        <v>354</v>
      </c>
      <c r="I10" s="220"/>
      <c r="J10" s="210"/>
      <c r="K10" s="210"/>
      <c r="L10" s="210"/>
      <c r="M10" s="210"/>
      <c r="N10" s="220" t="s">
        <v>86</v>
      </c>
      <c r="O10" s="57"/>
    </row>
    <row r="11" spans="2:24" s="211" customFormat="1" ht="15" customHeight="1" thickBot="1" x14ac:dyDescent="0.25">
      <c r="B11" s="223" t="s">
        <v>355</v>
      </c>
      <c r="C11" s="219"/>
      <c r="D11" s="224" t="s">
        <v>1130</v>
      </c>
      <c r="F11" s="224" t="s">
        <v>356</v>
      </c>
      <c r="H11" s="224" t="s">
        <v>1156</v>
      </c>
      <c r="J11" s="224" t="s">
        <v>1198</v>
      </c>
      <c r="K11" s="219"/>
      <c r="L11" s="224" t="s">
        <v>1199</v>
      </c>
      <c r="N11" s="224" t="s">
        <v>1200</v>
      </c>
      <c r="O11" s="57"/>
    </row>
    <row r="12" spans="2:24" s="211" customFormat="1" ht="15" customHeight="1" x14ac:dyDescent="0.2">
      <c r="B12" s="570"/>
      <c r="D12" s="572"/>
      <c r="E12" s="573"/>
      <c r="F12" s="572"/>
      <c r="G12" s="573"/>
      <c r="H12" s="571"/>
      <c r="J12" s="572"/>
      <c r="K12" s="573"/>
      <c r="L12" s="572"/>
      <c r="M12" s="573"/>
      <c r="N12" s="572"/>
      <c r="O12" s="552" t="str">
        <f>IF(AND(P12,W12),"","*")</f>
        <v/>
      </c>
      <c r="P12" s="553" t="b">
        <f>IF(OR(Q12=0,Q12=5),TRUE, FALSE)</f>
        <v>1</v>
      </c>
      <c r="Q12" s="553">
        <f>COUNTIF(R12:V12,FALSE)</f>
        <v>0</v>
      </c>
      <c r="R12" s="211" t="b">
        <f>ISBLANK(B12)</f>
        <v>1</v>
      </c>
      <c r="S12" s="211" t="b">
        <f>ISBLANK(D12)</f>
        <v>1</v>
      </c>
      <c r="T12" s="211" t="b">
        <f>ISBLANK(F12)</f>
        <v>1</v>
      </c>
      <c r="U12" s="211" t="b">
        <f>ISBLANK(H12)</f>
        <v>1</v>
      </c>
      <c r="V12" s="211" t="b">
        <f>AND(ISBLANK(J12),ISBLANK(L12),ISBLANK(N12))</f>
        <v>1</v>
      </c>
      <c r="W12" s="211" t="b">
        <f>IF(ISBLANK(B12),TRUE,OR(X12=4387,X12=5387))</f>
        <v>1</v>
      </c>
      <c r="X12" s="211">
        <f>IF(ISBLANK(B12),0,VALUE(LEFT(B12,4)))</f>
        <v>0</v>
      </c>
    </row>
    <row r="13" spans="2:24" s="211" customFormat="1" ht="15" customHeight="1" x14ac:dyDescent="0.2">
      <c r="B13" s="570"/>
      <c r="D13" s="572"/>
      <c r="E13" s="573"/>
      <c r="F13" s="572"/>
      <c r="G13" s="573"/>
      <c r="H13" s="571"/>
      <c r="J13" s="574"/>
      <c r="K13" s="573"/>
      <c r="L13" s="574"/>
      <c r="M13" s="573"/>
      <c r="N13" s="574"/>
      <c r="O13" s="552" t="str">
        <f t="shared" ref="O13:O28" si="0">IF(AND(P13,W13),"","*")</f>
        <v/>
      </c>
      <c r="P13" s="553" t="b">
        <f t="shared" ref="P13:P28" si="1">IF(OR(Q13=0,Q13=5),TRUE, FALSE)</f>
        <v>1</v>
      </c>
      <c r="Q13" s="553">
        <f t="shared" ref="Q13:Q28" si="2">COUNTIF(R13:V13,FALSE)</f>
        <v>0</v>
      </c>
      <c r="R13" s="211" t="b">
        <f t="shared" ref="R13:R28" si="3">ISBLANK(B13)</f>
        <v>1</v>
      </c>
      <c r="S13" s="211" t="b">
        <f t="shared" ref="S13:S28" si="4">ISBLANK(D13)</f>
        <v>1</v>
      </c>
      <c r="T13" s="211" t="b">
        <f t="shared" ref="T13:T28" si="5">ISBLANK(F13)</f>
        <v>1</v>
      </c>
      <c r="U13" s="211" t="b">
        <f t="shared" ref="U13:U28" si="6">ISBLANK(H13)</f>
        <v>1</v>
      </c>
      <c r="V13" s="211" t="b">
        <f t="shared" ref="V13:V28" si="7">AND(ISBLANK(J13),ISBLANK(L13),ISBLANK(N13))</f>
        <v>1</v>
      </c>
      <c r="W13" s="211" t="b">
        <f t="shared" ref="W13:W28" si="8">IF(ISBLANK(B13),TRUE,OR(X13=4387,X13=5387))</f>
        <v>1</v>
      </c>
      <c r="X13" s="211">
        <f t="shared" ref="X13:X28" si="9">IF(ISBLANK(B13),0,VALUE(LEFT(B13,4)))</f>
        <v>0</v>
      </c>
    </row>
    <row r="14" spans="2:24" s="211" customFormat="1" ht="15" customHeight="1" x14ac:dyDescent="0.2">
      <c r="B14" s="570"/>
      <c r="D14" s="572"/>
      <c r="E14" s="573"/>
      <c r="F14" s="572"/>
      <c r="G14" s="573"/>
      <c r="H14" s="571"/>
      <c r="J14" s="574"/>
      <c r="K14" s="573"/>
      <c r="L14" s="572"/>
      <c r="M14" s="573"/>
      <c r="N14" s="574"/>
      <c r="O14" s="552" t="str">
        <f t="shared" si="0"/>
        <v/>
      </c>
      <c r="P14" s="553" t="b">
        <f t="shared" si="1"/>
        <v>1</v>
      </c>
      <c r="Q14" s="553">
        <f t="shared" si="2"/>
        <v>0</v>
      </c>
      <c r="R14" s="211" t="b">
        <f t="shared" si="3"/>
        <v>1</v>
      </c>
      <c r="S14" s="211" t="b">
        <f t="shared" si="4"/>
        <v>1</v>
      </c>
      <c r="T14" s="211" t="b">
        <f t="shared" si="5"/>
        <v>1</v>
      </c>
      <c r="U14" s="211" t="b">
        <f t="shared" si="6"/>
        <v>1</v>
      </c>
      <c r="V14" s="211" t="b">
        <f t="shared" si="7"/>
        <v>1</v>
      </c>
      <c r="W14" s="211" t="b">
        <f t="shared" si="8"/>
        <v>1</v>
      </c>
      <c r="X14" s="211">
        <f t="shared" si="9"/>
        <v>0</v>
      </c>
    </row>
    <row r="15" spans="2:24" s="211" customFormat="1" ht="15" customHeight="1" x14ac:dyDescent="0.2">
      <c r="B15" s="570"/>
      <c r="D15" s="572"/>
      <c r="E15" s="573"/>
      <c r="F15" s="572"/>
      <c r="G15" s="573"/>
      <c r="H15" s="571"/>
      <c r="J15" s="574"/>
      <c r="K15" s="573"/>
      <c r="L15" s="574"/>
      <c r="M15" s="573"/>
      <c r="N15" s="574"/>
      <c r="O15" s="552" t="str">
        <f t="shared" si="0"/>
        <v/>
      </c>
      <c r="P15" s="553" t="b">
        <f t="shared" si="1"/>
        <v>1</v>
      </c>
      <c r="Q15" s="553">
        <f t="shared" si="2"/>
        <v>0</v>
      </c>
      <c r="R15" s="211" t="b">
        <f t="shared" si="3"/>
        <v>1</v>
      </c>
      <c r="S15" s="211" t="b">
        <f t="shared" si="4"/>
        <v>1</v>
      </c>
      <c r="T15" s="211" t="b">
        <f t="shared" si="5"/>
        <v>1</v>
      </c>
      <c r="U15" s="211" t="b">
        <f t="shared" si="6"/>
        <v>1</v>
      </c>
      <c r="V15" s="211" t="b">
        <f t="shared" si="7"/>
        <v>1</v>
      </c>
      <c r="W15" s="211" t="b">
        <f t="shared" si="8"/>
        <v>1</v>
      </c>
      <c r="X15" s="211">
        <f t="shared" si="9"/>
        <v>0</v>
      </c>
    </row>
    <row r="16" spans="2:24" s="211" customFormat="1" ht="15" customHeight="1" x14ac:dyDescent="0.2">
      <c r="B16" s="570"/>
      <c r="D16" s="572"/>
      <c r="E16" s="573"/>
      <c r="F16" s="572"/>
      <c r="G16" s="573"/>
      <c r="H16" s="571"/>
      <c r="J16" s="574"/>
      <c r="K16" s="573"/>
      <c r="L16" s="574"/>
      <c r="M16" s="573"/>
      <c r="N16" s="574"/>
      <c r="O16" s="552" t="str">
        <f t="shared" si="0"/>
        <v/>
      </c>
      <c r="P16" s="553" t="b">
        <f t="shared" si="1"/>
        <v>1</v>
      </c>
      <c r="Q16" s="553">
        <f t="shared" si="2"/>
        <v>0</v>
      </c>
      <c r="R16" s="211" t="b">
        <f t="shared" si="3"/>
        <v>1</v>
      </c>
      <c r="S16" s="211" t="b">
        <f t="shared" si="4"/>
        <v>1</v>
      </c>
      <c r="T16" s="211" t="b">
        <f t="shared" si="5"/>
        <v>1</v>
      </c>
      <c r="U16" s="211" t="b">
        <f t="shared" si="6"/>
        <v>1</v>
      </c>
      <c r="V16" s="211" t="b">
        <f t="shared" si="7"/>
        <v>1</v>
      </c>
      <c r="W16" s="211" t="b">
        <f t="shared" si="8"/>
        <v>1</v>
      </c>
      <c r="X16" s="211">
        <f t="shared" si="9"/>
        <v>0</v>
      </c>
    </row>
    <row r="17" spans="2:24" s="211" customFormat="1" ht="15" customHeight="1" x14ac:dyDescent="0.2">
      <c r="B17" s="570"/>
      <c r="D17" s="572"/>
      <c r="E17" s="573"/>
      <c r="F17" s="572"/>
      <c r="G17" s="573"/>
      <c r="H17" s="571"/>
      <c r="J17" s="574"/>
      <c r="K17" s="573"/>
      <c r="L17" s="574"/>
      <c r="M17" s="573"/>
      <c r="N17" s="574"/>
      <c r="O17" s="552" t="str">
        <f t="shared" si="0"/>
        <v/>
      </c>
      <c r="P17" s="553" t="b">
        <f t="shared" si="1"/>
        <v>1</v>
      </c>
      <c r="Q17" s="553">
        <f t="shared" si="2"/>
        <v>0</v>
      </c>
      <c r="R17" s="211" t="b">
        <f t="shared" si="3"/>
        <v>1</v>
      </c>
      <c r="S17" s="211" t="b">
        <f t="shared" si="4"/>
        <v>1</v>
      </c>
      <c r="T17" s="211" t="b">
        <f t="shared" si="5"/>
        <v>1</v>
      </c>
      <c r="U17" s="211" t="b">
        <f t="shared" si="6"/>
        <v>1</v>
      </c>
      <c r="V17" s="211" t="b">
        <f t="shared" si="7"/>
        <v>1</v>
      </c>
      <c r="W17" s="211" t="b">
        <f t="shared" si="8"/>
        <v>1</v>
      </c>
      <c r="X17" s="211">
        <f t="shared" si="9"/>
        <v>0</v>
      </c>
    </row>
    <row r="18" spans="2:24" s="211" customFormat="1" ht="15" customHeight="1" x14ac:dyDescent="0.2">
      <c r="B18" s="570"/>
      <c r="D18" s="572"/>
      <c r="E18" s="573"/>
      <c r="F18" s="572"/>
      <c r="G18" s="573"/>
      <c r="H18" s="571"/>
      <c r="J18" s="574"/>
      <c r="K18" s="573"/>
      <c r="L18" s="574"/>
      <c r="M18" s="573"/>
      <c r="N18" s="574"/>
      <c r="O18" s="552" t="str">
        <f t="shared" si="0"/>
        <v/>
      </c>
      <c r="P18" s="553" t="b">
        <f t="shared" si="1"/>
        <v>1</v>
      </c>
      <c r="Q18" s="553">
        <f t="shared" si="2"/>
        <v>0</v>
      </c>
      <c r="R18" s="211" t="b">
        <f t="shared" si="3"/>
        <v>1</v>
      </c>
      <c r="S18" s="211" t="b">
        <f t="shared" si="4"/>
        <v>1</v>
      </c>
      <c r="T18" s="211" t="b">
        <f t="shared" si="5"/>
        <v>1</v>
      </c>
      <c r="U18" s="211" t="b">
        <f t="shared" si="6"/>
        <v>1</v>
      </c>
      <c r="V18" s="211" t="b">
        <f t="shared" si="7"/>
        <v>1</v>
      </c>
      <c r="W18" s="211" t="b">
        <f t="shared" si="8"/>
        <v>1</v>
      </c>
      <c r="X18" s="211">
        <f t="shared" si="9"/>
        <v>0</v>
      </c>
    </row>
    <row r="19" spans="2:24" s="211" customFormat="1" ht="15" customHeight="1" x14ac:dyDescent="0.2">
      <c r="B19" s="570"/>
      <c r="D19" s="572"/>
      <c r="E19" s="573"/>
      <c r="F19" s="572"/>
      <c r="G19" s="573"/>
      <c r="H19" s="571"/>
      <c r="J19" s="574"/>
      <c r="K19" s="573"/>
      <c r="L19" s="574"/>
      <c r="M19" s="573"/>
      <c r="N19" s="574"/>
      <c r="O19" s="552" t="str">
        <f t="shared" si="0"/>
        <v/>
      </c>
      <c r="P19" s="553" t="b">
        <f t="shared" si="1"/>
        <v>1</v>
      </c>
      <c r="Q19" s="553">
        <f t="shared" si="2"/>
        <v>0</v>
      </c>
      <c r="R19" s="211" t="b">
        <f t="shared" si="3"/>
        <v>1</v>
      </c>
      <c r="S19" s="211" t="b">
        <f t="shared" si="4"/>
        <v>1</v>
      </c>
      <c r="T19" s="211" t="b">
        <f t="shared" si="5"/>
        <v>1</v>
      </c>
      <c r="U19" s="211" t="b">
        <f t="shared" si="6"/>
        <v>1</v>
      </c>
      <c r="V19" s="211" t="b">
        <f t="shared" si="7"/>
        <v>1</v>
      </c>
      <c r="W19" s="211" t="b">
        <f t="shared" si="8"/>
        <v>1</v>
      </c>
      <c r="X19" s="211">
        <f t="shared" si="9"/>
        <v>0</v>
      </c>
    </row>
    <row r="20" spans="2:24" s="211" customFormat="1" ht="15" customHeight="1" x14ac:dyDescent="0.2">
      <c r="B20" s="570"/>
      <c r="D20" s="572"/>
      <c r="E20" s="573"/>
      <c r="F20" s="572"/>
      <c r="G20" s="573"/>
      <c r="H20" s="571"/>
      <c r="J20" s="574"/>
      <c r="K20" s="573"/>
      <c r="L20" s="574"/>
      <c r="M20" s="573"/>
      <c r="N20" s="574"/>
      <c r="O20" s="552" t="str">
        <f t="shared" si="0"/>
        <v/>
      </c>
      <c r="P20" s="553" t="b">
        <f t="shared" si="1"/>
        <v>1</v>
      </c>
      <c r="Q20" s="553">
        <f t="shared" si="2"/>
        <v>0</v>
      </c>
      <c r="R20" s="211" t="b">
        <f t="shared" si="3"/>
        <v>1</v>
      </c>
      <c r="S20" s="211" t="b">
        <f t="shared" si="4"/>
        <v>1</v>
      </c>
      <c r="T20" s="211" t="b">
        <f t="shared" si="5"/>
        <v>1</v>
      </c>
      <c r="U20" s="211" t="b">
        <f t="shared" si="6"/>
        <v>1</v>
      </c>
      <c r="V20" s="211" t="b">
        <f t="shared" si="7"/>
        <v>1</v>
      </c>
      <c r="W20" s="211" t="b">
        <f t="shared" si="8"/>
        <v>1</v>
      </c>
      <c r="X20" s="211">
        <f t="shared" si="9"/>
        <v>0</v>
      </c>
    </row>
    <row r="21" spans="2:24" s="211" customFormat="1" ht="15" customHeight="1" x14ac:dyDescent="0.2">
      <c r="B21" s="570"/>
      <c r="D21" s="572"/>
      <c r="E21" s="573"/>
      <c r="F21" s="572"/>
      <c r="G21" s="573"/>
      <c r="H21" s="571"/>
      <c r="J21" s="574"/>
      <c r="K21" s="573"/>
      <c r="L21" s="574"/>
      <c r="M21" s="573"/>
      <c r="N21" s="574"/>
      <c r="O21" s="552" t="str">
        <f t="shared" si="0"/>
        <v/>
      </c>
      <c r="P21" s="553" t="b">
        <f t="shared" si="1"/>
        <v>1</v>
      </c>
      <c r="Q21" s="553">
        <f t="shared" si="2"/>
        <v>0</v>
      </c>
      <c r="R21" s="211" t="b">
        <f t="shared" si="3"/>
        <v>1</v>
      </c>
      <c r="S21" s="211" t="b">
        <f t="shared" si="4"/>
        <v>1</v>
      </c>
      <c r="T21" s="211" t="b">
        <f t="shared" si="5"/>
        <v>1</v>
      </c>
      <c r="U21" s="211" t="b">
        <f t="shared" si="6"/>
        <v>1</v>
      </c>
      <c r="V21" s="211" t="b">
        <f t="shared" si="7"/>
        <v>1</v>
      </c>
      <c r="W21" s="211" t="b">
        <f t="shared" si="8"/>
        <v>1</v>
      </c>
      <c r="X21" s="211">
        <f t="shared" si="9"/>
        <v>0</v>
      </c>
    </row>
    <row r="22" spans="2:24" s="211" customFormat="1" ht="15" customHeight="1" x14ac:dyDescent="0.2">
      <c r="B22" s="570"/>
      <c r="D22" s="572"/>
      <c r="E22" s="573"/>
      <c r="F22" s="572"/>
      <c r="G22" s="573"/>
      <c r="H22" s="571"/>
      <c r="J22" s="574"/>
      <c r="K22" s="573"/>
      <c r="L22" s="574"/>
      <c r="M22" s="573"/>
      <c r="N22" s="574"/>
      <c r="O22" s="552" t="str">
        <f t="shared" si="0"/>
        <v/>
      </c>
      <c r="P22" s="553" t="b">
        <f t="shared" si="1"/>
        <v>1</v>
      </c>
      <c r="Q22" s="553">
        <f t="shared" si="2"/>
        <v>0</v>
      </c>
      <c r="R22" s="211" t="b">
        <f t="shared" si="3"/>
        <v>1</v>
      </c>
      <c r="S22" s="211" t="b">
        <f t="shared" si="4"/>
        <v>1</v>
      </c>
      <c r="T22" s="211" t="b">
        <f t="shared" si="5"/>
        <v>1</v>
      </c>
      <c r="U22" s="211" t="b">
        <f t="shared" si="6"/>
        <v>1</v>
      </c>
      <c r="V22" s="211" t="b">
        <f t="shared" si="7"/>
        <v>1</v>
      </c>
      <c r="W22" s="211" t="b">
        <f t="shared" si="8"/>
        <v>1</v>
      </c>
      <c r="X22" s="211">
        <f t="shared" si="9"/>
        <v>0</v>
      </c>
    </row>
    <row r="23" spans="2:24" s="211" customFormat="1" ht="15" customHeight="1" x14ac:dyDescent="0.2">
      <c r="B23" s="570"/>
      <c r="D23" s="572"/>
      <c r="E23" s="573"/>
      <c r="F23" s="572"/>
      <c r="G23" s="573"/>
      <c r="H23" s="571"/>
      <c r="J23" s="574"/>
      <c r="K23" s="573"/>
      <c r="L23" s="574"/>
      <c r="M23" s="573"/>
      <c r="N23" s="574"/>
      <c r="O23" s="552" t="str">
        <f t="shared" si="0"/>
        <v/>
      </c>
      <c r="P23" s="553" t="b">
        <f t="shared" si="1"/>
        <v>1</v>
      </c>
      <c r="Q23" s="553">
        <f t="shared" si="2"/>
        <v>0</v>
      </c>
      <c r="R23" s="211" t="b">
        <f t="shared" si="3"/>
        <v>1</v>
      </c>
      <c r="S23" s="211" t="b">
        <f t="shared" si="4"/>
        <v>1</v>
      </c>
      <c r="T23" s="211" t="b">
        <f t="shared" si="5"/>
        <v>1</v>
      </c>
      <c r="U23" s="211" t="b">
        <f t="shared" si="6"/>
        <v>1</v>
      </c>
      <c r="V23" s="211" t="b">
        <f t="shared" si="7"/>
        <v>1</v>
      </c>
      <c r="W23" s="211" t="b">
        <f t="shared" si="8"/>
        <v>1</v>
      </c>
      <c r="X23" s="211">
        <f t="shared" si="9"/>
        <v>0</v>
      </c>
    </row>
    <row r="24" spans="2:24" s="211" customFormat="1" ht="15" customHeight="1" x14ac:dyDescent="0.2">
      <c r="B24" s="570"/>
      <c r="D24" s="572"/>
      <c r="E24" s="573"/>
      <c r="F24" s="572"/>
      <c r="G24" s="573"/>
      <c r="H24" s="571"/>
      <c r="J24" s="575"/>
      <c r="K24" s="573"/>
      <c r="L24" s="574"/>
      <c r="M24" s="573"/>
      <c r="N24" s="574"/>
      <c r="O24" s="552" t="str">
        <f t="shared" si="0"/>
        <v/>
      </c>
      <c r="P24" s="553" t="b">
        <f t="shared" si="1"/>
        <v>1</v>
      </c>
      <c r="Q24" s="553">
        <f t="shared" si="2"/>
        <v>0</v>
      </c>
      <c r="R24" s="211" t="b">
        <f t="shared" si="3"/>
        <v>1</v>
      </c>
      <c r="S24" s="211" t="b">
        <f t="shared" si="4"/>
        <v>1</v>
      </c>
      <c r="T24" s="211" t="b">
        <f t="shared" si="5"/>
        <v>1</v>
      </c>
      <c r="U24" s="211" t="b">
        <f t="shared" si="6"/>
        <v>1</v>
      </c>
      <c r="V24" s="211" t="b">
        <f t="shared" si="7"/>
        <v>1</v>
      </c>
      <c r="W24" s="211" t="b">
        <f t="shared" si="8"/>
        <v>1</v>
      </c>
      <c r="X24" s="211">
        <f t="shared" si="9"/>
        <v>0</v>
      </c>
    </row>
    <row r="25" spans="2:24" s="211" customFormat="1" ht="15" customHeight="1" x14ac:dyDescent="0.2">
      <c r="B25" s="570"/>
      <c r="D25" s="572"/>
      <c r="E25" s="573"/>
      <c r="F25" s="572"/>
      <c r="G25" s="573"/>
      <c r="H25" s="571"/>
      <c r="J25" s="574"/>
      <c r="K25" s="573"/>
      <c r="L25" s="574"/>
      <c r="M25" s="573"/>
      <c r="N25" s="574"/>
      <c r="O25" s="552" t="str">
        <f t="shared" si="0"/>
        <v/>
      </c>
      <c r="P25" s="553" t="b">
        <f t="shared" si="1"/>
        <v>1</v>
      </c>
      <c r="Q25" s="553">
        <f t="shared" si="2"/>
        <v>0</v>
      </c>
      <c r="R25" s="211" t="b">
        <f t="shared" si="3"/>
        <v>1</v>
      </c>
      <c r="S25" s="211" t="b">
        <f t="shared" si="4"/>
        <v>1</v>
      </c>
      <c r="T25" s="211" t="b">
        <f t="shared" si="5"/>
        <v>1</v>
      </c>
      <c r="U25" s="211" t="b">
        <f t="shared" si="6"/>
        <v>1</v>
      </c>
      <c r="V25" s="211" t="b">
        <f t="shared" si="7"/>
        <v>1</v>
      </c>
      <c r="W25" s="211" t="b">
        <f t="shared" si="8"/>
        <v>1</v>
      </c>
      <c r="X25" s="211">
        <f t="shared" si="9"/>
        <v>0</v>
      </c>
    </row>
    <row r="26" spans="2:24" s="211" customFormat="1" ht="15" customHeight="1" x14ac:dyDescent="0.2">
      <c r="B26" s="570"/>
      <c r="D26" s="572"/>
      <c r="E26" s="573"/>
      <c r="F26" s="572"/>
      <c r="G26" s="573"/>
      <c r="H26" s="571"/>
      <c r="J26" s="574"/>
      <c r="K26" s="573"/>
      <c r="L26" s="574"/>
      <c r="M26" s="573"/>
      <c r="N26" s="574"/>
      <c r="O26" s="552" t="str">
        <f t="shared" si="0"/>
        <v/>
      </c>
      <c r="P26" s="553" t="b">
        <f t="shared" si="1"/>
        <v>1</v>
      </c>
      <c r="Q26" s="553">
        <f t="shared" si="2"/>
        <v>0</v>
      </c>
      <c r="R26" s="211" t="b">
        <f t="shared" si="3"/>
        <v>1</v>
      </c>
      <c r="S26" s="211" t="b">
        <f t="shared" si="4"/>
        <v>1</v>
      </c>
      <c r="T26" s="211" t="b">
        <f t="shared" si="5"/>
        <v>1</v>
      </c>
      <c r="U26" s="211" t="b">
        <f t="shared" si="6"/>
        <v>1</v>
      </c>
      <c r="V26" s="211" t="b">
        <f t="shared" si="7"/>
        <v>1</v>
      </c>
      <c r="W26" s="211" t="b">
        <f t="shared" si="8"/>
        <v>1</v>
      </c>
      <c r="X26" s="211">
        <f t="shared" si="9"/>
        <v>0</v>
      </c>
    </row>
    <row r="27" spans="2:24" s="211" customFormat="1" ht="15" customHeight="1" x14ac:dyDescent="0.2">
      <c r="B27" s="570"/>
      <c r="D27" s="572"/>
      <c r="E27" s="573"/>
      <c r="F27" s="572"/>
      <c r="G27" s="573"/>
      <c r="H27" s="571"/>
      <c r="J27" s="574"/>
      <c r="K27" s="573"/>
      <c r="L27" s="574"/>
      <c r="M27" s="573"/>
      <c r="N27" s="574"/>
      <c r="O27" s="552" t="str">
        <f t="shared" si="0"/>
        <v/>
      </c>
      <c r="P27" s="553" t="b">
        <f t="shared" si="1"/>
        <v>1</v>
      </c>
      <c r="Q27" s="553">
        <f t="shared" si="2"/>
        <v>0</v>
      </c>
      <c r="R27" s="211" t="b">
        <f t="shared" si="3"/>
        <v>1</v>
      </c>
      <c r="S27" s="211" t="b">
        <f t="shared" si="4"/>
        <v>1</v>
      </c>
      <c r="T27" s="211" t="b">
        <f t="shared" si="5"/>
        <v>1</v>
      </c>
      <c r="U27" s="211" t="b">
        <f t="shared" si="6"/>
        <v>1</v>
      </c>
      <c r="V27" s="211" t="b">
        <f t="shared" si="7"/>
        <v>1</v>
      </c>
      <c r="W27" s="211" t="b">
        <f t="shared" si="8"/>
        <v>1</v>
      </c>
      <c r="X27" s="211">
        <f t="shared" si="9"/>
        <v>0</v>
      </c>
    </row>
    <row r="28" spans="2:24" s="211" customFormat="1" ht="15" customHeight="1" x14ac:dyDescent="0.2">
      <c r="B28" s="570"/>
      <c r="D28" s="572"/>
      <c r="E28" s="573"/>
      <c r="F28" s="572"/>
      <c r="G28" s="573"/>
      <c r="H28" s="571"/>
      <c r="J28" s="574"/>
      <c r="K28" s="573"/>
      <c r="L28" s="574"/>
      <c r="M28" s="573"/>
      <c r="N28" s="574"/>
      <c r="O28" s="552" t="str">
        <f t="shared" si="0"/>
        <v/>
      </c>
      <c r="P28" s="553" t="b">
        <f t="shared" si="1"/>
        <v>1</v>
      </c>
      <c r="Q28" s="553">
        <f t="shared" si="2"/>
        <v>0</v>
      </c>
      <c r="R28" s="211" t="b">
        <f t="shared" si="3"/>
        <v>1</v>
      </c>
      <c r="S28" s="211" t="b">
        <f t="shared" si="4"/>
        <v>1</v>
      </c>
      <c r="T28" s="211" t="b">
        <f t="shared" si="5"/>
        <v>1</v>
      </c>
      <c r="U28" s="211" t="b">
        <f t="shared" si="6"/>
        <v>1</v>
      </c>
      <c r="V28" s="211" t="b">
        <f t="shared" si="7"/>
        <v>1</v>
      </c>
      <c r="W28" s="211" t="b">
        <f t="shared" si="8"/>
        <v>1</v>
      </c>
      <c r="X28" s="211">
        <f t="shared" si="9"/>
        <v>0</v>
      </c>
    </row>
    <row r="29" spans="2:24" s="211" customFormat="1" ht="15" customHeight="1" thickBot="1" x14ac:dyDescent="0.25">
      <c r="D29" s="219"/>
      <c r="E29" s="219"/>
      <c r="F29" s="219" t="s">
        <v>981</v>
      </c>
      <c r="G29" s="219"/>
      <c r="H29" s="225">
        <f>SUM(H12:H28)</f>
        <v>0</v>
      </c>
      <c r="O29" s="57"/>
      <c r="P29" s="553">
        <f>COUNTIF(P12:P28,FALSE)</f>
        <v>0</v>
      </c>
      <c r="W29" s="553">
        <f>COUNTIF(W12:W28,FALSE)</f>
        <v>0</v>
      </c>
    </row>
    <row r="30" spans="2:24" s="211" customFormat="1" ht="15" customHeight="1" thickTop="1" x14ac:dyDescent="0.2">
      <c r="D30" s="219"/>
      <c r="E30" s="219"/>
      <c r="F30" s="219" t="s">
        <v>4927</v>
      </c>
      <c r="G30" s="219"/>
      <c r="M30" s="219"/>
      <c r="N30" s="219"/>
      <c r="O30" s="57"/>
    </row>
    <row r="31" spans="2:24" ht="15" customHeight="1" x14ac:dyDescent="0.25">
      <c r="O31" s="57"/>
    </row>
    <row r="32" spans="2:24" ht="15" customHeight="1" x14ac:dyDescent="0.25">
      <c r="O32" s="57"/>
    </row>
    <row r="33" spans="1:15" ht="15" customHeight="1" x14ac:dyDescent="0.25">
      <c r="O33" s="57"/>
    </row>
    <row r="34" spans="1:15" ht="15" customHeight="1" x14ac:dyDescent="0.25">
      <c r="A34" s="443" t="str">
        <f ca="1">MID(CELL("filename",A1),FIND("]",CELL("filename",A1))+1,256)</f>
        <v>565</v>
      </c>
      <c r="B34" s="443" t="s">
        <v>449</v>
      </c>
      <c r="O34" s="57"/>
    </row>
    <row r="35" spans="1:15" x14ac:dyDescent="0.25">
      <c r="A35" s="443" t="s">
        <v>446</v>
      </c>
      <c r="B35" s="443" t="str">
        <f t="shared" ref="B35:B44" ca="1" si="10">IF(ISNA(INDEX(ErrorTable,MATCH($A$34&amp;$A35&amp;FALSE,ErrorKey,0),6)),"",INDEX(ErrorTable,MATCH($A$34&amp;$A35&amp;FALSE,ErrorKey,0),6))</f>
        <v/>
      </c>
    </row>
    <row r="36" spans="1:15" x14ac:dyDescent="0.25">
      <c r="A36" s="443" t="s">
        <v>447</v>
      </c>
      <c r="B36" s="443" t="str">
        <f t="shared" ca="1" si="10"/>
        <v/>
      </c>
    </row>
    <row r="37" spans="1:15" x14ac:dyDescent="0.25">
      <c r="A37" s="443" t="s">
        <v>448</v>
      </c>
      <c r="B37" s="443" t="str">
        <f t="shared" ca="1" si="10"/>
        <v/>
      </c>
    </row>
    <row r="38" spans="1:15" x14ac:dyDescent="0.25">
      <c r="A38" s="443" t="s">
        <v>450</v>
      </c>
      <c r="B38" s="443" t="str">
        <f t="shared" ca="1" si="10"/>
        <v/>
      </c>
    </row>
    <row r="39" spans="1:15" x14ac:dyDescent="0.25">
      <c r="A39" s="443" t="s">
        <v>451</v>
      </c>
      <c r="B39" s="443" t="str">
        <f t="shared" ca="1" si="10"/>
        <v/>
      </c>
    </row>
    <row r="40" spans="1:15" x14ac:dyDescent="0.25">
      <c r="A40" s="443" t="s">
        <v>452</v>
      </c>
      <c r="B40" s="443" t="str">
        <f t="shared" ca="1" si="10"/>
        <v/>
      </c>
    </row>
    <row r="41" spans="1:15" x14ac:dyDescent="0.25">
      <c r="A41" s="443" t="s">
        <v>453</v>
      </c>
      <c r="B41" s="443" t="str">
        <f t="shared" ca="1" si="10"/>
        <v/>
      </c>
    </row>
    <row r="42" spans="1:15" x14ac:dyDescent="0.25">
      <c r="A42" s="443" t="s">
        <v>454</v>
      </c>
      <c r="B42" s="443" t="str">
        <f t="shared" ca="1" si="10"/>
        <v/>
      </c>
    </row>
    <row r="43" spans="1:15" x14ac:dyDescent="0.25">
      <c r="A43" s="443" t="s">
        <v>455</v>
      </c>
      <c r="B43" s="443" t="str">
        <f t="shared" ca="1" si="10"/>
        <v/>
      </c>
    </row>
    <row r="44" spans="1:15" x14ac:dyDescent="0.25">
      <c r="A44" s="443" t="s">
        <v>456</v>
      </c>
      <c r="B44" s="443" t="str">
        <f t="shared" ca="1" si="10"/>
        <v/>
      </c>
    </row>
    <row r="46" spans="1:15" x14ac:dyDescent="0.25">
      <c r="O46" s="58"/>
    </row>
    <row r="56" spans="15:15" x14ac:dyDescent="0.25">
      <c r="O56" s="58"/>
    </row>
  </sheetData>
  <sheetProtection algorithmName="SHA-512" hashValue="qqYoJy2seiY+FsLeq2fz7BJGdQg416x/ZCak9M5914pwFXKLquZf2UBan39IwDymiKxYOudNkgn4LGXLLJVfew==" saltValue="J611bfSMN5O1+YAmkMPBmw=="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5" type="noConversion"/>
  <conditionalFormatting sqref="O1:O3">
    <cfRule type="cellIs" dxfId="51" priority="1" stopIfTrue="1" operator="equal">
      <formula>"na"</formula>
    </cfRule>
  </conditionalFormatting>
  <hyperlinks>
    <hyperlink ref="B1:N1" location="Index!A1" display="Index!A1" xr:uid="{00000000-0004-0000-3300-000000000000}"/>
  </hyperlinks>
  <printOptions horizontalCentered="1"/>
  <pageMargins left="0.5" right="0.5" top="0.75" bottom="0.5" header="0.5" footer="0.5"/>
  <pageSetup orientation="landscape" blackAndWhite="1" r:id="rId5"/>
  <headerFooter alignWithMargins="0">
    <oddFooter>&amp;R&amp;A</oddFooter>
  </headerFooter>
  <ignoredErrors>
    <ignoredError sqref="I5:I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8"/>
  <sheetViews>
    <sheetView showGridLines="0" zoomScaleNormal="100" workbookViewId="0">
      <selection sqref="A1:J1"/>
    </sheetView>
  </sheetViews>
  <sheetFormatPr defaultRowHeight="12.75" x14ac:dyDescent="0.2"/>
  <cols>
    <col min="1" max="1" width="2" customWidth="1"/>
    <col min="2" max="2" width="1.42578125" customWidth="1"/>
    <col min="3" max="3" width="36.570312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90" customFormat="1" ht="15" customHeight="1" x14ac:dyDescent="0.25">
      <c r="B1" s="2767" t="str">
        <f>+Index!$A$1</f>
        <v xml:space="preserve">                                                               Office of the State Controller                                                                </v>
      </c>
      <c r="C1" s="2767"/>
      <c r="D1" s="2767"/>
      <c r="E1" s="2767"/>
      <c r="F1" s="2767"/>
      <c r="G1" s="2767"/>
      <c r="H1" s="2767"/>
      <c r="I1" s="2767"/>
      <c r="J1" s="2767"/>
      <c r="K1" s="2768" t="str">
        <f>IF(Index!$B$18="na","NA","")</f>
        <v/>
      </c>
      <c r="L1" s="91"/>
    </row>
    <row r="2" spans="1:16" s="90" customFormat="1" ht="15" customHeight="1" x14ac:dyDescent="0.25">
      <c r="B2" s="2769" t="str">
        <f>+Index!$A$2</f>
        <v>2022 ACFR Worksheets</v>
      </c>
      <c r="C2" s="2769"/>
      <c r="D2" s="2769"/>
      <c r="E2" s="2769"/>
      <c r="F2" s="2769"/>
      <c r="G2" s="2769"/>
      <c r="H2" s="2769"/>
      <c r="I2" s="2769"/>
      <c r="J2" s="2769"/>
      <c r="K2" s="2768"/>
      <c r="L2" s="91"/>
    </row>
    <row r="3" spans="1:16" s="90" customFormat="1" ht="15" customHeight="1" x14ac:dyDescent="0.25">
      <c r="B3" s="2769" t="s">
        <v>3554</v>
      </c>
      <c r="C3" s="2769"/>
      <c r="D3" s="2769"/>
      <c r="E3" s="2769"/>
      <c r="F3" s="2769"/>
      <c r="G3" s="2769"/>
      <c r="H3" s="2769"/>
      <c r="I3" s="2769"/>
      <c r="J3" s="2769"/>
      <c r="K3" s="2768"/>
      <c r="L3" s="91"/>
    </row>
    <row r="4" spans="1:16" s="90" customFormat="1" ht="15" customHeight="1" x14ac:dyDescent="0.25">
      <c r="B4" s="547"/>
      <c r="C4" s="547"/>
      <c r="D4" s="547"/>
      <c r="E4" s="547"/>
      <c r="F4" s="547"/>
      <c r="G4" s="547"/>
      <c r="H4" s="547"/>
      <c r="I4" s="547"/>
      <c r="J4" s="547"/>
      <c r="K4" s="546"/>
      <c r="L4" s="91"/>
    </row>
    <row r="5" spans="1:16" s="124" customFormat="1" ht="15" customHeight="1" x14ac:dyDescent="0.2">
      <c r="A5" s="256"/>
      <c r="B5" s="125"/>
      <c r="C5" s="257"/>
      <c r="D5" s="125"/>
      <c r="E5" s="123"/>
      <c r="F5" s="122"/>
      <c r="G5" s="123" t="s">
        <v>327</v>
      </c>
      <c r="H5" s="126"/>
      <c r="I5" s="39" t="str">
        <f>AgyIdx</f>
        <v>01</v>
      </c>
      <c r="J5" s="127"/>
      <c r="K5" s="127"/>
      <c r="L5" s="126"/>
    </row>
    <row r="6" spans="1:16" s="124" customFormat="1" ht="15" customHeight="1" x14ac:dyDescent="0.2">
      <c r="A6" s="122"/>
      <c r="B6" s="122"/>
      <c r="C6" s="122"/>
      <c r="D6" s="122"/>
      <c r="E6" s="123"/>
      <c r="F6" s="122"/>
      <c r="G6" s="123" t="s">
        <v>1154</v>
      </c>
      <c r="H6" s="128"/>
      <c r="I6" s="39" t="str">
        <f>AgyName</f>
        <v>North Carolina General Assembly</v>
      </c>
      <c r="J6" s="128"/>
    </row>
    <row r="7" spans="1:16" s="124" customFormat="1" ht="15" customHeight="1" x14ac:dyDescent="0.2">
      <c r="A7" s="122"/>
      <c r="B7" s="122"/>
      <c r="C7" s="257"/>
      <c r="D7" s="122"/>
      <c r="E7" s="123"/>
      <c r="F7" s="122"/>
      <c r="G7" s="123" t="s">
        <v>972</v>
      </c>
      <c r="H7" s="128"/>
      <c r="I7" s="771" t="str">
        <f>CONCATENATE(Index!$E$12," ",Index!$E$14)</f>
        <v xml:space="preserve"> </v>
      </c>
      <c r="J7" s="128"/>
    </row>
    <row r="8" spans="1:16" s="124" customFormat="1" ht="15" customHeight="1" x14ac:dyDescent="0.2">
      <c r="A8" s="122"/>
      <c r="B8" s="122"/>
      <c r="C8" s="257"/>
      <c r="D8" s="122"/>
      <c r="E8" s="123"/>
      <c r="F8" s="122"/>
      <c r="G8" s="123" t="s">
        <v>348</v>
      </c>
      <c r="H8" s="128"/>
      <c r="I8" s="816">
        <f>+Index!$E$13</f>
        <v>0</v>
      </c>
      <c r="J8" s="770"/>
      <c r="K8" s="770"/>
      <c r="L8" s="770"/>
    </row>
    <row r="9" spans="1:16" s="124" customFormat="1" ht="12" customHeight="1" thickBot="1" x14ac:dyDescent="0.25">
      <c r="A9" s="129"/>
      <c r="B9" s="129"/>
      <c r="C9" s="129"/>
      <c r="D9" s="129"/>
      <c r="E9" s="129"/>
      <c r="F9" s="129"/>
      <c r="G9" s="129"/>
      <c r="H9" s="129"/>
      <c r="I9" s="129"/>
      <c r="J9" s="129"/>
    </row>
    <row r="10" spans="1:16" s="90" customFormat="1" ht="15" customHeight="1" x14ac:dyDescent="0.25">
      <c r="A10" s="505" t="s">
        <v>840</v>
      </c>
      <c r="B10" s="547"/>
      <c r="C10" s="547"/>
      <c r="D10" s="547"/>
      <c r="E10" s="547"/>
      <c r="F10" s="547"/>
      <c r="G10" s="547"/>
      <c r="H10" s="547"/>
      <c r="I10" s="547"/>
      <c r="J10" s="547"/>
      <c r="K10" s="546"/>
      <c r="L10" s="91"/>
      <c r="M10" s="745"/>
    </row>
    <row r="11" spans="1:16" s="90" customFormat="1" ht="15" customHeight="1" x14ac:dyDescent="0.25">
      <c r="A11" s="504" t="s">
        <v>793</v>
      </c>
      <c r="B11" s="547"/>
      <c r="C11" s="547"/>
      <c r="D11" s="547"/>
      <c r="E11" s="547"/>
      <c r="F11" s="547"/>
      <c r="G11" s="547"/>
      <c r="H11" s="547"/>
      <c r="I11" s="547"/>
      <c r="J11" s="547"/>
      <c r="K11" s="546"/>
      <c r="L11" s="91"/>
      <c r="M11"/>
    </row>
    <row r="12" spans="1:16" s="90" customFormat="1" ht="15" customHeight="1" x14ac:dyDescent="0.25">
      <c r="A12" s="1349" t="s">
        <v>3948</v>
      </c>
      <c r="B12" s="547"/>
      <c r="C12" s="547"/>
      <c r="D12" s="547"/>
      <c r="E12" s="547"/>
      <c r="F12" s="547"/>
      <c r="G12" s="547"/>
      <c r="H12" s="547"/>
      <c r="I12" s="547"/>
      <c r="J12" s="547"/>
      <c r="K12" s="546"/>
      <c r="L12" s="91"/>
      <c r="M12"/>
    </row>
    <row r="13" spans="1:16" x14ac:dyDescent="0.2">
      <c r="A13" s="44"/>
      <c r="B13" s="44"/>
      <c r="C13" s="44"/>
      <c r="D13" s="259"/>
      <c r="E13" s="44"/>
      <c r="F13" s="44"/>
      <c r="G13" s="44"/>
      <c r="H13" s="44"/>
      <c r="I13" s="44"/>
      <c r="J13" s="44"/>
      <c r="M13" s="745"/>
    </row>
    <row r="14" spans="1:16" x14ac:dyDescent="0.2">
      <c r="A14" s="363" t="s">
        <v>128</v>
      </c>
      <c r="B14" s="44"/>
      <c r="C14" s="44"/>
      <c r="D14" s="44"/>
      <c r="E14" s="44"/>
      <c r="F14" s="363" t="s">
        <v>1131</v>
      </c>
      <c r="G14" s="44"/>
      <c r="H14" s="44"/>
      <c r="I14" s="44"/>
      <c r="J14" s="44"/>
      <c r="M14" s="745"/>
    </row>
    <row r="15" spans="1:16" x14ac:dyDescent="0.2">
      <c r="A15" s="44"/>
      <c r="B15" s="338" t="s">
        <v>434</v>
      </c>
      <c r="C15" s="44"/>
      <c r="D15" s="44"/>
      <c r="E15" s="44"/>
      <c r="F15" s="44"/>
      <c r="G15" s="395" t="s">
        <v>4044</v>
      </c>
      <c r="H15" s="44"/>
      <c r="I15" s="44"/>
      <c r="J15" s="44"/>
      <c r="M15" s="745"/>
    </row>
    <row r="16" spans="1:16" x14ac:dyDescent="0.2">
      <c r="A16" s="44"/>
      <c r="B16" s="338"/>
      <c r="C16" s="44" t="s">
        <v>16</v>
      </c>
      <c r="D16" s="670"/>
      <c r="E16" s="44"/>
      <c r="F16" s="44"/>
      <c r="G16" s="338"/>
      <c r="H16" s="44" t="s">
        <v>281</v>
      </c>
      <c r="I16" s="44"/>
      <c r="J16" s="670"/>
      <c r="M16" s="745"/>
      <c r="O16" s="2306" t="s">
        <v>16</v>
      </c>
      <c r="P16" s="2306" t="s">
        <v>5571</v>
      </c>
    </row>
    <row r="17" spans="1:16" x14ac:dyDescent="0.2">
      <c r="A17" s="44"/>
      <c r="B17" s="44"/>
      <c r="C17" s="44" t="s">
        <v>160</v>
      </c>
      <c r="D17" s="670"/>
      <c r="E17" s="44"/>
      <c r="F17" s="44"/>
      <c r="G17" s="338"/>
      <c r="H17" s="44" t="s">
        <v>282</v>
      </c>
      <c r="I17" s="44"/>
      <c r="J17" s="671"/>
      <c r="M17" s="745"/>
      <c r="O17" s="2306" t="s">
        <v>160</v>
      </c>
      <c r="P17" s="2306" t="s">
        <v>282</v>
      </c>
    </row>
    <row r="18" spans="1:16" x14ac:dyDescent="0.2">
      <c r="A18" s="44"/>
      <c r="B18" s="44"/>
      <c r="C18" s="44" t="s">
        <v>17</v>
      </c>
      <c r="D18" s="670"/>
      <c r="E18" s="44"/>
      <c r="F18" s="44"/>
      <c r="G18" s="44"/>
      <c r="H18" s="44"/>
      <c r="I18" s="44"/>
      <c r="J18" s="44"/>
      <c r="M18" s="745"/>
      <c r="O18" s="2306" t="s">
        <v>17</v>
      </c>
      <c r="P18" s="2306"/>
    </row>
    <row r="19" spans="1:16" x14ac:dyDescent="0.2">
      <c r="A19" s="44"/>
      <c r="B19" s="44"/>
      <c r="C19" s="44" t="s">
        <v>1009</v>
      </c>
      <c r="D19" s="670"/>
      <c r="E19" s="44"/>
      <c r="F19" s="363" t="s">
        <v>163</v>
      </c>
      <c r="G19" s="44"/>
      <c r="H19" s="44"/>
      <c r="I19" s="44"/>
      <c r="J19" s="44"/>
      <c r="M19" s="745"/>
      <c r="O19" s="2306" t="s">
        <v>1009</v>
      </c>
      <c r="P19" s="2306"/>
    </row>
    <row r="20" spans="1:16" x14ac:dyDescent="0.2">
      <c r="A20" s="44"/>
      <c r="B20" s="44"/>
      <c r="C20" s="44" t="s">
        <v>1010</v>
      </c>
      <c r="D20" s="670"/>
      <c r="E20" s="44"/>
      <c r="F20" s="363"/>
      <c r="G20" s="395" t="s">
        <v>4053</v>
      </c>
      <c r="H20" s="44"/>
      <c r="I20" s="44"/>
      <c r="J20" s="44"/>
      <c r="M20" s="745"/>
      <c r="O20" s="2306" t="s">
        <v>1010</v>
      </c>
      <c r="P20" s="2306"/>
    </row>
    <row r="21" spans="1:16" x14ac:dyDescent="0.2">
      <c r="A21" s="44"/>
      <c r="B21" s="44"/>
      <c r="C21" s="44" t="s">
        <v>1011</v>
      </c>
      <c r="D21" s="670"/>
      <c r="E21" s="565"/>
      <c r="F21" s="44"/>
      <c r="G21" s="44"/>
      <c r="H21" s="44" t="s">
        <v>166</v>
      </c>
      <c r="I21" s="44"/>
      <c r="J21" s="728"/>
      <c r="M21" s="745"/>
      <c r="O21" s="2306" t="s">
        <v>1011</v>
      </c>
      <c r="P21" s="2306" t="s">
        <v>166</v>
      </c>
    </row>
    <row r="22" spans="1:16" x14ac:dyDescent="0.2">
      <c r="A22" s="44"/>
      <c r="B22" s="44"/>
      <c r="C22" s="44"/>
      <c r="D22" s="44"/>
      <c r="E22" s="44"/>
      <c r="M22" s="745"/>
      <c r="O22" s="2306"/>
      <c r="P22" s="2306"/>
    </row>
    <row r="23" spans="1:16" x14ac:dyDescent="0.2">
      <c r="A23" s="44"/>
      <c r="B23" s="338" t="s">
        <v>279</v>
      </c>
      <c r="C23" s="44"/>
      <c r="D23" s="44"/>
      <c r="E23" s="44"/>
      <c r="G23" s="395" t="s">
        <v>4054</v>
      </c>
      <c r="M23" s="745"/>
      <c r="O23" s="2306"/>
      <c r="P23" s="2306"/>
    </row>
    <row r="24" spans="1:16" x14ac:dyDescent="0.2">
      <c r="A24" s="44"/>
      <c r="B24" s="44"/>
      <c r="C24" s="44" t="s">
        <v>280</v>
      </c>
      <c r="D24" s="618"/>
      <c r="E24" s="565"/>
      <c r="H24" s="335" t="s">
        <v>3850</v>
      </c>
      <c r="I24" s="44"/>
      <c r="J24" s="670"/>
      <c r="M24" s="745"/>
      <c r="O24" s="2306" t="s">
        <v>280</v>
      </c>
      <c r="P24" s="2306" t="s">
        <v>3850</v>
      </c>
    </row>
    <row r="25" spans="1:16" x14ac:dyDescent="0.2">
      <c r="A25" s="44"/>
      <c r="B25" s="44"/>
      <c r="C25" s="44" t="s">
        <v>191</v>
      </c>
      <c r="D25" s="670"/>
      <c r="E25" s="44"/>
      <c r="F25" s="44"/>
      <c r="G25" s="44"/>
      <c r="H25" s="335" t="s">
        <v>164</v>
      </c>
      <c r="I25" s="44"/>
      <c r="J25" s="670"/>
      <c r="M25" s="745"/>
      <c r="O25" s="2306" t="s">
        <v>5572</v>
      </c>
      <c r="P25" s="2306" t="s">
        <v>164</v>
      </c>
    </row>
    <row r="26" spans="1:16" x14ac:dyDescent="0.2">
      <c r="A26" s="44"/>
      <c r="B26" s="44"/>
      <c r="C26" s="44"/>
      <c r="D26" s="44"/>
      <c r="E26" s="44"/>
      <c r="H26" s="335" t="s">
        <v>3851</v>
      </c>
      <c r="I26" s="44"/>
      <c r="J26" s="670"/>
      <c r="M26" s="745"/>
      <c r="O26" s="2306"/>
      <c r="P26" s="2306" t="s">
        <v>3851</v>
      </c>
    </row>
    <row r="27" spans="1:16" x14ac:dyDescent="0.2">
      <c r="A27" s="44"/>
      <c r="B27" s="395" t="s">
        <v>4685</v>
      </c>
      <c r="C27" s="44"/>
      <c r="D27" s="44"/>
      <c r="E27" s="44"/>
      <c r="F27" s="44"/>
      <c r="G27" s="44"/>
      <c r="H27" s="44" t="s">
        <v>107</v>
      </c>
      <c r="I27" s="44"/>
      <c r="J27" s="670"/>
      <c r="M27" s="745"/>
      <c r="O27" s="2306"/>
      <c r="P27" s="2306" t="s">
        <v>107</v>
      </c>
    </row>
    <row r="28" spans="1:16" x14ac:dyDescent="0.2">
      <c r="A28" s="44"/>
      <c r="B28" s="44"/>
      <c r="C28" s="2062" t="s">
        <v>4686</v>
      </c>
      <c r="D28" s="670"/>
      <c r="E28" s="44"/>
      <c r="F28" s="44"/>
      <c r="G28" s="44"/>
      <c r="H28" s="44"/>
      <c r="I28" s="44"/>
      <c r="J28" s="44"/>
      <c r="M28" s="745"/>
      <c r="O28" s="2306" t="s">
        <v>4686</v>
      </c>
      <c r="P28" s="2306"/>
    </row>
    <row r="29" spans="1:16" x14ac:dyDescent="0.2">
      <c r="A29" s="44"/>
      <c r="B29" s="44"/>
      <c r="C29" s="2062"/>
      <c r="D29" s="44"/>
      <c r="E29" s="44"/>
      <c r="F29" s="44"/>
      <c r="G29" s="338" t="s">
        <v>1017</v>
      </c>
      <c r="H29" s="44"/>
      <c r="I29" s="44"/>
      <c r="J29" s="44"/>
      <c r="M29" s="745"/>
      <c r="O29" s="2306"/>
      <c r="P29" s="2306"/>
    </row>
    <row r="30" spans="1:16" x14ac:dyDescent="0.2">
      <c r="A30" s="363" t="s">
        <v>165</v>
      </c>
      <c r="B30" s="44"/>
      <c r="C30" s="44"/>
      <c r="D30" s="44"/>
      <c r="E30" s="44"/>
      <c r="F30" s="44"/>
      <c r="G30" s="338"/>
      <c r="H30" s="44" t="s">
        <v>109</v>
      </c>
      <c r="I30" s="44"/>
      <c r="J30" s="670"/>
      <c r="M30" s="745"/>
      <c r="O30" s="2306"/>
      <c r="P30" s="2306" t="s">
        <v>109</v>
      </c>
    </row>
    <row r="31" spans="1:16" x14ac:dyDescent="0.2">
      <c r="A31" s="44"/>
      <c r="B31" s="338" t="s">
        <v>551</v>
      </c>
      <c r="C31" s="44"/>
      <c r="D31" s="44"/>
      <c r="E31" s="565"/>
      <c r="F31" s="44"/>
      <c r="G31" s="338"/>
      <c r="H31" s="44" t="s">
        <v>111</v>
      </c>
      <c r="I31" s="44"/>
      <c r="J31" s="670"/>
      <c r="M31" s="745"/>
      <c r="O31" s="2306"/>
      <c r="P31" s="2306" t="s">
        <v>111</v>
      </c>
    </row>
    <row r="32" spans="1:16" x14ac:dyDescent="0.2">
      <c r="A32" s="44"/>
      <c r="B32" s="44"/>
      <c r="C32" s="44" t="s">
        <v>105</v>
      </c>
      <c r="D32" s="670"/>
      <c r="E32" s="44"/>
      <c r="F32" s="44"/>
      <c r="G32" s="338"/>
      <c r="H32" s="335" t="s">
        <v>3824</v>
      </c>
      <c r="I32" s="44"/>
      <c r="J32" s="670"/>
      <c r="M32" s="745"/>
      <c r="O32" s="2306" t="s">
        <v>5573</v>
      </c>
      <c r="P32" s="2306" t="s">
        <v>5574</v>
      </c>
    </row>
    <row r="33" spans="1:16" x14ac:dyDescent="0.2">
      <c r="A33" s="44"/>
      <c r="B33" s="44"/>
      <c r="C33" s="44" t="s">
        <v>104</v>
      </c>
      <c r="D33" s="670"/>
      <c r="E33" s="44"/>
      <c r="F33" s="44"/>
      <c r="G33" s="338"/>
      <c r="H33" s="44" t="s">
        <v>112</v>
      </c>
      <c r="I33" s="44"/>
      <c r="J33" s="670"/>
      <c r="M33" s="745"/>
      <c r="O33" s="2306" t="s">
        <v>104</v>
      </c>
      <c r="P33" s="2306" t="s">
        <v>112</v>
      </c>
    </row>
    <row r="34" spans="1:16" x14ac:dyDescent="0.2">
      <c r="A34" s="44"/>
      <c r="B34" s="44"/>
      <c r="C34" s="44" t="s">
        <v>108</v>
      </c>
      <c r="D34" s="671"/>
      <c r="E34" s="44"/>
      <c r="F34" s="44"/>
      <c r="G34" s="44"/>
      <c r="H34" s="44"/>
      <c r="I34" s="44"/>
      <c r="J34" s="44"/>
      <c r="M34" s="747"/>
      <c r="O34" s="2306" t="s">
        <v>108</v>
      </c>
      <c r="P34" s="2306"/>
    </row>
    <row r="35" spans="1:16" x14ac:dyDescent="0.2">
      <c r="A35" s="44"/>
      <c r="B35" s="44"/>
      <c r="C35" s="44"/>
      <c r="D35" s="667"/>
      <c r="E35" s="44"/>
      <c r="F35" s="363" t="s">
        <v>106</v>
      </c>
      <c r="G35" s="44"/>
      <c r="H35" s="44"/>
      <c r="I35" s="44"/>
      <c r="J35" s="44"/>
      <c r="M35" s="745"/>
      <c r="O35" s="2306"/>
      <c r="P35" s="2306"/>
    </row>
    <row r="36" spans="1:16" x14ac:dyDescent="0.2">
      <c r="A36" s="363" t="s">
        <v>110</v>
      </c>
      <c r="B36" s="44"/>
      <c r="C36" s="44"/>
      <c r="D36" s="44"/>
      <c r="E36" s="565"/>
      <c r="F36" s="44"/>
      <c r="G36" s="395" t="s">
        <v>1841</v>
      </c>
      <c r="H36" s="44"/>
      <c r="I36" s="44"/>
      <c r="J36" s="44"/>
      <c r="M36" s="745"/>
      <c r="O36" s="2306"/>
      <c r="P36" s="2306"/>
    </row>
    <row r="37" spans="1:16" x14ac:dyDescent="0.2">
      <c r="A37" s="44"/>
      <c r="B37" s="338" t="s">
        <v>47</v>
      </c>
      <c r="C37" s="44"/>
      <c r="D37" s="44"/>
      <c r="E37" s="565"/>
      <c r="F37" s="44"/>
      <c r="G37" s="44"/>
      <c r="H37" s="335" t="s">
        <v>1842</v>
      </c>
      <c r="I37" s="44"/>
      <c r="J37" s="670"/>
      <c r="M37" s="745"/>
      <c r="O37" s="2306"/>
      <c r="P37" s="2306" t="s">
        <v>1842</v>
      </c>
    </row>
    <row r="38" spans="1:16" x14ac:dyDescent="0.2">
      <c r="A38" s="44"/>
      <c r="B38" s="44"/>
      <c r="C38" s="44" t="s">
        <v>113</v>
      </c>
      <c r="D38" s="670"/>
      <c r="E38" s="44"/>
      <c r="F38" s="44"/>
      <c r="G38" s="44"/>
      <c r="H38" s="335" t="s">
        <v>1844</v>
      </c>
      <c r="I38" s="44"/>
      <c r="J38" s="670"/>
      <c r="M38" s="745"/>
      <c r="O38" s="2306" t="s">
        <v>5575</v>
      </c>
      <c r="P38" s="2306" t="s">
        <v>1844</v>
      </c>
    </row>
    <row r="39" spans="1:16" x14ac:dyDescent="0.2">
      <c r="A39" s="44"/>
      <c r="B39" s="44"/>
      <c r="C39" s="44" t="s">
        <v>114</v>
      </c>
      <c r="D39" s="670"/>
      <c r="E39" s="44"/>
      <c r="F39" s="44"/>
      <c r="G39" s="44"/>
      <c r="H39" s="335" t="s">
        <v>3510</v>
      </c>
      <c r="I39" s="44"/>
      <c r="J39" s="1266"/>
      <c r="M39" s="745"/>
      <c r="O39" s="2306" t="s">
        <v>5576</v>
      </c>
      <c r="P39" s="2306" t="s">
        <v>3510</v>
      </c>
    </row>
    <row r="40" spans="1:16" x14ac:dyDescent="0.2">
      <c r="A40" s="44"/>
      <c r="B40" s="44"/>
      <c r="C40" s="44"/>
      <c r="D40" s="44"/>
      <c r="E40" s="565"/>
      <c r="F40" s="44"/>
      <c r="M40" s="745"/>
      <c r="O40" s="2306"/>
      <c r="P40" s="2306"/>
    </row>
    <row r="41" spans="1:16" x14ac:dyDescent="0.2">
      <c r="A41" s="44"/>
      <c r="B41" s="395" t="s">
        <v>4484</v>
      </c>
      <c r="C41" s="44"/>
      <c r="D41" s="44"/>
      <c r="E41" s="565"/>
      <c r="F41" s="44"/>
      <c r="G41" s="395" t="s">
        <v>1178</v>
      </c>
      <c r="H41" s="44"/>
      <c r="I41" s="44"/>
      <c r="J41" s="672"/>
      <c r="M41" s="745"/>
      <c r="O41" s="2306"/>
      <c r="P41" s="2306"/>
    </row>
    <row r="42" spans="1:16" x14ac:dyDescent="0.2">
      <c r="A42" s="44"/>
      <c r="B42" s="338"/>
      <c r="C42" s="44" t="s">
        <v>1</v>
      </c>
      <c r="D42" s="670"/>
      <c r="E42" s="44"/>
      <c r="F42" s="44"/>
      <c r="G42" s="44"/>
      <c r="H42" s="44" t="s">
        <v>3</v>
      </c>
      <c r="I42" s="44"/>
      <c r="J42" s="1267"/>
      <c r="M42" s="745"/>
      <c r="O42" s="2306" t="s">
        <v>5577</v>
      </c>
      <c r="P42" s="2306" t="s">
        <v>5578</v>
      </c>
    </row>
    <row r="43" spans="1:16" x14ac:dyDescent="0.2">
      <c r="A43" s="44"/>
      <c r="B43" s="44"/>
      <c r="C43" s="44" t="s">
        <v>114</v>
      </c>
      <c r="D43" s="670"/>
      <c r="E43" s="44"/>
      <c r="F43" s="44"/>
      <c r="G43" s="44"/>
      <c r="H43" s="44" t="s">
        <v>728</v>
      </c>
      <c r="I43" s="44"/>
      <c r="J43" s="671"/>
      <c r="M43" s="745"/>
      <c r="O43" s="2306" t="s">
        <v>5579</v>
      </c>
      <c r="P43" s="2306" t="s">
        <v>5580</v>
      </c>
    </row>
    <row r="44" spans="1:16" x14ac:dyDescent="0.2">
      <c r="A44" s="44"/>
      <c r="B44" s="44"/>
      <c r="C44" s="44"/>
      <c r="D44" s="565"/>
      <c r="E44" s="44"/>
      <c r="G44" s="44"/>
      <c r="H44" s="44"/>
      <c r="I44" s="44"/>
      <c r="J44" s="44"/>
      <c r="M44" s="745"/>
      <c r="O44" s="2306"/>
      <c r="P44" s="2306"/>
    </row>
    <row r="45" spans="1:16" x14ac:dyDescent="0.2">
      <c r="A45" s="363" t="s">
        <v>2</v>
      </c>
      <c r="B45" s="44"/>
      <c r="C45" s="44"/>
      <c r="D45" s="44"/>
      <c r="E45" s="565"/>
      <c r="F45" s="363" t="s">
        <v>730</v>
      </c>
      <c r="G45" s="44"/>
      <c r="H45" s="44"/>
      <c r="I45" s="44"/>
      <c r="J45" s="44"/>
      <c r="M45" s="745"/>
      <c r="O45" s="2306"/>
      <c r="P45" s="2306"/>
    </row>
    <row r="46" spans="1:16" x14ac:dyDescent="0.2">
      <c r="A46" s="44"/>
      <c r="B46" s="338" t="s">
        <v>727</v>
      </c>
      <c r="C46" s="44"/>
      <c r="D46" s="44"/>
      <c r="E46" s="44"/>
      <c r="F46" s="44"/>
      <c r="G46" s="338" t="s">
        <v>731</v>
      </c>
      <c r="H46" s="44"/>
      <c r="I46" s="44"/>
      <c r="J46" s="44"/>
      <c r="M46" s="745"/>
      <c r="O46" s="2306"/>
      <c r="P46" s="2306"/>
    </row>
    <row r="47" spans="1:16" x14ac:dyDescent="0.2">
      <c r="A47" s="44"/>
      <c r="B47" s="338"/>
      <c r="C47" s="44" t="s">
        <v>844</v>
      </c>
      <c r="D47" s="670"/>
      <c r="E47" s="565"/>
      <c r="F47" s="44"/>
      <c r="G47" s="338"/>
      <c r="H47" s="44" t="s">
        <v>825</v>
      </c>
      <c r="I47" s="44"/>
      <c r="J47" s="670"/>
      <c r="M47" s="745"/>
      <c r="O47" s="2306" t="s">
        <v>844</v>
      </c>
      <c r="P47" s="2306" t="s">
        <v>825</v>
      </c>
    </row>
    <row r="48" spans="1:16" x14ac:dyDescent="0.2">
      <c r="A48" s="44"/>
      <c r="B48" s="338"/>
      <c r="C48" s="44" t="s">
        <v>845</v>
      </c>
      <c r="D48" s="670"/>
      <c r="E48" s="44"/>
      <c r="F48" s="44"/>
      <c r="G48" s="44"/>
      <c r="H48" s="44"/>
      <c r="I48" s="335" t="s">
        <v>3511</v>
      </c>
      <c r="J48" s="671"/>
      <c r="M48" s="745"/>
      <c r="O48" s="2306" t="s">
        <v>845</v>
      </c>
      <c r="P48" s="2306" t="s">
        <v>5581</v>
      </c>
    </row>
    <row r="49" spans="1:16" x14ac:dyDescent="0.2">
      <c r="A49" s="44"/>
      <c r="B49" s="44"/>
      <c r="C49" s="44" t="s">
        <v>846</v>
      </c>
      <c r="D49" s="670"/>
      <c r="E49" s="565"/>
      <c r="F49" s="44"/>
      <c r="G49" s="44"/>
      <c r="H49" s="44" t="s">
        <v>934</v>
      </c>
      <c r="I49" s="44"/>
      <c r="J49" s="670"/>
      <c r="M49" s="745"/>
      <c r="O49" s="2306" t="s">
        <v>846</v>
      </c>
      <c r="P49" s="2306" t="s">
        <v>934</v>
      </c>
    </row>
    <row r="50" spans="1:16" x14ac:dyDescent="0.2">
      <c r="A50" s="44"/>
      <c r="B50" s="44"/>
      <c r="C50" s="44" t="s">
        <v>14</v>
      </c>
      <c r="D50" s="670"/>
      <c r="E50" s="44"/>
      <c r="G50" s="44"/>
      <c r="H50" s="44"/>
      <c r="I50" s="335" t="s">
        <v>3511</v>
      </c>
      <c r="J50" s="671"/>
      <c r="M50" s="745"/>
      <c r="O50" s="2306" t="s">
        <v>14</v>
      </c>
      <c r="P50" s="2603" t="s">
        <v>5582</v>
      </c>
    </row>
    <row r="51" spans="1:16" x14ac:dyDescent="0.2">
      <c r="A51" s="44"/>
      <c r="B51" s="44"/>
      <c r="C51" s="44" t="s">
        <v>157</v>
      </c>
      <c r="D51" s="670"/>
      <c r="E51" s="44"/>
      <c r="M51" s="745"/>
      <c r="O51" s="2306" t="s">
        <v>157</v>
      </c>
      <c r="P51" s="2306"/>
    </row>
    <row r="52" spans="1:16" x14ac:dyDescent="0.2">
      <c r="A52" s="44"/>
      <c r="B52" s="44"/>
      <c r="C52" s="335" t="s">
        <v>1911</v>
      </c>
      <c r="D52" s="670"/>
      <c r="E52" s="44"/>
      <c r="M52" s="745"/>
      <c r="O52" s="2306" t="s">
        <v>1911</v>
      </c>
      <c r="P52" s="2306"/>
    </row>
    <row r="53" spans="1:16" x14ac:dyDescent="0.2">
      <c r="A53" s="44"/>
      <c r="B53" s="44"/>
      <c r="C53" s="44" t="s">
        <v>15</v>
      </c>
      <c r="D53" s="670"/>
      <c r="E53" s="44"/>
      <c r="M53" s="745"/>
      <c r="O53" s="2306" t="s">
        <v>15</v>
      </c>
      <c r="P53" s="2306"/>
    </row>
    <row r="54" spans="1:16" x14ac:dyDescent="0.2">
      <c r="A54" s="44"/>
      <c r="B54" s="44"/>
      <c r="C54" s="335" t="s">
        <v>4499</v>
      </c>
      <c r="D54" s="670"/>
      <c r="E54" s="565"/>
      <c r="M54" s="745"/>
      <c r="O54" s="2306" t="s">
        <v>4499</v>
      </c>
      <c r="P54" s="2306"/>
    </row>
    <row r="55" spans="1:16" x14ac:dyDescent="0.2">
      <c r="A55" s="44"/>
      <c r="B55" s="44"/>
      <c r="C55" s="44" t="s">
        <v>158</v>
      </c>
      <c r="D55" s="670"/>
      <c r="E55" s="565"/>
      <c r="M55" s="745"/>
      <c r="O55" s="2306" t="s">
        <v>5583</v>
      </c>
      <c r="P55" s="2306"/>
    </row>
    <row r="56" spans="1:16" x14ac:dyDescent="0.2">
      <c r="A56" s="44"/>
      <c r="B56" s="44"/>
      <c r="C56" s="44" t="s">
        <v>159</v>
      </c>
      <c r="D56" s="670"/>
      <c r="E56" s="565"/>
      <c r="M56" s="745"/>
      <c r="O56" s="2306" t="s">
        <v>159</v>
      </c>
      <c r="P56" s="2306"/>
    </row>
    <row r="57" spans="1:16" x14ac:dyDescent="0.2">
      <c r="E57" s="44"/>
      <c r="M57" s="745"/>
    </row>
    <row r="58" spans="1:16" x14ac:dyDescent="0.2">
      <c r="E58" s="44"/>
    </row>
    <row r="59" spans="1:16" x14ac:dyDescent="0.2">
      <c r="B59" s="2065" t="s">
        <v>3949</v>
      </c>
      <c r="C59" s="2064"/>
      <c r="D59" s="2064"/>
      <c r="E59" s="2063"/>
      <c r="F59" s="2063"/>
      <c r="G59" s="2063"/>
      <c r="H59" s="2063"/>
      <c r="I59" s="2063"/>
    </row>
    <row r="60" spans="1:16" x14ac:dyDescent="0.2">
      <c r="A60" s="44"/>
      <c r="J60" s="2063"/>
      <c r="M60" s="745"/>
    </row>
    <row r="61" spans="1:16" x14ac:dyDescent="0.2">
      <c r="A61" s="44"/>
      <c r="B61" s="2061"/>
      <c r="C61" s="2061"/>
      <c r="D61" s="2061"/>
      <c r="E61" s="2061"/>
      <c r="F61" s="2061"/>
      <c r="G61" s="2061"/>
      <c r="H61" s="2061"/>
      <c r="I61" s="2061"/>
      <c r="J61" s="2061"/>
      <c r="M61" s="745"/>
    </row>
    <row r="62" spans="1:16" x14ac:dyDescent="0.2">
      <c r="A62" s="44"/>
      <c r="B62" s="2060"/>
      <c r="C62" s="2060"/>
      <c r="D62" s="2060"/>
      <c r="E62" s="2060"/>
      <c r="F62" s="2060"/>
      <c r="G62" s="2060"/>
      <c r="H62" s="2060"/>
      <c r="I62" s="2060"/>
      <c r="J62" s="2060"/>
      <c r="M62" s="745"/>
    </row>
    <row r="63" spans="1:16" x14ac:dyDescent="0.2">
      <c r="A63" s="44"/>
      <c r="B63" s="2060"/>
      <c r="C63" s="2060"/>
      <c r="D63" s="2060"/>
      <c r="E63" s="2060"/>
      <c r="F63" s="2060"/>
      <c r="G63" s="2060"/>
      <c r="H63" s="2060"/>
      <c r="I63" s="2060"/>
      <c r="J63" s="2060"/>
      <c r="M63" s="745"/>
    </row>
    <row r="64" spans="1:16" x14ac:dyDescent="0.2">
      <c r="A64" s="44"/>
      <c r="B64" s="2061"/>
      <c r="C64" s="2061"/>
      <c r="D64" s="2061"/>
      <c r="E64" s="2061"/>
      <c r="F64" s="2060"/>
      <c r="G64" s="2060"/>
      <c r="H64" s="2060"/>
      <c r="I64" s="2060"/>
      <c r="J64" s="2060"/>
      <c r="M64" s="745"/>
    </row>
    <row r="65" spans="2:13" x14ac:dyDescent="0.2">
      <c r="B65" s="2060"/>
      <c r="C65" s="2060"/>
      <c r="D65" s="2060"/>
      <c r="E65" s="2060"/>
      <c r="F65" s="2060"/>
      <c r="G65" s="2060"/>
      <c r="H65" s="2060"/>
      <c r="I65" s="2060"/>
      <c r="J65" s="2060"/>
      <c r="M65" s="747"/>
    </row>
    <row r="66" spans="2:13" x14ac:dyDescent="0.2">
      <c r="B66" s="2060"/>
      <c r="C66" s="2060"/>
      <c r="D66" s="2060"/>
      <c r="E66" s="2060"/>
      <c r="F66" s="2060"/>
      <c r="G66" s="2060"/>
      <c r="H66" s="2060"/>
      <c r="I66" s="2060"/>
      <c r="J66" s="2060"/>
      <c r="M66" s="745"/>
    </row>
    <row r="67" spans="2:13" x14ac:dyDescent="0.2">
      <c r="B67" s="2060"/>
      <c r="C67" s="2060"/>
      <c r="D67" s="2060"/>
      <c r="E67" s="2060"/>
      <c r="F67" s="2060"/>
      <c r="G67" s="2060"/>
      <c r="H67" s="2060"/>
      <c r="I67" s="2060"/>
      <c r="J67" s="2060"/>
      <c r="M67" s="745"/>
    </row>
    <row r="68" spans="2:13" x14ac:dyDescent="0.2">
      <c r="B68" s="2060"/>
      <c r="C68" s="2060"/>
      <c r="D68" s="2060"/>
      <c r="E68" s="2060"/>
      <c r="F68" s="2060"/>
      <c r="G68" s="2060"/>
      <c r="H68" s="2060"/>
      <c r="I68" s="2060"/>
      <c r="J68" s="2060"/>
      <c r="M68" s="745"/>
    </row>
    <row r="69" spans="2:13" x14ac:dyDescent="0.2">
      <c r="B69" s="2066"/>
      <c r="C69" s="2066"/>
      <c r="D69" s="2066"/>
      <c r="E69" s="2066"/>
      <c r="M69" s="745"/>
    </row>
    <row r="70" spans="2:13" x14ac:dyDescent="0.2">
      <c r="B70" s="2067"/>
      <c r="C70" s="2067"/>
      <c r="D70" s="2067"/>
      <c r="E70" s="2067"/>
      <c r="M70" s="745"/>
    </row>
    <row r="71" spans="2:13" x14ac:dyDescent="0.2">
      <c r="B71" s="2067"/>
      <c r="C71" s="2067"/>
      <c r="D71" s="2067"/>
      <c r="E71" s="2067"/>
      <c r="M71" s="745"/>
    </row>
    <row r="72" spans="2:13" x14ac:dyDescent="0.2">
      <c r="M72" s="745"/>
    </row>
    <row r="73" spans="2:13" x14ac:dyDescent="0.2">
      <c r="M73" s="745"/>
    </row>
    <row r="74" spans="2:13" x14ac:dyDescent="0.2">
      <c r="M74" s="745"/>
    </row>
    <row r="75" spans="2:13" x14ac:dyDescent="0.2">
      <c r="M75" s="745"/>
    </row>
    <row r="76" spans="2:13" x14ac:dyDescent="0.2">
      <c r="M76" s="745"/>
    </row>
    <row r="77" spans="2:13" x14ac:dyDescent="0.2">
      <c r="M77" s="745"/>
    </row>
    <row r="78" spans="2:13" x14ac:dyDescent="0.2">
      <c r="M78" s="745"/>
    </row>
    <row r="79" spans="2:13" x14ac:dyDescent="0.2">
      <c r="M79" s="745"/>
    </row>
    <row r="80" spans="2:13" x14ac:dyDescent="0.2">
      <c r="M80" s="745"/>
    </row>
    <row r="81" spans="13:13" x14ac:dyDescent="0.2">
      <c r="M81" s="745"/>
    </row>
    <row r="82" spans="13:13" x14ac:dyDescent="0.2">
      <c r="M82" s="745"/>
    </row>
    <row r="83" spans="13:13" x14ac:dyDescent="0.2">
      <c r="M83" s="745"/>
    </row>
    <row r="84" spans="13:13" x14ac:dyDescent="0.2">
      <c r="M84" s="747"/>
    </row>
    <row r="85" spans="13:13" x14ac:dyDescent="0.2">
      <c r="M85" s="747"/>
    </row>
    <row r="86" spans="13:13" x14ac:dyDescent="0.2">
      <c r="M86" s="745"/>
    </row>
    <row r="87" spans="13:13" x14ac:dyDescent="0.2">
      <c r="M87" s="745"/>
    </row>
    <row r="88" spans="13:13" x14ac:dyDescent="0.2">
      <c r="M88" s="745"/>
    </row>
    <row r="89" spans="13:13" x14ac:dyDescent="0.2">
      <c r="M89" s="745"/>
    </row>
    <row r="90" spans="13:13" x14ac:dyDescent="0.2">
      <c r="M90" s="746"/>
    </row>
    <row r="91" spans="13:13" x14ac:dyDescent="0.2">
      <c r="M91" s="745"/>
    </row>
    <row r="92" spans="13:13" x14ac:dyDescent="0.2">
      <c r="M92" s="746"/>
    </row>
    <row r="93" spans="13:13" x14ac:dyDescent="0.2">
      <c r="M93" s="745"/>
    </row>
    <row r="94" spans="13:13" x14ac:dyDescent="0.2">
      <c r="M94" s="745"/>
    </row>
    <row r="95" spans="13:13" x14ac:dyDescent="0.2">
      <c r="M95" s="745"/>
    </row>
    <row r="96" spans="13:13" x14ac:dyDescent="0.2">
      <c r="M96" s="745"/>
    </row>
    <row r="97" spans="13:13" x14ac:dyDescent="0.2">
      <c r="M97" s="745"/>
    </row>
    <row r="98" spans="13:13" x14ac:dyDescent="0.2">
      <c r="M98" s="745"/>
    </row>
  </sheetData>
  <sheetProtection algorithmName="SHA-512" hashValue="gZJWgsM0U3CQiIGElc5YUV82kNWxAVFmhENIEbXQqy+bWdqqHhN4K/B6xpKbr2e2skAazrtC70tXZ3MoLAw0pw==" saltValue="1pj86E7jhvgMVemMCjgubQ==" spinCount="100000" sheet="1" objects="1" scenarios="1" autoFilter="0"/>
  <customSheetViews>
    <customSheetView guid="{B08879A4-635B-4C39-9937-AC7883D562FC}" showGridLines="0" fitToPage="1" topLeftCell="A19">
      <pageMargins left="0.75" right="0.5" top="0.5" bottom="0.5" header="0.5" footer="0.25"/>
      <pageSetup scale="83" orientation="portrait" r:id="rId1"/>
      <headerFooter alignWithMargins="0">
        <oddFooter>&amp;R&amp;A</oddFooter>
      </headerFooter>
    </customSheetView>
    <customSheetView guid="{9FCFC836-1CA5-48BF-958D-24D2EA94B219}" showGridLines="0" fitToPage="1" topLeftCell="A19">
      <pageMargins left="0.75" right="0.5" top="0.5" bottom="0.5" header="0.5" footer="0.25"/>
      <pageSetup scale="83" orientation="portrait" r:id="rId2"/>
      <headerFooter alignWithMargins="0">
        <oddFooter>&amp;R&amp;A</oddFooter>
      </headerFooter>
    </customSheetView>
  </customSheetViews>
  <mergeCells count="4">
    <mergeCell ref="B1:J1"/>
    <mergeCell ref="K1:K3"/>
    <mergeCell ref="B2:J2"/>
    <mergeCell ref="B3:J3"/>
  </mergeCells>
  <phoneticPr fontId="15" type="noConversion"/>
  <conditionalFormatting sqref="K1:K4 K10:K12">
    <cfRule type="cellIs" dxfId="174"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7:D56 J37:J38 D32:D33 D38:D39 D42:D43 D16:D21 J41 J47 J49 D28 D25" xr:uid="{00000000-0002-0000-0400-000000000000}">
      <formula1>0</formula1>
    </dataValidation>
    <dataValidation type="decimal" allowBlank="1" showInputMessage="1" showErrorMessage="1" errorTitle="Invalid data!" error="Percentage must be between 0% and 100%." sqref="J17 D34 J48 J42:J43 J50"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0" r:id="rId3" display="https://epm5-a607730.epm.us9.oraclecloud.com/HyperionPlanning/faces/StructureHomeTF/EfsNonFuseNavigator?_adf.ctrl-state=69bzy5h8r_8&amp;_afrLoop=13844347197868236" xr:uid="{3E3FDF5C-6A5D-4166-999F-F2902A9C1FDF}"/>
  </hyperlinks>
  <pageMargins left="0.75" right="0.5" top="0.5" bottom="0.5" header="0.5" footer="0.25"/>
  <pageSetup scale="79" orientation="portrait" r:id="rId4"/>
  <headerFooter alignWithMargins="0">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workbookViewId="0">
      <selection sqref="A1:L1"/>
    </sheetView>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20" customFormat="1" ht="15" customHeight="1" x14ac:dyDescent="0.25">
      <c r="B1" s="2767" t="str">
        <f>+Index!$A$1</f>
        <v xml:space="preserve">                                                               Office of the State Controller                                                                </v>
      </c>
      <c r="C1" s="2767"/>
      <c r="D1" s="2767"/>
      <c r="E1" s="2767"/>
      <c r="F1" s="2767"/>
      <c r="G1" s="2767"/>
      <c r="H1" s="2767"/>
      <c r="I1" s="2767"/>
      <c r="J1" s="2767"/>
      <c r="K1" s="2767"/>
      <c r="L1" s="2767"/>
      <c r="M1" s="2768" t="str">
        <f>IF(Index!$B$77="na","NA","")</f>
        <v/>
      </c>
    </row>
    <row r="2" spans="2:13" s="20" customFormat="1" ht="15" customHeight="1" x14ac:dyDescent="0.25">
      <c r="B2" s="3031" t="str">
        <f>+Index!$A$2</f>
        <v>2022 ACFR Worksheets</v>
      </c>
      <c r="C2" s="3031"/>
      <c r="D2" s="3031"/>
      <c r="E2" s="3031"/>
      <c r="F2" s="3031"/>
      <c r="G2" s="3031"/>
      <c r="H2" s="3031"/>
      <c r="I2" s="3031"/>
      <c r="J2" s="3031"/>
      <c r="K2" s="3031"/>
      <c r="L2" s="3031"/>
      <c r="M2" s="2768"/>
    </row>
    <row r="3" spans="2:13" s="20" customFormat="1" ht="15" customHeight="1" x14ac:dyDescent="0.25">
      <c r="B3" s="2954" t="s">
        <v>3715</v>
      </c>
      <c r="C3" s="2954"/>
      <c r="D3" s="2954"/>
      <c r="E3" s="2954"/>
      <c r="F3" s="2954"/>
      <c r="G3" s="2954"/>
      <c r="H3" s="2954"/>
      <c r="I3" s="2954"/>
      <c r="J3" s="2954"/>
      <c r="K3" s="2954"/>
      <c r="L3" s="2954"/>
      <c r="M3" s="2768"/>
    </row>
    <row r="4" spans="2:13" s="22" customFormat="1" ht="15" customHeight="1" x14ac:dyDescent="0.2">
      <c r="J4" s="251"/>
      <c r="L4" s="1553" t="s">
        <v>3927</v>
      </c>
    </row>
    <row r="5" spans="2:13" s="22" customFormat="1" ht="15" customHeight="1" x14ac:dyDescent="0.2">
      <c r="B5" s="3118" t="s">
        <v>327</v>
      </c>
      <c r="C5" s="3118"/>
      <c r="D5" s="3117" t="str">
        <f>+Index!$E$10</f>
        <v>01</v>
      </c>
      <c r="E5" s="3117"/>
      <c r="F5" s="3117"/>
      <c r="I5" s="23" t="s">
        <v>1154</v>
      </c>
      <c r="J5" s="2807" t="str">
        <f>+Index!$E$11</f>
        <v>North Carolina General Assembly</v>
      </c>
      <c r="K5" s="2807"/>
      <c r="L5" s="2807"/>
    </row>
    <row r="6" spans="2:13" s="22" customFormat="1" ht="15" customHeight="1" x14ac:dyDescent="0.2">
      <c r="I6" s="23" t="s">
        <v>972</v>
      </c>
      <c r="J6" s="2832" t="str">
        <f>CONCATENATE(Index!$E$12," ",Index!$E$14)</f>
        <v xml:space="preserve"> </v>
      </c>
      <c r="K6" s="2832"/>
      <c r="L6" s="2832"/>
    </row>
    <row r="7" spans="2:13" s="22" customFormat="1" ht="15" customHeight="1" x14ac:dyDescent="0.2">
      <c r="B7" s="22" t="s">
        <v>477</v>
      </c>
      <c r="D7" s="3116"/>
      <c r="E7" s="3116"/>
      <c r="F7" s="3116"/>
      <c r="I7" s="23" t="s">
        <v>348</v>
      </c>
      <c r="J7" s="2809">
        <f>+Index!$E$13</f>
        <v>0</v>
      </c>
      <c r="K7" s="2809"/>
      <c r="L7" s="2809"/>
    </row>
    <row r="8" spans="2:13" s="22" customFormat="1" ht="15" customHeight="1" thickBot="1" x14ac:dyDescent="0.25">
      <c r="B8" s="120"/>
      <c r="C8" s="120"/>
      <c r="D8" s="120"/>
      <c r="E8" s="120"/>
      <c r="F8" s="120"/>
      <c r="G8" s="120"/>
      <c r="H8" s="120"/>
      <c r="I8" s="120"/>
      <c r="J8" s="120"/>
      <c r="K8" s="120"/>
      <c r="L8" s="120"/>
    </row>
    <row r="10" spans="2:13" s="22" customFormat="1" x14ac:dyDescent="0.2">
      <c r="B10" s="251" t="s">
        <v>462</v>
      </c>
    </row>
    <row r="11" spans="2:13" s="22" customFormat="1" x14ac:dyDescent="0.2">
      <c r="B11" s="251" t="s">
        <v>4894</v>
      </c>
    </row>
    <row r="12" spans="2:13" s="22" customFormat="1" x14ac:dyDescent="0.2">
      <c r="B12" s="251" t="s">
        <v>1043</v>
      </c>
    </row>
    <row r="13" spans="2:13" s="22" customFormat="1" ht="9" customHeight="1" x14ac:dyDescent="0.2">
      <c r="B13" s="251"/>
    </row>
    <row r="14" spans="2:13" s="22" customFormat="1" x14ac:dyDescent="0.2">
      <c r="B14" s="3114" t="s">
        <v>601</v>
      </c>
      <c r="C14" s="3114"/>
      <c r="D14" s="3114"/>
      <c r="E14" s="252"/>
      <c r="F14" s="3114" t="s">
        <v>1156</v>
      </c>
      <c r="G14" s="3114"/>
      <c r="H14" s="252"/>
      <c r="I14" s="3114" t="s">
        <v>132</v>
      </c>
      <c r="J14" s="3114"/>
      <c r="K14" s="3114"/>
      <c r="L14" s="3114"/>
    </row>
    <row r="15" spans="2:13" s="22" customFormat="1" ht="18" customHeight="1" x14ac:dyDescent="0.2">
      <c r="B15" s="3113"/>
      <c r="C15" s="3113"/>
      <c r="D15" s="3113"/>
      <c r="E15" s="253"/>
      <c r="F15" s="3115"/>
      <c r="G15" s="3115"/>
      <c r="H15" s="253"/>
      <c r="I15" s="3119"/>
      <c r="J15" s="3119"/>
      <c r="K15" s="3119"/>
      <c r="L15" s="3119"/>
    </row>
    <row r="16" spans="2:13" s="22" customFormat="1" ht="18" customHeight="1" x14ac:dyDescent="0.2">
      <c r="B16" s="3113"/>
      <c r="C16" s="3113"/>
      <c r="D16" s="3113"/>
      <c r="E16" s="253"/>
      <c r="F16" s="3115"/>
      <c r="G16" s="3115"/>
      <c r="H16" s="253"/>
      <c r="I16" s="3119"/>
      <c r="J16" s="3119"/>
      <c r="K16" s="3119"/>
      <c r="L16" s="3119"/>
    </row>
    <row r="17" spans="1:12" s="22" customFormat="1" ht="18" customHeight="1" x14ac:dyDescent="0.2">
      <c r="B17" s="3113"/>
      <c r="C17" s="3113"/>
      <c r="D17" s="3113"/>
      <c r="E17" s="253"/>
      <c r="F17" s="3115"/>
      <c r="G17" s="3115"/>
      <c r="H17" s="253"/>
      <c r="I17" s="3119"/>
      <c r="J17" s="3119"/>
      <c r="K17" s="3119"/>
      <c r="L17" s="3119"/>
    </row>
    <row r="18" spans="1:12" s="22" customFormat="1" ht="18" customHeight="1" x14ac:dyDescent="0.2">
      <c r="B18" s="3113"/>
      <c r="C18" s="3113"/>
      <c r="D18" s="3113"/>
      <c r="E18" s="253"/>
      <c r="F18" s="3115"/>
      <c r="G18" s="3115"/>
      <c r="H18" s="253"/>
      <c r="I18" s="3119"/>
      <c r="J18" s="3119"/>
      <c r="K18" s="3119"/>
      <c r="L18" s="3119"/>
    </row>
    <row r="19" spans="1:12" s="22" customFormat="1" ht="18" customHeight="1" x14ac:dyDescent="0.2">
      <c r="B19" s="3113"/>
      <c r="C19" s="3113"/>
      <c r="D19" s="3113"/>
      <c r="E19" s="253"/>
      <c r="F19" s="3115"/>
      <c r="G19" s="3115"/>
      <c r="H19" s="253"/>
      <c r="I19" s="3119"/>
      <c r="J19" s="3119"/>
      <c r="K19" s="3119"/>
      <c r="L19" s="3119"/>
    </row>
    <row r="20" spans="1:12" s="22" customFormat="1" ht="18" customHeight="1" x14ac:dyDescent="0.2">
      <c r="B20" s="3113"/>
      <c r="C20" s="3113"/>
      <c r="D20" s="3113"/>
      <c r="E20" s="253"/>
      <c r="F20" s="3115"/>
      <c r="G20" s="3115"/>
      <c r="H20" s="253"/>
      <c r="I20" s="3119"/>
      <c r="J20" s="3119"/>
      <c r="K20" s="3119"/>
      <c r="L20" s="3119"/>
    </row>
    <row r="21" spans="1:12" s="22" customFormat="1" ht="18" customHeight="1" x14ac:dyDescent="0.2">
      <c r="B21" s="3113"/>
      <c r="C21" s="3113"/>
      <c r="D21" s="3113"/>
      <c r="E21" s="253"/>
      <c r="F21" s="3115"/>
      <c r="G21" s="3115"/>
      <c r="H21" s="253"/>
      <c r="I21" s="3119"/>
      <c r="J21" s="3119"/>
      <c r="K21" s="3119"/>
      <c r="L21" s="3119"/>
    </row>
    <row r="22" spans="1:12" s="22" customFormat="1" ht="18" customHeight="1" x14ac:dyDescent="0.2">
      <c r="B22" s="3113"/>
      <c r="C22" s="3113"/>
      <c r="D22" s="3113"/>
      <c r="E22" s="253"/>
      <c r="F22" s="3115"/>
      <c r="G22" s="3115"/>
      <c r="H22" s="253"/>
      <c r="I22" s="3119"/>
      <c r="J22" s="3119"/>
      <c r="K22" s="3119"/>
      <c r="L22" s="3119"/>
    </row>
    <row r="23" spans="1:12" s="22" customFormat="1" ht="18" customHeight="1" x14ac:dyDescent="0.2">
      <c r="B23" s="3113"/>
      <c r="C23" s="3113"/>
      <c r="D23" s="3113"/>
      <c r="E23" s="253"/>
      <c r="F23" s="3115"/>
      <c r="G23" s="3115"/>
      <c r="H23" s="253"/>
      <c r="I23" s="3119"/>
      <c r="J23" s="3119"/>
      <c r="K23" s="3119"/>
      <c r="L23" s="3119"/>
    </row>
    <row r="24" spans="1:12" s="22" customFormat="1" ht="18" customHeight="1" x14ac:dyDescent="0.2">
      <c r="B24" s="3113"/>
      <c r="C24" s="3113"/>
      <c r="D24" s="3113"/>
      <c r="E24" s="253"/>
      <c r="F24" s="3115"/>
      <c r="G24" s="3115"/>
      <c r="H24" s="253"/>
      <c r="I24" s="3119"/>
      <c r="J24" s="3119"/>
      <c r="K24" s="3119"/>
      <c r="L24" s="3119"/>
    </row>
    <row r="25" spans="1:12" s="22" customFormat="1" ht="18" customHeight="1" x14ac:dyDescent="0.2">
      <c r="B25" s="3113"/>
      <c r="C25" s="3113"/>
      <c r="D25" s="3113"/>
      <c r="E25" s="253"/>
      <c r="F25" s="3115"/>
      <c r="G25" s="3115"/>
      <c r="H25" s="253"/>
      <c r="I25" s="3119"/>
      <c r="J25" s="3119"/>
      <c r="K25" s="3119"/>
      <c r="L25" s="3119"/>
    </row>
    <row r="26" spans="1:12" s="22" customFormat="1" ht="18" customHeight="1" x14ac:dyDescent="0.2">
      <c r="B26" s="3113"/>
      <c r="C26" s="3113"/>
      <c r="D26" s="3113"/>
      <c r="E26" s="253"/>
      <c r="F26" s="3115"/>
      <c r="G26" s="3115"/>
      <c r="H26" s="253"/>
      <c r="I26" s="3119"/>
      <c r="J26" s="3119"/>
      <c r="K26" s="3119"/>
      <c r="L26" s="3119"/>
    </row>
    <row r="27" spans="1:12" s="22" customFormat="1" ht="18" customHeight="1" x14ac:dyDescent="0.2">
      <c r="B27" s="3113"/>
      <c r="C27" s="3113"/>
      <c r="D27" s="3113"/>
      <c r="E27" s="253"/>
      <c r="F27" s="3115"/>
      <c r="G27" s="3115"/>
      <c r="H27" s="253"/>
      <c r="I27" s="3119"/>
      <c r="J27" s="3119"/>
      <c r="K27" s="3119"/>
      <c r="L27" s="3119"/>
    </row>
    <row r="31" spans="1:12" ht="15" x14ac:dyDescent="0.2">
      <c r="A31" s="443" t="str">
        <f ca="1">MID(CELL("filename",A1),FIND("]",CELL("filename",A1))+1,256)</f>
        <v>570</v>
      </c>
      <c r="B31" s="443" t="s">
        <v>449</v>
      </c>
    </row>
    <row r="32" spans="1:12" ht="15" x14ac:dyDescent="0.2">
      <c r="A32" s="443" t="s">
        <v>446</v>
      </c>
      <c r="B32" s="443" t="str">
        <f t="shared" ref="B32:B41" ca="1" si="0">IF(ISNA(INDEX(ErrorTable,MATCH($A$31&amp;$A32&amp;FALSE,ErrorKey,0),6)),"",INDEX(ErrorTable,MATCH($A$31&amp;$A32&amp;FALSE,ErrorKey,0),6))</f>
        <v>GASB number is blank.</v>
      </c>
    </row>
    <row r="33" spans="1:2" ht="15" x14ac:dyDescent="0.2">
      <c r="A33" s="443" t="s">
        <v>447</v>
      </c>
      <c r="B33" s="443" t="str">
        <f t="shared" ca="1" si="0"/>
        <v/>
      </c>
    </row>
    <row r="34" spans="1:2" ht="15" x14ac:dyDescent="0.2">
      <c r="A34" s="443" t="s">
        <v>448</v>
      </c>
      <c r="B34" s="443" t="str">
        <f t="shared" ca="1" si="0"/>
        <v/>
      </c>
    </row>
    <row r="35" spans="1:2" ht="15" x14ac:dyDescent="0.2">
      <c r="A35" s="443" t="s">
        <v>450</v>
      </c>
      <c r="B35" s="443" t="str">
        <f t="shared" ca="1" si="0"/>
        <v/>
      </c>
    </row>
    <row r="36" spans="1:2" ht="15" x14ac:dyDescent="0.2">
      <c r="A36" s="443" t="s">
        <v>451</v>
      </c>
      <c r="B36" s="443" t="str">
        <f t="shared" ca="1" si="0"/>
        <v/>
      </c>
    </row>
    <row r="37" spans="1:2" ht="15" x14ac:dyDescent="0.2">
      <c r="A37" s="443" t="s">
        <v>452</v>
      </c>
      <c r="B37" s="443" t="str">
        <f t="shared" ca="1" si="0"/>
        <v/>
      </c>
    </row>
    <row r="38" spans="1:2" ht="15" x14ac:dyDescent="0.2">
      <c r="A38" s="443" t="s">
        <v>453</v>
      </c>
      <c r="B38" s="443" t="str">
        <f t="shared" ca="1" si="0"/>
        <v/>
      </c>
    </row>
    <row r="39" spans="1:2" ht="15" x14ac:dyDescent="0.2">
      <c r="A39" s="443" t="s">
        <v>454</v>
      </c>
      <c r="B39" s="443" t="str">
        <f t="shared" ca="1" si="0"/>
        <v/>
      </c>
    </row>
    <row r="40" spans="1:2" ht="15" x14ac:dyDescent="0.2">
      <c r="A40" s="443" t="s">
        <v>455</v>
      </c>
      <c r="B40" s="443" t="str">
        <f t="shared" ca="1" si="0"/>
        <v/>
      </c>
    </row>
    <row r="41" spans="1:2" ht="15" x14ac:dyDescent="0.2">
      <c r="A41" s="443" t="s">
        <v>456</v>
      </c>
      <c r="B41" s="443" t="str">
        <f t="shared" ca="1" si="0"/>
        <v/>
      </c>
    </row>
  </sheetData>
  <sheetProtection algorithmName="SHA-512" hashValue="t1jYN37NY0w+mDMEkv4lRtM9ZCixyno6qJtpQsDfIStOMr0pTqndBGYkBoNlTrA7MNscIkMhmm/1f6A54bm7Ew==" saltValue="AilrpaD4h77jt/p6W4NMdw==" spinCount="100000" sheet="1" objects="1" scenarios="1" autoFilter="0"/>
  <customSheetViews>
    <customSheetView guid="{B08879A4-635B-4C39-9937-AC7883D562FC}" showGridLines="0" fitToPage="1" hiddenColumns="1" topLeftCell="B1">
      <selection activeCell="B12" sqref="B12"/>
      <pageMargins left="0.75" right="0.5" top="0.5" bottom="0.5" header="0.5" footer="0.5"/>
      <printOptions horizontalCentered="1"/>
      <pageSetup orientation="portrait" r:id="rId1"/>
      <headerFooter alignWithMargins="0">
        <oddFooter>&amp;R&amp;A</oddFooter>
      </headerFooter>
    </customSheetView>
    <customSheetView guid="{1250FD07-FF56-4A9D-AF9E-C27124A7EBE9}" showGridLines="0" fitToPage="1" showRuler="0">
      <selection sqref="A1:K1"/>
      <pageMargins left="0.75" right="0.5" top="0.5" bottom="0.5" header="0.5" footer="0.5"/>
      <printOptions horizontalCentered="1"/>
      <pageSetup orientation="portrait" r:id="rId2"/>
      <headerFooter alignWithMargins="0">
        <oddFooter>&amp;R&amp;A</oddFooter>
      </headerFooter>
    </customSheetView>
    <customSheetView guid="{BEA4BE86-04D1-4C96-9358-7A260B9D2B2D}" showGridLines="0" fitToPage="1" showRuler="0">
      <selection sqref="A1:K1"/>
      <pageMargins left="0.75" right="0.5" top="0.5" bottom="0.5" header="0.5" footer="0.5"/>
      <printOptions horizontalCentered="1"/>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rintOptions horizontalCentered="1"/>
      <pageSetup orientation="portrait" r:id="rId4"/>
      <headerFooter alignWithMargins="0">
        <oddFooter>&amp;R&amp;A</oddFooter>
      </headerFooter>
    </customSheetView>
  </customSheetViews>
  <mergeCells count="52">
    <mergeCell ref="B24:D24"/>
    <mergeCell ref="F24:G24"/>
    <mergeCell ref="B27:D27"/>
    <mergeCell ref="F27:G27"/>
    <mergeCell ref="I27:L27"/>
    <mergeCell ref="F25:G25"/>
    <mergeCell ref="I25:L25"/>
    <mergeCell ref="B25:D25"/>
    <mergeCell ref="B26:D26"/>
    <mergeCell ref="F26:G26"/>
    <mergeCell ref="I26:L26"/>
    <mergeCell ref="I19:L19"/>
    <mergeCell ref="I20:L20"/>
    <mergeCell ref="I21:L21"/>
    <mergeCell ref="F22:G22"/>
    <mergeCell ref="F23:G23"/>
    <mergeCell ref="I23:L23"/>
    <mergeCell ref="I22:L22"/>
    <mergeCell ref="F20:G20"/>
    <mergeCell ref="F21:G21"/>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M1:M3"/>
    <mergeCell ref="B2:L2"/>
    <mergeCell ref="B3:L3"/>
    <mergeCell ref="I14:L14"/>
    <mergeCell ref="B14:D14"/>
    <mergeCell ref="J5:L5"/>
    <mergeCell ref="J6:L6"/>
    <mergeCell ref="D7:F7"/>
    <mergeCell ref="B1:L1"/>
    <mergeCell ref="D5:F5"/>
    <mergeCell ref="B5:C5"/>
    <mergeCell ref="B18:D18"/>
    <mergeCell ref="J7:L7"/>
    <mergeCell ref="F14:G14"/>
    <mergeCell ref="B15:D15"/>
    <mergeCell ref="F17:G17"/>
  </mergeCells>
  <phoneticPr fontId="15" type="noConversion"/>
  <conditionalFormatting sqref="M1:M3">
    <cfRule type="cellIs" dxfId="50"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rintOptions horizontalCentered="1"/>
  <pageMargins left="0.75" right="0.5" top="0.5" bottom="0.5" header="0.5" footer="0.5"/>
  <pageSetup orientation="portrait" r:id="rId5"/>
  <headerFooter alignWithMargins="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pageSetUpPr fitToPage="1"/>
  </sheetPr>
  <dimension ref="A1:AC84"/>
  <sheetViews>
    <sheetView showGridLines="0" topLeftCell="B1" zoomScaleNormal="100" workbookViewId="0">
      <selection activeCell="W9" sqref="W9"/>
    </sheetView>
  </sheetViews>
  <sheetFormatPr defaultColWidth="9.42578125" defaultRowHeight="11.25" x14ac:dyDescent="0.2"/>
  <cols>
    <col min="1" max="1" width="0" style="427" hidden="1" customWidth="1"/>
    <col min="2" max="2" width="3.5703125" style="427" customWidth="1"/>
    <col min="3" max="3" width="12.5703125" style="427" customWidth="1"/>
    <col min="4" max="9" width="3.5703125" style="427" customWidth="1"/>
    <col min="10" max="10" width="1.5703125" style="427" customWidth="1"/>
    <col min="11" max="11" width="11.5703125" style="427" customWidth="1"/>
    <col min="12" max="12" width="1.5703125" style="427" customWidth="1"/>
    <col min="13" max="13" width="12.5703125" style="427" customWidth="1"/>
    <col min="14" max="14" width="3.42578125" style="427" bestFit="1" customWidth="1"/>
    <col min="15" max="15" width="19.5703125" style="427" customWidth="1"/>
    <col min="16" max="16" width="4.5703125" style="427" customWidth="1"/>
    <col min="17" max="17" width="9.42578125" style="427" hidden="1" customWidth="1"/>
    <col min="18" max="16384" width="9.42578125" style="427"/>
  </cols>
  <sheetData>
    <row r="1" spans="2:29" s="416" customFormat="1" ht="25.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129" t="str">
        <f>IF(Index!$B$79="na","NA","")</f>
        <v/>
      </c>
      <c r="AC1" s="417"/>
    </row>
    <row r="2" spans="2:29" s="416" customFormat="1" ht="15" customHeight="1" x14ac:dyDescent="0.25">
      <c r="B2" s="3124" t="str">
        <f>+Index!$A$2</f>
        <v>2022 ACFR Worksheets</v>
      </c>
      <c r="C2" s="3124"/>
      <c r="D2" s="3124"/>
      <c r="E2" s="3124"/>
      <c r="F2" s="3124"/>
      <c r="G2" s="3124"/>
      <c r="H2" s="3124"/>
      <c r="I2" s="3124"/>
      <c r="J2" s="3124"/>
      <c r="K2" s="3124"/>
      <c r="L2" s="3124"/>
      <c r="M2" s="3124"/>
      <c r="N2" s="3124"/>
      <c r="O2" s="3124"/>
      <c r="P2" s="2129"/>
    </row>
    <row r="3" spans="2:29" s="416" customFormat="1" ht="15" customHeight="1" x14ac:dyDescent="0.25">
      <c r="B3" s="3124" t="s">
        <v>4671</v>
      </c>
      <c r="C3" s="3124"/>
      <c r="D3" s="3124"/>
      <c r="E3" s="3124"/>
      <c r="F3" s="3124"/>
      <c r="G3" s="3124"/>
      <c r="H3" s="3124"/>
      <c r="I3" s="3124"/>
      <c r="J3" s="3124"/>
      <c r="K3" s="3124"/>
      <c r="L3" s="3124"/>
      <c r="M3" s="3124"/>
      <c r="N3" s="3124"/>
      <c r="O3" s="3124"/>
      <c r="P3" s="2129"/>
    </row>
    <row r="4" spans="2:29" s="2007" customFormat="1" ht="15" customHeight="1" x14ac:dyDescent="0.2">
      <c r="K4" s="2006" t="s">
        <v>4675</v>
      </c>
    </row>
    <row r="5" spans="2:29" s="2007" customFormat="1" ht="15" customHeight="1" x14ac:dyDescent="0.2">
      <c r="B5" s="786" t="s">
        <v>817</v>
      </c>
      <c r="E5" s="3122" t="str">
        <f>+Index!$E$10</f>
        <v>01</v>
      </c>
      <c r="F5" s="3122"/>
      <c r="G5" s="3122"/>
      <c r="H5" s="3122"/>
      <c r="K5" s="420" t="s">
        <v>818</v>
      </c>
      <c r="M5" s="2807" t="str">
        <f>+Index!$E$11</f>
        <v>North Carolina General Assembly</v>
      </c>
      <c r="N5" s="2807"/>
      <c r="O5" s="2807"/>
    </row>
    <row r="6" spans="2:29" s="2007" customFormat="1" ht="15" customHeight="1" x14ac:dyDescent="0.2">
      <c r="B6" s="2007" t="s">
        <v>477</v>
      </c>
      <c r="E6" s="3122" t="s">
        <v>256</v>
      </c>
      <c r="F6" s="3122"/>
      <c r="G6" s="3122"/>
      <c r="H6" s="3122"/>
      <c r="K6" s="420" t="s">
        <v>972</v>
      </c>
      <c r="M6" s="2832" t="str">
        <f>CONCATENATE(Index!$E$12," ",Index!$E$14)</f>
        <v xml:space="preserve"> </v>
      </c>
      <c r="N6" s="2832"/>
      <c r="O6" s="2832"/>
    </row>
    <row r="7" spans="2:29" s="2007" customFormat="1" ht="15" customHeight="1" x14ac:dyDescent="0.2">
      <c r="E7" s="3123"/>
      <c r="F7" s="3123"/>
      <c r="G7" s="3123"/>
      <c r="H7" s="3123"/>
      <c r="K7" s="420" t="s">
        <v>348</v>
      </c>
      <c r="M7" s="2809">
        <f>+Index!$E$13</f>
        <v>0</v>
      </c>
      <c r="N7" s="2809"/>
      <c r="O7" s="2809"/>
    </row>
    <row r="8" spans="2:29" s="2007" customFormat="1" ht="15" customHeight="1" thickBot="1" x14ac:dyDescent="0.25">
      <c r="B8" s="421"/>
      <c r="C8" s="421"/>
      <c r="D8" s="421"/>
      <c r="E8" s="421"/>
      <c r="F8" s="421"/>
      <c r="G8" s="421"/>
      <c r="H8" s="421"/>
      <c r="I8" s="421"/>
      <c r="J8" s="421"/>
      <c r="K8" s="421"/>
      <c r="L8" s="421"/>
      <c r="M8" s="421"/>
      <c r="N8" s="421"/>
      <c r="O8" s="421"/>
    </row>
    <row r="9" spans="2:29" s="2007" customFormat="1" ht="15" customHeight="1" x14ac:dyDescent="0.2"/>
    <row r="10" spans="2:29" s="2007" customFormat="1" ht="15" customHeight="1" x14ac:dyDescent="0.2">
      <c r="B10" s="2013" t="s">
        <v>5650</v>
      </c>
      <c r="C10" s="2013"/>
      <c r="D10" s="2013"/>
      <c r="E10" s="2013"/>
      <c r="F10" s="2013"/>
      <c r="G10" s="2013"/>
      <c r="H10" s="2013"/>
      <c r="I10" s="2023"/>
      <c r="J10" s="2023"/>
      <c r="K10" s="2023"/>
      <c r="L10" s="2023"/>
      <c r="M10" s="2023"/>
      <c r="N10" s="2023"/>
      <c r="O10" s="2023"/>
    </row>
    <row r="11" spans="2:29" s="2007" customFormat="1" ht="15" customHeight="1" x14ac:dyDescent="0.2">
      <c r="B11" s="2013" t="s">
        <v>4928</v>
      </c>
      <c r="C11" s="2013"/>
      <c r="D11" s="2013"/>
      <c r="E11" s="2013"/>
      <c r="F11" s="2013"/>
      <c r="G11" s="2013"/>
      <c r="H11" s="2013"/>
      <c r="I11" s="2023"/>
      <c r="J11" s="2023"/>
      <c r="K11" s="2023"/>
      <c r="L11" s="2023"/>
      <c r="M11" s="2023"/>
      <c r="N11" s="2023"/>
      <c r="O11" s="2023"/>
    </row>
    <row r="12" spans="2:29" s="2007" customFormat="1" ht="15" customHeight="1" x14ac:dyDescent="0.2">
      <c r="B12" s="2013" t="s">
        <v>4815</v>
      </c>
      <c r="C12" s="2013"/>
      <c r="D12" s="2013"/>
      <c r="E12" s="2013"/>
      <c r="F12" s="2013"/>
      <c r="G12" s="2013"/>
      <c r="H12" s="2013"/>
      <c r="I12" s="2023"/>
      <c r="J12" s="2023"/>
      <c r="K12" s="2023"/>
      <c r="L12" s="2023"/>
      <c r="M12" s="2023"/>
      <c r="N12" s="2023"/>
      <c r="O12" s="2023"/>
    </row>
    <row r="13" spans="2:29" s="2007" customFormat="1" ht="15" customHeight="1" x14ac:dyDescent="0.2">
      <c r="B13" s="2013"/>
      <c r="C13" s="2013"/>
      <c r="D13" s="2013"/>
      <c r="E13" s="2013"/>
      <c r="F13" s="2013"/>
      <c r="G13" s="2013"/>
      <c r="H13" s="2013"/>
      <c r="I13" s="2016"/>
      <c r="J13" s="2016"/>
      <c r="K13" s="2016"/>
      <c r="L13" s="2016"/>
      <c r="M13" s="2017"/>
      <c r="N13" s="2016"/>
      <c r="O13" s="2016"/>
    </row>
    <row r="14" spans="2:29" s="2007" customFormat="1" ht="15" customHeight="1" x14ac:dyDescent="0.2">
      <c r="B14" s="2014" t="s">
        <v>5389</v>
      </c>
      <c r="C14" s="2013"/>
      <c r="D14" s="2013"/>
      <c r="E14" s="2013"/>
      <c r="F14" s="2013"/>
      <c r="G14" s="2205"/>
      <c r="H14" s="2013"/>
      <c r="I14" s="2018"/>
      <c r="J14" s="2018"/>
      <c r="K14" s="3121"/>
      <c r="L14" s="3121"/>
      <c r="M14" s="3121"/>
      <c r="N14" s="3121"/>
      <c r="O14" s="2016"/>
    </row>
    <row r="15" spans="2:29" s="2007" customFormat="1" ht="15" customHeight="1" x14ac:dyDescent="0.2">
      <c r="B15" s="2013" t="s">
        <v>5390</v>
      </c>
      <c r="C15" s="2013"/>
      <c r="D15" s="2013"/>
      <c r="E15" s="2013"/>
      <c r="F15" s="2013"/>
      <c r="G15" s="2013"/>
      <c r="H15" s="2013"/>
      <c r="I15" s="2019"/>
      <c r="J15" s="2019"/>
      <c r="K15" s="2016"/>
      <c r="L15" s="2016"/>
      <c r="M15" s="2017"/>
      <c r="N15" s="2016"/>
      <c r="O15" s="2016"/>
    </row>
    <row r="16" spans="2:29" s="2007" customFormat="1" ht="15" customHeight="1" x14ac:dyDescent="0.2">
      <c r="B16" s="2013" t="s">
        <v>4672</v>
      </c>
      <c r="C16" s="2013"/>
      <c r="D16" s="2013"/>
      <c r="E16" s="2013"/>
      <c r="F16" s="2013"/>
      <c r="G16" s="2013"/>
      <c r="H16" s="2013"/>
      <c r="I16" s="2018"/>
      <c r="J16" s="2018"/>
      <c r="K16" s="2016"/>
      <c r="L16" s="2016"/>
      <c r="M16" s="2017"/>
      <c r="N16" s="2016"/>
      <c r="O16" s="2016"/>
    </row>
    <row r="17" spans="2:17" s="2007" customFormat="1" ht="15" customHeight="1" x14ac:dyDescent="0.2">
      <c r="B17" s="2015"/>
      <c r="C17" s="2015"/>
      <c r="D17" s="2015"/>
      <c r="E17" s="2015"/>
      <c r="F17" s="2015"/>
      <c r="G17" s="2015"/>
      <c r="H17" s="2015"/>
      <c r="I17" s="2016"/>
      <c r="J17" s="2016"/>
      <c r="K17" s="2023"/>
      <c r="L17" s="2023"/>
      <c r="M17" s="2023"/>
      <c r="N17" s="2023"/>
      <c r="O17" s="2023"/>
    </row>
    <row r="18" spans="2:17" s="2007" customFormat="1" ht="15" customHeight="1" x14ac:dyDescent="0.2">
      <c r="B18" s="2015"/>
      <c r="C18" s="2015"/>
      <c r="D18" s="2015"/>
      <c r="E18" s="2015"/>
      <c r="F18" s="2015"/>
      <c r="G18" s="2015"/>
      <c r="H18" s="2015"/>
      <c r="I18" s="2029"/>
      <c r="J18" s="2021"/>
      <c r="K18" s="2023"/>
      <c r="L18" s="2023"/>
      <c r="M18" s="2023"/>
      <c r="N18" s="2023"/>
      <c r="O18" s="2023"/>
    </row>
    <row r="19" spans="2:17" s="2007" customFormat="1" ht="15" customHeight="1" x14ac:dyDescent="0.2">
      <c r="B19" s="2015"/>
      <c r="C19" s="2015"/>
      <c r="D19" s="2015"/>
      <c r="E19" s="2015"/>
      <c r="F19" s="2015"/>
      <c r="G19" s="2015"/>
      <c r="H19" s="2015"/>
      <c r="I19" s="2016"/>
      <c r="J19" s="2016"/>
      <c r="K19" s="2023"/>
      <c r="L19" s="2023"/>
      <c r="M19" s="2023"/>
      <c r="N19" s="2023"/>
      <c r="O19" s="2023"/>
    </row>
    <row r="20" spans="2:17" s="2007" customFormat="1" ht="15" customHeight="1" x14ac:dyDescent="0.2">
      <c r="B20" s="2015"/>
      <c r="C20" s="2015"/>
      <c r="D20" s="2015"/>
      <c r="E20" s="2015"/>
      <c r="F20" s="2015"/>
      <c r="G20" s="2015"/>
      <c r="H20" s="2015"/>
      <c r="I20" s="2016"/>
      <c r="J20" s="2016"/>
      <c r="K20" s="2016"/>
      <c r="L20" s="2016"/>
      <c r="M20" s="2016"/>
      <c r="N20" s="2016"/>
      <c r="O20" s="2016"/>
    </row>
    <row r="21" spans="2:17" s="2007" customFormat="1" ht="15" customHeight="1" x14ac:dyDescent="0.2">
      <c r="B21" s="2015"/>
      <c r="C21" s="2015"/>
      <c r="D21" s="2015"/>
      <c r="E21" s="2015"/>
      <c r="F21" s="2015"/>
      <c r="G21" s="2015"/>
      <c r="H21" s="2015"/>
      <c r="I21" s="2021"/>
      <c r="J21" s="2021"/>
      <c r="K21" s="2016"/>
      <c r="L21" s="2021"/>
      <c r="M21" s="2016"/>
      <c r="N21" s="2016"/>
      <c r="O21" s="2016"/>
      <c r="Q21" s="428">
        <v>0.06</v>
      </c>
    </row>
    <row r="22" spans="2:17" s="2007" customFormat="1" ht="15" customHeight="1" x14ac:dyDescent="0.2">
      <c r="B22" s="2015"/>
      <c r="C22" s="2015"/>
      <c r="D22" s="2015"/>
      <c r="E22" s="2015"/>
      <c r="F22" s="2015"/>
      <c r="G22" s="2015"/>
      <c r="H22" s="2015"/>
      <c r="I22" s="2030"/>
      <c r="J22" s="2016"/>
      <c r="K22" s="2016"/>
      <c r="L22" s="2016"/>
      <c r="M22" s="2016"/>
      <c r="N22" s="2020"/>
      <c r="O22" s="2016"/>
      <c r="Q22" s="428"/>
    </row>
    <row r="23" spans="2:17" s="2007" customFormat="1" ht="15" customHeight="1" x14ac:dyDescent="0.2">
      <c r="B23" s="2015"/>
      <c r="C23" s="2015"/>
      <c r="D23" s="2015"/>
      <c r="E23" s="2015"/>
      <c r="F23" s="2015"/>
      <c r="G23" s="2015"/>
      <c r="H23" s="2015"/>
      <c r="I23" s="2021"/>
      <c r="J23" s="2021"/>
      <c r="K23" s="2016"/>
      <c r="L23" s="2021"/>
      <c r="M23" s="2016"/>
      <c r="N23" s="2016"/>
      <c r="O23" s="2016"/>
      <c r="Q23" s="428">
        <v>6.8400000000000002E-2</v>
      </c>
    </row>
    <row r="24" spans="2:17" s="2007" customFormat="1" ht="15" customHeight="1" x14ac:dyDescent="0.2">
      <c r="B24" s="2015"/>
      <c r="C24" s="2015"/>
      <c r="D24" s="2015"/>
      <c r="E24" s="2015"/>
      <c r="F24" s="2015"/>
      <c r="G24" s="2015"/>
      <c r="H24" s="2015"/>
      <c r="I24" s="2030"/>
      <c r="J24" s="2016"/>
      <c r="K24" s="2016"/>
      <c r="L24" s="2016"/>
      <c r="M24" s="2016"/>
      <c r="N24" s="2016"/>
      <c r="O24" s="2016"/>
    </row>
    <row r="25" spans="2:17" s="2007" customFormat="1" ht="15" customHeight="1" thickBot="1" x14ac:dyDescent="0.25">
      <c r="B25" s="2010"/>
      <c r="C25" s="2010"/>
      <c r="D25" s="2010"/>
      <c r="E25" s="2011"/>
      <c r="F25" s="2011"/>
      <c r="G25" s="2010"/>
      <c r="H25" s="2012"/>
      <c r="I25" s="2021"/>
      <c r="J25" s="2021"/>
      <c r="K25" s="2016"/>
      <c r="L25" s="2021"/>
      <c r="M25" s="2023"/>
      <c r="N25" s="2023"/>
      <c r="O25" s="2023"/>
    </row>
    <row r="26" spans="2:17" s="2007" customFormat="1" ht="15" customHeight="1" x14ac:dyDescent="0.2">
      <c r="B26" s="2009"/>
      <c r="C26" s="2009"/>
      <c r="D26" s="2009"/>
      <c r="E26" s="2009"/>
      <c r="F26" s="2009"/>
      <c r="G26" s="2009"/>
      <c r="H26" s="2009"/>
      <c r="I26" s="2016"/>
      <c r="J26" s="2016"/>
      <c r="K26" s="2016"/>
      <c r="L26" s="2016"/>
      <c r="M26" s="2023"/>
      <c r="N26" s="2023"/>
      <c r="O26" s="2023"/>
    </row>
    <row r="27" spans="2:17" s="2007" customFormat="1" ht="15" customHeight="1" x14ac:dyDescent="0.2">
      <c r="B27" s="2013" t="s">
        <v>5651</v>
      </c>
      <c r="C27" s="2013"/>
      <c r="D27" s="2013"/>
      <c r="E27" s="2013"/>
      <c r="F27" s="2013"/>
      <c r="G27" s="2013"/>
      <c r="H27" s="2013"/>
      <c r="I27" s="2016"/>
      <c r="J27" s="2016"/>
      <c r="K27" s="2016"/>
      <c r="L27" s="2016"/>
      <c r="M27" s="2023"/>
      <c r="N27" s="2023"/>
      <c r="O27" s="2023"/>
    </row>
    <row r="28" spans="2:17" s="2007" customFormat="1" ht="15" customHeight="1" x14ac:dyDescent="0.2">
      <c r="B28" s="2013" t="s">
        <v>4928</v>
      </c>
      <c r="C28" s="2013"/>
      <c r="D28" s="2013"/>
      <c r="E28" s="2013"/>
      <c r="F28" s="2013"/>
      <c r="G28" s="2013"/>
      <c r="H28" s="2013"/>
      <c r="I28" s="2016"/>
      <c r="J28" s="2016"/>
      <c r="K28" s="2016"/>
      <c r="L28" s="2016"/>
      <c r="M28" s="2023"/>
      <c r="N28" s="2023"/>
      <c r="O28" s="2023"/>
    </row>
    <row r="29" spans="2:17" s="2007" customFormat="1" ht="15" customHeight="1" x14ac:dyDescent="0.2">
      <c r="B29" s="2013" t="s">
        <v>4673</v>
      </c>
      <c r="C29" s="2013"/>
      <c r="D29" s="2013"/>
      <c r="E29" s="2013"/>
      <c r="F29" s="2013"/>
      <c r="G29" s="2013"/>
      <c r="H29" s="2013"/>
      <c r="I29" s="2016"/>
      <c r="J29" s="2016"/>
      <c r="K29" s="2016"/>
      <c r="L29" s="2016"/>
      <c r="M29" s="2023"/>
      <c r="N29" s="2023"/>
      <c r="O29" s="2023"/>
    </row>
    <row r="30" spans="2:17" s="2007" customFormat="1" ht="15" customHeight="1" x14ac:dyDescent="0.2">
      <c r="B30" s="2015"/>
      <c r="C30" s="2015"/>
      <c r="D30" s="2015"/>
      <c r="E30" s="2015"/>
      <c r="F30" s="2015"/>
      <c r="G30" s="2015"/>
      <c r="H30" s="2015"/>
      <c r="I30" s="2016"/>
      <c r="J30" s="2016"/>
      <c r="K30" s="2016"/>
      <c r="L30" s="2016"/>
      <c r="M30" s="2023"/>
      <c r="N30" s="2023"/>
      <c r="O30" s="2023"/>
    </row>
    <row r="31" spans="2:17" s="2007" customFormat="1" ht="15" customHeight="1" x14ac:dyDescent="0.2">
      <c r="B31" s="2014" t="s">
        <v>5391</v>
      </c>
      <c r="C31" s="2013"/>
      <c r="D31" s="2013"/>
      <c r="E31" s="2013"/>
      <c r="F31" s="2013"/>
      <c r="G31" s="2205"/>
      <c r="H31" s="2013"/>
      <c r="I31" s="2022"/>
      <c r="J31" s="2016"/>
      <c r="K31" s="3120"/>
      <c r="L31" s="3121"/>
      <c r="M31" s="3121"/>
      <c r="N31" s="3121"/>
      <c r="O31" s="2023"/>
    </row>
    <row r="32" spans="2:17" s="2007" customFormat="1" ht="15" customHeight="1" x14ac:dyDescent="0.2">
      <c r="B32" s="2013" t="s">
        <v>5392</v>
      </c>
      <c r="C32" s="2013"/>
      <c r="D32" s="2013"/>
      <c r="E32" s="2013"/>
      <c r="F32" s="2013"/>
      <c r="G32" s="2013"/>
      <c r="H32" s="2013"/>
      <c r="I32" s="2016"/>
      <c r="J32" s="2016"/>
      <c r="K32" s="2016"/>
      <c r="L32" s="2016"/>
      <c r="M32" s="2023"/>
      <c r="N32" s="2023"/>
      <c r="O32" s="2023"/>
    </row>
    <row r="33" spans="1:15" s="2007" customFormat="1" ht="15" customHeight="1" x14ac:dyDescent="0.2">
      <c r="B33" s="2013" t="s">
        <v>4672</v>
      </c>
      <c r="C33" s="2013"/>
      <c r="D33" s="2013"/>
      <c r="E33" s="2013"/>
      <c r="F33" s="2013"/>
      <c r="G33" s="2013"/>
      <c r="H33" s="2013"/>
      <c r="I33" s="2016"/>
      <c r="J33" s="2016"/>
      <c r="K33" s="2016"/>
      <c r="L33" s="2016"/>
      <c r="M33" s="2023"/>
      <c r="N33" s="2023"/>
      <c r="O33" s="2023"/>
    </row>
    <row r="34" spans="1:15" s="2007" customFormat="1" ht="15" customHeight="1" x14ac:dyDescent="0.2">
      <c r="B34" s="2015"/>
      <c r="C34" s="2015"/>
      <c r="D34" s="2015"/>
      <c r="E34" s="2015"/>
      <c r="F34" s="2015"/>
      <c r="G34" s="2015"/>
      <c r="H34" s="2015"/>
      <c r="I34" s="2016"/>
      <c r="J34" s="2016"/>
      <c r="K34" s="2016"/>
      <c r="L34" s="2016"/>
      <c r="M34" s="2023"/>
      <c r="N34" s="2023"/>
      <c r="O34" s="2023"/>
    </row>
    <row r="35" spans="1:15" s="2007" customFormat="1" ht="15" customHeight="1" x14ac:dyDescent="0.2">
      <c r="B35" s="2015"/>
      <c r="C35" s="2015"/>
      <c r="D35" s="2015"/>
      <c r="E35" s="2015"/>
      <c r="F35" s="2015"/>
      <c r="G35" s="2015"/>
      <c r="H35" s="2015"/>
      <c r="I35" s="2020"/>
      <c r="J35" s="2020"/>
      <c r="K35" s="2020"/>
      <c r="L35" s="2016"/>
      <c r="M35" s="2024"/>
      <c r="N35" s="2016"/>
      <c r="O35" s="2025"/>
    </row>
    <row r="36" spans="1:15" s="2007" customFormat="1" ht="15" customHeight="1" x14ac:dyDescent="0.2">
      <c r="B36" s="2015"/>
      <c r="C36" s="2015"/>
      <c r="D36" s="2015"/>
      <c r="E36" s="2015"/>
      <c r="F36" s="2015"/>
      <c r="G36" s="2015"/>
      <c r="H36" s="2015"/>
      <c r="I36" s="2016"/>
      <c r="J36" s="2016"/>
      <c r="K36" s="2016"/>
      <c r="L36" s="2016"/>
      <c r="M36" s="2023"/>
      <c r="N36" s="2023"/>
      <c r="O36" s="2023"/>
    </row>
    <row r="37" spans="1:15" s="2007" customFormat="1" ht="15" customHeight="1" x14ac:dyDescent="0.2">
      <c r="B37" s="2015"/>
      <c r="C37" s="2015"/>
      <c r="D37" s="2015"/>
      <c r="E37" s="2015"/>
      <c r="F37" s="2015"/>
      <c r="G37" s="2015"/>
      <c r="H37" s="2015"/>
      <c r="I37" s="2016"/>
      <c r="J37" s="2016"/>
      <c r="K37" s="2016"/>
      <c r="L37" s="2016"/>
      <c r="M37" s="2023"/>
      <c r="N37" s="2023"/>
      <c r="O37" s="2023"/>
    </row>
    <row r="38" spans="1:15" s="2007" customFormat="1" ht="15" customHeight="1" x14ac:dyDescent="0.2">
      <c r="B38" s="2015"/>
      <c r="C38" s="2015"/>
      <c r="D38" s="2015"/>
      <c r="E38" s="2015"/>
      <c r="F38" s="2015"/>
      <c r="G38" s="2015"/>
      <c r="H38" s="2015"/>
      <c r="I38" s="2016"/>
      <c r="J38" s="2016"/>
      <c r="K38" s="2016"/>
      <c r="L38" s="2016"/>
      <c r="M38" s="2023"/>
      <c r="N38" s="2023"/>
      <c r="O38" s="2023"/>
    </row>
    <row r="39" spans="1:15" s="2007" customFormat="1" ht="15" customHeight="1" x14ac:dyDescent="0.2">
      <c r="B39" s="2015"/>
      <c r="C39" s="2015"/>
      <c r="D39" s="2015"/>
      <c r="E39" s="2015"/>
      <c r="F39" s="2015"/>
      <c r="G39" s="2015"/>
      <c r="H39" s="2015"/>
      <c r="I39" s="2016"/>
      <c r="J39" s="2016"/>
      <c r="K39" s="2016"/>
      <c r="L39" s="2016"/>
      <c r="M39" s="2023"/>
      <c r="N39" s="2023"/>
      <c r="O39" s="2023"/>
    </row>
    <row r="40" spans="1:15" s="2007" customFormat="1" ht="15" customHeight="1" x14ac:dyDescent="0.2">
      <c r="B40" s="2015"/>
      <c r="C40" s="2015"/>
      <c r="D40" s="2015"/>
      <c r="E40" s="2015"/>
      <c r="F40" s="2015"/>
      <c r="G40" s="2015"/>
      <c r="H40" s="2015"/>
      <c r="I40" s="2016"/>
      <c r="J40" s="2016"/>
      <c r="K40" s="2016"/>
      <c r="L40" s="2016"/>
      <c r="M40" s="2023"/>
      <c r="N40" s="2026"/>
      <c r="O40" s="2027"/>
    </row>
    <row r="41" spans="1:15" s="2007" customFormat="1" ht="6" customHeight="1" x14ac:dyDescent="0.2">
      <c r="B41" s="2015"/>
      <c r="C41" s="2015"/>
      <c r="D41" s="2015"/>
      <c r="E41" s="2015"/>
      <c r="F41" s="2015"/>
      <c r="G41" s="2015"/>
      <c r="H41" s="2015"/>
      <c r="I41" s="2016"/>
      <c r="J41" s="2016"/>
      <c r="K41" s="2016"/>
      <c r="L41" s="2016"/>
      <c r="M41" s="2016"/>
      <c r="N41" s="2016"/>
      <c r="O41" s="2016"/>
    </row>
    <row r="42" spans="1:15" s="2007" customFormat="1" ht="15" customHeight="1" thickBot="1" x14ac:dyDescent="0.25">
      <c r="B42" s="2010"/>
      <c r="C42" s="2010"/>
      <c r="D42" s="2010"/>
      <c r="E42" s="2011"/>
      <c r="F42" s="2011"/>
      <c r="G42" s="2010"/>
      <c r="H42" s="2012"/>
      <c r="I42" s="2016"/>
      <c r="J42" s="2016"/>
      <c r="K42" s="2016"/>
      <c r="L42" s="2016"/>
      <c r="M42" s="2023"/>
      <c r="N42" s="2023"/>
      <c r="O42" s="2028"/>
    </row>
    <row r="43" spans="1:15" s="2007" customFormat="1" ht="6" customHeight="1" x14ac:dyDescent="0.2">
      <c r="B43" s="2009"/>
      <c r="C43" s="2009"/>
      <c r="D43" s="2009"/>
      <c r="E43" s="2009"/>
      <c r="F43" s="2009"/>
      <c r="G43" s="2009"/>
      <c r="H43" s="2009"/>
      <c r="I43" s="2016"/>
      <c r="J43" s="2016"/>
      <c r="K43" s="2016"/>
      <c r="L43" s="2016"/>
      <c r="M43" s="2023"/>
      <c r="N43" s="2023"/>
      <c r="O43" s="2027"/>
    </row>
    <row r="44" spans="1:15" s="2007" customFormat="1" ht="15" customHeight="1" x14ac:dyDescent="0.2">
      <c r="B44" s="2013" t="s">
        <v>5652</v>
      </c>
      <c r="C44" s="2013"/>
      <c r="D44" s="2013"/>
      <c r="E44" s="2013"/>
      <c r="F44" s="2013"/>
      <c r="G44" s="2013"/>
      <c r="H44" s="2013"/>
      <c r="I44" s="2016"/>
      <c r="J44" s="2016"/>
      <c r="K44" s="2016"/>
      <c r="L44" s="2016"/>
      <c r="M44" s="2023"/>
      <c r="N44" s="2023"/>
      <c r="O44" s="2027"/>
    </row>
    <row r="45" spans="1:15" s="2007" customFormat="1" ht="15" customHeight="1" x14ac:dyDescent="0.2">
      <c r="B45" s="2013" t="s">
        <v>4928</v>
      </c>
      <c r="C45" s="2013"/>
      <c r="D45" s="2013"/>
      <c r="E45" s="2013"/>
      <c r="F45" s="2013"/>
      <c r="G45" s="2013"/>
      <c r="H45" s="2013"/>
      <c r="I45" s="2016"/>
      <c r="J45" s="2016"/>
      <c r="K45" s="2016"/>
      <c r="L45" s="2016"/>
      <c r="M45" s="2016"/>
      <c r="N45" s="2016"/>
      <c r="O45" s="2016"/>
    </row>
    <row r="46" spans="1:15" s="2007" customFormat="1" ht="15" customHeight="1" x14ac:dyDescent="0.2">
      <c r="B46" s="2013" t="s">
        <v>4674</v>
      </c>
      <c r="C46" s="2013"/>
      <c r="D46" s="2013"/>
      <c r="E46" s="2013"/>
      <c r="F46" s="2013"/>
      <c r="G46" s="2013"/>
      <c r="H46" s="2013"/>
      <c r="I46" s="2016"/>
      <c r="J46" s="2016"/>
      <c r="K46" s="2016"/>
      <c r="L46" s="2016"/>
      <c r="M46" s="2016"/>
      <c r="N46" s="2016"/>
      <c r="O46" s="2016"/>
    </row>
    <row r="47" spans="1:15" s="2007" customFormat="1" ht="15" customHeight="1" x14ac:dyDescent="0.2">
      <c r="B47" s="2015"/>
      <c r="C47" s="2015"/>
      <c r="D47" s="2015"/>
      <c r="E47" s="2015"/>
      <c r="F47" s="2015"/>
      <c r="G47" s="2015"/>
      <c r="H47" s="2015"/>
      <c r="I47" s="2016"/>
      <c r="J47" s="2016"/>
      <c r="K47" s="2016"/>
      <c r="L47" s="2016"/>
      <c r="M47" s="2016"/>
      <c r="N47" s="2016"/>
      <c r="O47" s="2016"/>
    </row>
    <row r="48" spans="1:15" s="2007" customFormat="1" ht="15" customHeight="1" x14ac:dyDescent="0.2">
      <c r="A48" s="443" t="str">
        <f ca="1">MID(CELL("filename",A7),FIND("]",CELL("filename",A7))+1,256)</f>
        <v>602</v>
      </c>
      <c r="B48" s="2014" t="s">
        <v>5393</v>
      </c>
      <c r="C48" s="2013"/>
      <c r="D48" s="2013"/>
      <c r="E48" s="2013"/>
      <c r="F48" s="2013"/>
      <c r="G48" s="2205"/>
      <c r="H48" s="2013"/>
      <c r="I48" s="2016"/>
      <c r="J48" s="2016"/>
      <c r="K48" s="3120"/>
      <c r="L48" s="3121"/>
      <c r="M48" s="3121"/>
      <c r="N48" s="3121"/>
      <c r="O48" s="2016"/>
    </row>
    <row r="49" spans="1:15" s="2007" customFormat="1" ht="15" customHeight="1" x14ac:dyDescent="0.2">
      <c r="A49" s="443" t="s">
        <v>446</v>
      </c>
      <c r="B49" s="2013" t="s">
        <v>5392</v>
      </c>
      <c r="C49" s="2013"/>
      <c r="D49" s="2013"/>
      <c r="E49" s="2013"/>
      <c r="F49" s="2013"/>
      <c r="G49" s="2013"/>
      <c r="H49" s="2013"/>
      <c r="I49" s="2016"/>
      <c r="J49" s="2016"/>
      <c r="K49" s="2016"/>
      <c r="L49" s="2016"/>
      <c r="M49" s="2016"/>
      <c r="N49" s="2016"/>
      <c r="O49" s="2016"/>
    </row>
    <row r="50" spans="1:15" s="2007" customFormat="1" ht="15" customHeight="1" x14ac:dyDescent="0.2">
      <c r="A50" s="443" t="s">
        <v>447</v>
      </c>
      <c r="B50" s="2013" t="s">
        <v>4672</v>
      </c>
      <c r="C50" s="2013"/>
      <c r="D50" s="2013"/>
      <c r="E50" s="2013"/>
      <c r="F50" s="2013"/>
      <c r="G50" s="2013"/>
      <c r="H50" s="2013"/>
      <c r="I50" s="2016"/>
      <c r="J50" s="2016"/>
      <c r="K50" s="2016"/>
      <c r="L50" s="2016"/>
      <c r="M50" s="2016"/>
      <c r="N50" s="2016"/>
      <c r="O50" s="2016"/>
    </row>
    <row r="51" spans="1:15" s="2007" customFormat="1" ht="15" customHeight="1" x14ac:dyDescent="0.2">
      <c r="A51" s="443" t="s">
        <v>448</v>
      </c>
      <c r="B51" s="2015"/>
      <c r="C51" s="2015"/>
      <c r="D51" s="2015"/>
      <c r="E51" s="2015"/>
      <c r="F51" s="2015"/>
      <c r="G51" s="2015"/>
      <c r="H51" s="2015"/>
      <c r="I51" s="2016"/>
      <c r="J51" s="2016"/>
      <c r="K51" s="2016"/>
      <c r="L51" s="2016"/>
      <c r="M51" s="2016"/>
      <c r="N51" s="2016"/>
      <c r="O51" s="2016"/>
    </row>
    <row r="52" spans="1:15" s="2007" customFormat="1" ht="15" customHeight="1" x14ac:dyDescent="0.2">
      <c r="A52" s="443" t="s">
        <v>450</v>
      </c>
      <c r="B52" s="2015"/>
      <c r="C52" s="2015"/>
      <c r="D52" s="2015"/>
      <c r="E52" s="2015"/>
      <c r="F52" s="2015"/>
      <c r="G52" s="2015"/>
      <c r="H52" s="2015"/>
      <c r="I52" s="2016"/>
      <c r="J52" s="2016"/>
      <c r="K52" s="2016"/>
      <c r="L52" s="2016"/>
      <c r="M52" s="2016"/>
      <c r="N52" s="2016"/>
      <c r="O52" s="2016"/>
    </row>
    <row r="53" spans="1:15" s="2007" customFormat="1" ht="15" x14ac:dyDescent="0.2">
      <c r="A53" s="443" t="s">
        <v>451</v>
      </c>
      <c r="B53" s="2015"/>
      <c r="C53" s="2015"/>
      <c r="D53" s="2015"/>
      <c r="E53" s="2015"/>
      <c r="F53" s="2015"/>
      <c r="G53" s="2015"/>
      <c r="H53" s="2015"/>
      <c r="I53" s="2016"/>
      <c r="J53" s="2016"/>
      <c r="K53" s="2016"/>
      <c r="L53" s="2016"/>
      <c r="M53" s="2016"/>
      <c r="N53" s="2016"/>
      <c r="O53" s="2016"/>
    </row>
    <row r="54" spans="1:15" s="2007" customFormat="1" ht="15" x14ac:dyDescent="0.2">
      <c r="A54" s="443" t="s">
        <v>452</v>
      </c>
      <c r="B54" s="2015"/>
      <c r="C54" s="2015"/>
      <c r="D54" s="2015"/>
      <c r="E54" s="2015"/>
      <c r="F54" s="2015"/>
      <c r="G54" s="2015"/>
      <c r="H54" s="2015"/>
      <c r="I54" s="2016"/>
      <c r="J54" s="2016"/>
      <c r="K54" s="2016"/>
      <c r="L54" s="2016"/>
      <c r="M54" s="2016"/>
      <c r="N54" s="2016"/>
      <c r="O54" s="2016"/>
    </row>
    <row r="55" spans="1:15" s="2007" customFormat="1" ht="15" x14ac:dyDescent="0.2">
      <c r="A55" s="443" t="s">
        <v>453</v>
      </c>
      <c r="B55" s="2015"/>
      <c r="C55" s="2015"/>
      <c r="D55" s="2015"/>
      <c r="E55" s="2015"/>
      <c r="F55" s="2015"/>
      <c r="G55" s="2015"/>
      <c r="H55" s="2015"/>
      <c r="I55" s="2016"/>
      <c r="J55" s="2016"/>
      <c r="K55" s="2016"/>
      <c r="L55" s="2016"/>
      <c r="M55" s="2016"/>
      <c r="N55" s="2016"/>
      <c r="O55" s="2016"/>
    </row>
    <row r="56" spans="1:15" s="2007" customFormat="1" ht="15" x14ac:dyDescent="0.2">
      <c r="A56" s="443" t="s">
        <v>454</v>
      </c>
      <c r="B56" s="2015"/>
      <c r="C56" s="2015"/>
      <c r="D56" s="2015"/>
      <c r="E56" s="2015"/>
      <c r="F56" s="2015"/>
      <c r="G56" s="2015"/>
      <c r="H56" s="2015"/>
      <c r="I56" s="2016"/>
      <c r="J56" s="2016"/>
      <c r="K56" s="2016"/>
      <c r="L56" s="2016"/>
      <c r="M56" s="2016"/>
      <c r="N56" s="2016"/>
      <c r="O56" s="2016"/>
    </row>
    <row r="57" spans="1:15" s="2007" customFormat="1" ht="15" x14ac:dyDescent="0.2">
      <c r="A57" s="443" t="s">
        <v>455</v>
      </c>
      <c r="B57" s="2015"/>
      <c r="C57" s="2015"/>
      <c r="D57" s="2015"/>
      <c r="E57" s="2015"/>
      <c r="F57" s="2015"/>
      <c r="G57" s="2015"/>
      <c r="H57" s="2015"/>
    </row>
    <row r="58" spans="1:15" s="2007" customFormat="1" ht="15" x14ac:dyDescent="0.2">
      <c r="A58" s="443" t="s">
        <v>456</v>
      </c>
      <c r="B58" s="2015"/>
      <c r="C58" s="2015"/>
      <c r="D58" s="2015"/>
      <c r="E58" s="2015"/>
      <c r="F58" s="2015"/>
      <c r="G58" s="2015"/>
      <c r="H58" s="2015"/>
    </row>
    <row r="59" spans="1:15" s="2007" customFormat="1" ht="12.75" x14ac:dyDescent="0.2"/>
    <row r="60" spans="1:15" s="2007" customFormat="1" ht="12.75" x14ac:dyDescent="0.2"/>
    <row r="61" spans="1:15" s="426" customFormat="1" ht="12" x14ac:dyDescent="0.2"/>
    <row r="62" spans="1:15" s="426" customFormat="1" ht="12" x14ac:dyDescent="0.2"/>
    <row r="63" spans="1:15" s="426" customFormat="1" ht="12" x14ac:dyDescent="0.2"/>
    <row r="64" spans="1:15" s="426" customFormat="1" ht="12" x14ac:dyDescent="0.2"/>
    <row r="65" s="426" customFormat="1" ht="12" x14ac:dyDescent="0.2"/>
    <row r="66" s="426" customFormat="1" ht="12" x14ac:dyDescent="0.2"/>
    <row r="67" s="426" customFormat="1" ht="12" x14ac:dyDescent="0.2"/>
    <row r="68" s="426" customFormat="1" ht="12" x14ac:dyDescent="0.2"/>
    <row r="69" s="426" customFormat="1" ht="12" x14ac:dyDescent="0.2"/>
    <row r="70" s="426" customFormat="1" ht="12" x14ac:dyDescent="0.2"/>
    <row r="71" s="426" customFormat="1" ht="12" x14ac:dyDescent="0.2"/>
    <row r="72" s="426" customFormat="1" ht="12" x14ac:dyDescent="0.2"/>
    <row r="73" s="426" customFormat="1" ht="12" x14ac:dyDescent="0.2"/>
    <row r="74" s="426" customFormat="1" ht="12" x14ac:dyDescent="0.2"/>
    <row r="75" s="426" customFormat="1" ht="12" x14ac:dyDescent="0.2"/>
    <row r="76" s="426" customFormat="1" ht="12" x14ac:dyDescent="0.2"/>
    <row r="77" s="426" customFormat="1" ht="12" x14ac:dyDescent="0.2"/>
    <row r="78" s="426" customFormat="1" ht="12" x14ac:dyDescent="0.2"/>
    <row r="79" s="426" customFormat="1" ht="12" x14ac:dyDescent="0.2"/>
    <row r="80" s="426" customFormat="1" ht="12" x14ac:dyDescent="0.2"/>
    <row r="81" s="426" customFormat="1" ht="12" x14ac:dyDescent="0.2"/>
    <row r="82" s="426" customFormat="1" ht="12" x14ac:dyDescent="0.2"/>
    <row r="83" s="426" customFormat="1" ht="12" x14ac:dyDescent="0.2"/>
    <row r="84" s="426" customFormat="1" ht="12" x14ac:dyDescent="0.2"/>
  </sheetData>
  <sheetProtection algorithmName="SHA-512" hashValue="8wlbEms8KpWQvMyaGbRoOPNGhhqx8bq3tMDDTookpaDSxDXWyhL8Hz1eOCs7cMGjinhdIdHKJZC3wzDiekJn1A==" saltValue="EypxJQds8TLz//oDlUolOQ==" spinCount="100000" sheet="1" objects="1" scenarios="1" autoFilter="0"/>
  <mergeCells count="12">
    <mergeCell ref="B1:O1"/>
    <mergeCell ref="B2:O2"/>
    <mergeCell ref="B3:O3"/>
    <mergeCell ref="E5:H5"/>
    <mergeCell ref="M5:O5"/>
    <mergeCell ref="K48:N48"/>
    <mergeCell ref="K31:N31"/>
    <mergeCell ref="E6:H6"/>
    <mergeCell ref="M6:O6"/>
    <mergeCell ref="E7:H7"/>
    <mergeCell ref="M7:O7"/>
    <mergeCell ref="K14:N14"/>
  </mergeCells>
  <conditionalFormatting sqref="P1:P3">
    <cfRule type="cellIs" dxfId="49" priority="2" stopIfTrue="1" operator="equal">
      <formula>"na"</formula>
    </cfRule>
  </conditionalFormatting>
  <conditionalFormatting sqref="O35">
    <cfRule type="containsText" dxfId="48" priority="1" stopIfTrue="1" operator="containsText" text="Answer Missing">
      <formula>NOT(ISERROR(SEARCH("Answer Missing",O35)))</formula>
    </cfRule>
  </conditionalFormatting>
  <hyperlinks>
    <hyperlink ref="B1:O1" location="Index!A1" display="Index!A1" xr:uid="{1C8D7A2C-8446-4F4E-8B0E-F6E05528FD5B}"/>
  </hyperlinks>
  <pageMargins left="0.75" right="0.5" top="0.5" bottom="0.5" header="0.5" footer="0.5"/>
  <pageSetup scale="89" orientation="portrait" r:id="rId1"/>
  <headerFooter alignWithMargins="0">
    <oddFooter>&amp;R&amp;A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workbookViewId="0">
      <selection activeCell="C4" sqref="C4"/>
    </sheetView>
  </sheetViews>
  <sheetFormatPr defaultColWidth="9.42578125" defaultRowHeight="11.25" x14ac:dyDescent="0.2"/>
  <cols>
    <col min="1" max="1" width="0" style="427" hidden="1" customWidth="1"/>
    <col min="2" max="2" width="3.5703125" style="427" customWidth="1"/>
    <col min="3" max="3" width="12.5703125" style="427" customWidth="1"/>
    <col min="4" max="9" width="3.5703125" style="427" customWidth="1"/>
    <col min="10" max="10" width="1.5703125" style="427" customWidth="1"/>
    <col min="11" max="11" width="11.5703125" style="427" customWidth="1"/>
    <col min="12" max="12" width="1.5703125" style="427" customWidth="1"/>
    <col min="13" max="13" width="12.5703125" style="427" customWidth="1"/>
    <col min="14" max="14" width="3.42578125" style="427" bestFit="1" customWidth="1"/>
    <col min="15" max="15" width="19.5703125" style="427" customWidth="1"/>
    <col min="16" max="16" width="4.5703125" style="427" customWidth="1"/>
    <col min="17" max="17" width="9.42578125" style="427" hidden="1" customWidth="1"/>
    <col min="18" max="16384" width="9.42578125" style="427"/>
  </cols>
  <sheetData>
    <row r="1" spans="2:29" s="416" customFormat="1" ht="25.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129" t="str">
        <f>IF(Index!$B$79="na","NA","")</f>
        <v/>
      </c>
      <c r="AC1" s="417"/>
    </row>
    <row r="2" spans="2:29" s="416" customFormat="1" ht="15" customHeight="1" x14ac:dyDescent="0.25">
      <c r="B2" s="3124" t="str">
        <f>+Index!$A$2</f>
        <v>2022 ACFR Worksheets</v>
      </c>
      <c r="C2" s="3124"/>
      <c r="D2" s="3124"/>
      <c r="E2" s="3124"/>
      <c r="F2" s="3124"/>
      <c r="G2" s="3124"/>
      <c r="H2" s="3124"/>
      <c r="I2" s="3124"/>
      <c r="J2" s="3124"/>
      <c r="K2" s="3124"/>
      <c r="L2" s="3124"/>
      <c r="M2" s="3124"/>
      <c r="N2" s="3124"/>
      <c r="O2" s="3124"/>
      <c r="P2" s="2129"/>
    </row>
    <row r="3" spans="2:29" s="416" customFormat="1" ht="15" customHeight="1" x14ac:dyDescent="0.25">
      <c r="B3" s="3124" t="s">
        <v>3637</v>
      </c>
      <c r="C3" s="3124"/>
      <c r="D3" s="3124"/>
      <c r="E3" s="3124"/>
      <c r="F3" s="3124"/>
      <c r="G3" s="3124"/>
      <c r="H3" s="3124"/>
      <c r="I3" s="3124"/>
      <c r="J3" s="3124"/>
      <c r="K3" s="3124"/>
      <c r="L3" s="3124"/>
      <c r="M3" s="3124"/>
      <c r="N3" s="3124"/>
      <c r="O3" s="3124"/>
      <c r="P3" s="2129"/>
    </row>
    <row r="4" spans="2:29" s="418" customFormat="1" ht="15" customHeight="1" x14ac:dyDescent="0.2">
      <c r="K4" s="419"/>
    </row>
    <row r="5" spans="2:29" s="418" customFormat="1" ht="15" customHeight="1" x14ac:dyDescent="0.2">
      <c r="B5" s="786" t="s">
        <v>817</v>
      </c>
      <c r="E5" s="3122" t="str">
        <f>+Index!$E$10</f>
        <v>01</v>
      </c>
      <c r="F5" s="3122"/>
      <c r="G5" s="3122"/>
      <c r="H5" s="3122"/>
      <c r="K5" s="420" t="s">
        <v>818</v>
      </c>
      <c r="M5" s="2807" t="str">
        <f>+Index!$E$11</f>
        <v>North Carolina General Assembly</v>
      </c>
      <c r="N5" s="2807"/>
      <c r="O5" s="2807"/>
    </row>
    <row r="6" spans="2:29" s="418" customFormat="1" ht="15" customHeight="1" x14ac:dyDescent="0.2">
      <c r="B6" s="418" t="s">
        <v>477</v>
      </c>
      <c r="E6" s="3122" t="s">
        <v>256</v>
      </c>
      <c r="F6" s="3122"/>
      <c r="G6" s="3122"/>
      <c r="H6" s="3122"/>
      <c r="K6" s="420" t="s">
        <v>972</v>
      </c>
      <c r="M6" s="2832" t="str">
        <f>CONCATENATE(Index!$E$12," ",Index!$E$14)</f>
        <v xml:space="preserve"> </v>
      </c>
      <c r="N6" s="2832"/>
      <c r="O6" s="2832"/>
    </row>
    <row r="7" spans="2:29" s="418" customFormat="1" ht="15" customHeight="1" x14ac:dyDescent="0.2">
      <c r="E7" s="3123"/>
      <c r="F7" s="3123"/>
      <c r="G7" s="3123"/>
      <c r="H7" s="3123"/>
      <c r="K7" s="420" t="s">
        <v>348</v>
      </c>
      <c r="M7" s="2809">
        <f>+Index!$E$13</f>
        <v>0</v>
      </c>
      <c r="N7" s="2809"/>
      <c r="O7" s="2809"/>
    </row>
    <row r="8" spans="2:29" s="418" customFormat="1" ht="15" customHeight="1" thickBot="1" x14ac:dyDescent="0.25">
      <c r="B8" s="421"/>
      <c r="C8" s="421"/>
      <c r="D8" s="421"/>
      <c r="E8" s="421"/>
      <c r="F8" s="421"/>
      <c r="G8" s="421"/>
      <c r="H8" s="421"/>
      <c r="I8" s="421"/>
      <c r="J8" s="421"/>
      <c r="K8" s="421"/>
      <c r="L8" s="421"/>
      <c r="M8" s="421"/>
      <c r="N8" s="421"/>
      <c r="O8" s="421"/>
    </row>
    <row r="9" spans="2:29" s="418" customFormat="1" ht="15" customHeight="1" x14ac:dyDescent="0.2"/>
    <row r="10" spans="2:29" s="418" customFormat="1" ht="15" customHeight="1" x14ac:dyDescent="0.2">
      <c r="B10" s="3128" t="s">
        <v>4239</v>
      </c>
      <c r="C10" s="3129"/>
      <c r="D10" s="3129"/>
      <c r="E10" s="3129"/>
      <c r="F10" s="3129"/>
      <c r="G10" s="3129"/>
      <c r="H10" s="3129"/>
      <c r="I10" s="3129"/>
      <c r="J10" s="3129"/>
      <c r="K10" s="3129"/>
      <c r="L10" s="3129"/>
      <c r="M10" s="3129"/>
      <c r="N10" s="3129"/>
      <c r="O10" s="3129"/>
    </row>
    <row r="11" spans="2:29" s="418" customFormat="1" ht="15" customHeight="1" x14ac:dyDescent="0.2">
      <c r="B11" s="3129"/>
      <c r="C11" s="3129"/>
      <c r="D11" s="3129"/>
      <c r="E11" s="3129"/>
      <c r="F11" s="3129"/>
      <c r="G11" s="3129"/>
      <c r="H11" s="3129"/>
      <c r="I11" s="3129"/>
      <c r="J11" s="3129"/>
      <c r="K11" s="3129"/>
      <c r="L11" s="3129"/>
      <c r="M11" s="3129"/>
      <c r="N11" s="3129"/>
      <c r="O11" s="3129"/>
    </row>
    <row r="12" spans="2:29" s="418" customFormat="1" ht="15" customHeight="1" x14ac:dyDescent="0.2">
      <c r="B12" s="3129"/>
      <c r="C12" s="3129"/>
      <c r="D12" s="3129"/>
      <c r="E12" s="3129"/>
      <c r="F12" s="3129"/>
      <c r="G12" s="3129"/>
      <c r="H12" s="3129"/>
      <c r="I12" s="3129"/>
      <c r="J12" s="3129"/>
      <c r="K12" s="3129"/>
      <c r="L12" s="3129"/>
      <c r="M12" s="3129"/>
      <c r="N12" s="3129"/>
      <c r="O12" s="3129"/>
    </row>
    <row r="13" spans="2:29" s="418" customFormat="1" ht="15" customHeight="1" x14ac:dyDescent="0.2">
      <c r="M13" s="422"/>
    </row>
    <row r="14" spans="2:29" s="418" customFormat="1" ht="15" customHeight="1" x14ac:dyDescent="0.2">
      <c r="E14" s="3130" t="s">
        <v>257</v>
      </c>
      <c r="F14" s="3130"/>
      <c r="G14" s="3130"/>
      <c r="H14" s="3130"/>
      <c r="I14" s="3130"/>
      <c r="J14" s="419"/>
      <c r="M14" s="422"/>
    </row>
    <row r="15" spans="2:29" s="418" customFormat="1" ht="15" customHeight="1" x14ac:dyDescent="0.2">
      <c r="E15" s="3131">
        <f>+Data!$A$2</f>
        <v>44742</v>
      </c>
      <c r="F15" s="3131"/>
      <c r="G15" s="3131"/>
      <c r="H15" s="3131"/>
      <c r="I15" s="3131"/>
      <c r="J15" s="423"/>
      <c r="M15" s="422"/>
    </row>
    <row r="16" spans="2:29" s="418" customFormat="1" ht="15" customHeight="1" x14ac:dyDescent="0.2">
      <c r="E16" s="3125" t="s">
        <v>1191</v>
      </c>
      <c r="F16" s="3125"/>
      <c r="G16" s="3125"/>
      <c r="H16" s="3125"/>
      <c r="I16" s="3125"/>
      <c r="J16" s="419"/>
      <c r="M16" s="422"/>
    </row>
    <row r="17" spans="2:17" s="418" customFormat="1" ht="15" customHeight="1" x14ac:dyDescent="0.2">
      <c r="K17" s="3129" t="s">
        <v>916</v>
      </c>
      <c r="L17" s="3129"/>
      <c r="M17" s="3129"/>
      <c r="N17" s="3129"/>
      <c r="O17" s="3129"/>
    </row>
    <row r="18" spans="2:17" s="418" customFormat="1" ht="15" customHeight="1" thickBot="1" x14ac:dyDescent="0.25">
      <c r="B18" s="424" t="s">
        <v>1195</v>
      </c>
      <c r="E18" s="3126"/>
      <c r="F18" s="3127"/>
      <c r="G18" s="3127"/>
      <c r="H18" s="3127"/>
      <c r="I18" s="3127"/>
      <c r="J18" s="425"/>
      <c r="K18" s="3129"/>
      <c r="L18" s="3129"/>
      <c r="M18" s="3129"/>
      <c r="N18" s="3129"/>
      <c r="O18" s="3129"/>
    </row>
    <row r="19" spans="2:17" s="418" customFormat="1" ht="15" customHeight="1" x14ac:dyDescent="0.2">
      <c r="E19" s="425"/>
      <c r="K19" s="3129"/>
      <c r="L19" s="3129"/>
      <c r="M19" s="3129"/>
      <c r="N19" s="3129"/>
      <c r="O19" s="3129"/>
    </row>
    <row r="20" spans="2:17" s="418" customFormat="1" ht="15" customHeight="1" x14ac:dyDescent="0.2">
      <c r="B20" s="424" t="s">
        <v>1196</v>
      </c>
      <c r="E20" s="425"/>
    </row>
    <row r="21" spans="2:17" s="418" customFormat="1" ht="15" customHeight="1" thickBot="1" x14ac:dyDescent="0.25">
      <c r="C21" s="418" t="s">
        <v>1193</v>
      </c>
      <c r="E21" s="3141">
        <f>+$E$18*Q21</f>
        <v>0</v>
      </c>
      <c r="F21" s="3141"/>
      <c r="G21" s="3141"/>
      <c r="H21" s="3141"/>
      <c r="I21" s="3141"/>
      <c r="J21" s="425"/>
      <c r="L21" s="425"/>
      <c r="Q21" s="428">
        <v>0.06</v>
      </c>
    </row>
    <row r="22" spans="2:17" s="418" customFormat="1" ht="15" customHeight="1" x14ac:dyDescent="0.2">
      <c r="E22" s="3143" t="s">
        <v>153</v>
      </c>
      <c r="F22" s="3143"/>
      <c r="G22" s="3143"/>
      <c r="H22" s="3143"/>
      <c r="I22" s="3143"/>
      <c r="N22" s="424"/>
      <c r="Q22" s="428"/>
    </row>
    <row r="23" spans="2:17" s="418" customFormat="1" ht="15" customHeight="1" thickBot="1" x14ac:dyDescent="0.25">
      <c r="B23" s="1562"/>
      <c r="C23" s="418" t="s">
        <v>1194</v>
      </c>
      <c r="E23" s="3141">
        <f>+$E$18*Q23</f>
        <v>0</v>
      </c>
      <c r="F23" s="3141"/>
      <c r="G23" s="3141"/>
      <c r="H23" s="3141"/>
      <c r="I23" s="3141"/>
      <c r="J23" s="425"/>
      <c r="L23" s="425"/>
      <c r="Q23" s="428">
        <v>6.8400000000000002E-2</v>
      </c>
    </row>
    <row r="24" spans="2:17" s="418" customFormat="1" ht="15" customHeight="1" x14ac:dyDescent="0.2">
      <c r="E24" s="3143" t="s">
        <v>154</v>
      </c>
      <c r="F24" s="3143"/>
      <c r="G24" s="3143"/>
      <c r="H24" s="3143"/>
      <c r="I24" s="3143"/>
    </row>
    <row r="25" spans="2:17" s="418" customFormat="1" ht="15" customHeight="1" thickBot="1" x14ac:dyDescent="0.25">
      <c r="B25" s="424" t="s">
        <v>1192</v>
      </c>
      <c r="E25" s="3142">
        <f>+E21+E23</f>
        <v>0</v>
      </c>
      <c r="F25" s="3142"/>
      <c r="G25" s="3142"/>
      <c r="H25" s="3142"/>
      <c r="I25" s="3142"/>
      <c r="J25" s="425"/>
      <c r="L25" s="425"/>
      <c r="M25" s="3138"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2022, on the accrual basis.</v>
      </c>
      <c r="N25" s="3139"/>
      <c r="O25" s="3140"/>
    </row>
    <row r="26" spans="2:17" s="418" customFormat="1" ht="15" customHeight="1" thickTop="1" x14ac:dyDescent="0.2">
      <c r="M26" s="3133"/>
      <c r="N26" s="3129"/>
      <c r="O26" s="3134"/>
    </row>
    <row r="27" spans="2:17" s="418" customFormat="1" ht="15" customHeight="1" x14ac:dyDescent="0.2">
      <c r="B27" s="424" t="s">
        <v>917</v>
      </c>
      <c r="D27" s="418" t="s">
        <v>794</v>
      </c>
      <c r="M27" s="3133"/>
      <c r="N27" s="3129"/>
      <c r="O27" s="3134"/>
    </row>
    <row r="28" spans="2:17" s="418" customFormat="1" ht="15" customHeight="1" x14ac:dyDescent="0.2">
      <c r="D28" s="418" t="s">
        <v>702</v>
      </c>
      <c r="M28" s="3133"/>
      <c r="N28" s="3129"/>
      <c r="O28" s="3134"/>
    </row>
    <row r="29" spans="2:17" s="418" customFormat="1" ht="15" customHeight="1" x14ac:dyDescent="0.2">
      <c r="D29" s="418" t="s">
        <v>703</v>
      </c>
      <c r="M29" s="3133"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2022, but not paid until July 2022 and exclude the contributions related to payrolls incurred during June 2021, but not  paid until July 2021.</v>
      </c>
      <c r="N29" s="3129"/>
      <c r="O29" s="3134"/>
    </row>
    <row r="30" spans="2:17" s="418" customFormat="1" ht="15" customHeight="1" x14ac:dyDescent="0.2">
      <c r="D30" s="418" t="s">
        <v>973</v>
      </c>
      <c r="M30" s="3133"/>
      <c r="N30" s="3129"/>
      <c r="O30" s="3134"/>
    </row>
    <row r="31" spans="2:17" s="418" customFormat="1" ht="15" customHeight="1" x14ac:dyDescent="0.2">
      <c r="M31" s="3133"/>
      <c r="N31" s="3129"/>
      <c r="O31" s="3134"/>
    </row>
    <row r="32" spans="2:17" s="418" customFormat="1" ht="15" customHeight="1" x14ac:dyDescent="0.2">
      <c r="M32" s="3133"/>
      <c r="N32" s="3129"/>
      <c r="O32" s="3134"/>
    </row>
    <row r="33" spans="1:15" s="418" customFormat="1" ht="15" customHeight="1" x14ac:dyDescent="0.2">
      <c r="M33" s="3135"/>
      <c r="N33" s="3136"/>
      <c r="O33" s="3137"/>
    </row>
    <row r="34" spans="1:15" s="418" customFormat="1" ht="15" customHeight="1" x14ac:dyDescent="0.2">
      <c r="M34" s="1561"/>
      <c r="N34" s="1561"/>
      <c r="O34" s="1561"/>
    </row>
    <row r="35" spans="1:15" s="418" customFormat="1" ht="15" customHeight="1" thickBot="1" x14ac:dyDescent="0.25">
      <c r="B35" s="424" t="s">
        <v>3798</v>
      </c>
      <c r="C35" s="424"/>
      <c r="D35" s="424"/>
      <c r="E35" s="424"/>
      <c r="F35" s="424"/>
      <c r="G35" s="424"/>
      <c r="H35" s="424"/>
      <c r="I35" s="424"/>
      <c r="J35" s="424"/>
      <c r="K35" s="424"/>
      <c r="M35" s="1470"/>
      <c r="O35" s="1443" t="str">
        <f>IF(AND(ISBLANK($M$35))=TRUE,"Answer Missing"," ")</f>
        <v>Answer Missing</v>
      </c>
    </row>
    <row r="36" spans="1:15" s="418" customFormat="1" ht="15" customHeight="1" x14ac:dyDescent="0.2">
      <c r="M36" s="1561"/>
      <c r="N36" s="1561"/>
      <c r="O36" s="1561"/>
    </row>
    <row r="37" spans="1:15" s="418" customFormat="1" ht="15" customHeight="1" x14ac:dyDescent="0.2">
      <c r="M37" s="1561"/>
      <c r="N37" s="1561"/>
      <c r="O37" s="1561"/>
    </row>
    <row r="38" spans="1:15" s="418" customFormat="1" ht="15" customHeight="1" x14ac:dyDescent="0.2">
      <c r="B38" s="424" t="s">
        <v>4064</v>
      </c>
      <c r="M38" s="1561"/>
      <c r="N38" s="1561"/>
      <c r="O38" s="1561"/>
    </row>
    <row r="39" spans="1:15" s="418" customFormat="1" ht="15" customHeight="1" x14ac:dyDescent="0.2">
      <c r="B39" s="1562" t="s">
        <v>3959</v>
      </c>
      <c r="M39" s="1561"/>
      <c r="N39" s="1561"/>
      <c r="O39" s="1561"/>
    </row>
    <row r="40" spans="1:15" s="418" customFormat="1" ht="15" customHeight="1" thickBot="1" x14ac:dyDescent="0.25">
      <c r="B40" s="1562" t="s">
        <v>3960</v>
      </c>
      <c r="M40" s="1561"/>
      <c r="N40" s="1608"/>
      <c r="O40" s="1564"/>
    </row>
    <row r="41" spans="1:15" s="418" customFormat="1" ht="6" customHeight="1" x14ac:dyDescent="0.2"/>
    <row r="42" spans="1:15" s="418" customFormat="1" ht="15" customHeight="1" thickBot="1" x14ac:dyDescent="0.25">
      <c r="B42" s="1562" t="s">
        <v>3958</v>
      </c>
      <c r="M42" s="1561"/>
      <c r="N42" s="1561"/>
      <c r="O42" s="1563">
        <f>SUM(E23-O40)</f>
        <v>0</v>
      </c>
    </row>
    <row r="43" spans="1:15" s="418" customFormat="1" ht="6" customHeight="1" x14ac:dyDescent="0.2">
      <c r="B43" s="1562"/>
      <c r="M43" s="1561"/>
      <c r="N43" s="1561"/>
      <c r="O43" s="1607"/>
    </row>
    <row r="44" spans="1:15" s="418" customFormat="1" ht="15" customHeight="1" thickBot="1" x14ac:dyDescent="0.25">
      <c r="B44" s="1562" t="s">
        <v>4065</v>
      </c>
      <c r="M44" s="1561"/>
      <c r="N44" s="1561"/>
      <c r="O44" s="1564"/>
    </row>
    <row r="45" spans="1:15" s="418" customFormat="1" ht="15" customHeight="1" x14ac:dyDescent="0.2">
      <c r="M45" s="3132"/>
      <c r="N45" s="3132"/>
      <c r="O45" s="3132"/>
    </row>
    <row r="46" spans="1:15" s="418" customFormat="1" ht="15" customHeight="1" x14ac:dyDescent="0.2"/>
    <row r="47" spans="1:15" s="418" customFormat="1" ht="15" customHeight="1" x14ac:dyDescent="0.2"/>
    <row r="48" spans="1:15" s="418" customFormat="1" ht="15" customHeight="1" x14ac:dyDescent="0.2">
      <c r="A48" s="443" t="str">
        <f ca="1">MID(CELL("filename",A7),FIND("]",CELL("filename",A7))+1,256)</f>
        <v>605</v>
      </c>
      <c r="B48" s="443" t="s">
        <v>449</v>
      </c>
    </row>
    <row r="49" spans="1:2" s="418" customFormat="1" ht="15" customHeight="1" x14ac:dyDescent="0.2">
      <c r="A49" s="443" t="s">
        <v>446</v>
      </c>
      <c r="B49" s="443" t="str">
        <f t="shared" ref="B49:B58" ca="1" si="0">IF(ISNA(INDEX(ErrorTable,MATCH($A$48&amp;$A49&amp;FALSE,ErrorKey,0),6)),"",INDEX(ErrorTable,MATCH($A$48&amp;$A49&amp;FALSE,ErrorKey,0),6))</f>
        <v>Worksheet is incomplete.</v>
      </c>
    </row>
    <row r="50" spans="1:2" s="418" customFormat="1" ht="15" customHeight="1" x14ac:dyDescent="0.2">
      <c r="A50" s="443" t="s">
        <v>447</v>
      </c>
      <c r="B50" s="443" t="str">
        <f t="shared" ca="1" si="0"/>
        <v/>
      </c>
    </row>
    <row r="51" spans="1:2" s="418" customFormat="1" ht="15" customHeight="1" x14ac:dyDescent="0.2">
      <c r="A51" s="443" t="s">
        <v>448</v>
      </c>
      <c r="B51" s="443" t="str">
        <f t="shared" ca="1" si="0"/>
        <v/>
      </c>
    </row>
    <row r="52" spans="1:2" s="418" customFormat="1" ht="15" customHeight="1" x14ac:dyDescent="0.2">
      <c r="A52" s="443" t="s">
        <v>450</v>
      </c>
      <c r="B52" s="443" t="str">
        <f t="shared" ca="1" si="0"/>
        <v/>
      </c>
    </row>
    <row r="53" spans="1:2" s="418" customFormat="1" ht="15" x14ac:dyDescent="0.2">
      <c r="A53" s="443" t="s">
        <v>451</v>
      </c>
      <c r="B53" s="443" t="str">
        <f t="shared" ca="1" si="0"/>
        <v/>
      </c>
    </row>
    <row r="54" spans="1:2" s="418" customFormat="1" ht="15" x14ac:dyDescent="0.2">
      <c r="A54" s="443" t="s">
        <v>452</v>
      </c>
      <c r="B54" s="443" t="str">
        <f t="shared" ca="1" si="0"/>
        <v/>
      </c>
    </row>
    <row r="55" spans="1:2" s="418" customFormat="1" ht="15" x14ac:dyDescent="0.2">
      <c r="A55" s="443" t="s">
        <v>453</v>
      </c>
      <c r="B55" s="443" t="str">
        <f t="shared" ca="1" si="0"/>
        <v/>
      </c>
    </row>
    <row r="56" spans="1:2" s="418" customFormat="1" ht="15" x14ac:dyDescent="0.2">
      <c r="A56" s="443" t="s">
        <v>454</v>
      </c>
      <c r="B56" s="443" t="str">
        <f t="shared" ca="1" si="0"/>
        <v/>
      </c>
    </row>
    <row r="57" spans="1:2" s="418" customFormat="1" ht="15" x14ac:dyDescent="0.2">
      <c r="A57" s="443" t="s">
        <v>455</v>
      </c>
      <c r="B57" s="443" t="str">
        <f t="shared" ca="1" si="0"/>
        <v/>
      </c>
    </row>
    <row r="58" spans="1:2" s="418" customFormat="1" ht="15" x14ac:dyDescent="0.2">
      <c r="A58" s="443" t="s">
        <v>456</v>
      </c>
      <c r="B58" s="443" t="str">
        <f t="shared" ca="1" si="0"/>
        <v/>
      </c>
    </row>
    <row r="59" spans="1:2" s="418" customFormat="1" ht="12.75" x14ac:dyDescent="0.2"/>
    <row r="60" spans="1:2" s="418" customFormat="1" ht="12.75" x14ac:dyDescent="0.2"/>
    <row r="61" spans="1:2" s="426" customFormat="1" ht="12" x14ac:dyDescent="0.2"/>
    <row r="62" spans="1:2" s="426" customFormat="1" ht="12" x14ac:dyDescent="0.2"/>
    <row r="63" spans="1:2" s="426" customFormat="1" ht="12" x14ac:dyDescent="0.2"/>
    <row r="64" spans="1:2" s="426" customFormat="1" ht="12" x14ac:dyDescent="0.2"/>
    <row r="65" s="426" customFormat="1" ht="12" x14ac:dyDescent="0.2"/>
    <row r="66" s="426" customFormat="1" ht="12" x14ac:dyDescent="0.2"/>
    <row r="67" s="426" customFormat="1" ht="12" x14ac:dyDescent="0.2"/>
    <row r="68" s="426" customFormat="1" ht="12" x14ac:dyDescent="0.2"/>
    <row r="69" s="426" customFormat="1" ht="12" x14ac:dyDescent="0.2"/>
    <row r="70" s="426" customFormat="1" ht="12" x14ac:dyDescent="0.2"/>
    <row r="71" s="426" customFormat="1" ht="12" x14ac:dyDescent="0.2"/>
    <row r="72" s="426" customFormat="1" ht="12" x14ac:dyDescent="0.2"/>
    <row r="73" s="426" customFormat="1" ht="12" x14ac:dyDescent="0.2"/>
    <row r="74" s="426" customFormat="1" ht="12" x14ac:dyDescent="0.2"/>
    <row r="75" s="426" customFormat="1" ht="12" x14ac:dyDescent="0.2"/>
    <row r="76" s="426" customFormat="1" ht="12" x14ac:dyDescent="0.2"/>
    <row r="77" s="426" customFormat="1" ht="12" x14ac:dyDescent="0.2"/>
    <row r="78" s="426" customFormat="1" ht="12" x14ac:dyDescent="0.2"/>
    <row r="79" s="426" customFormat="1" ht="12" x14ac:dyDescent="0.2"/>
    <row r="80" s="426" customFormat="1" ht="12" x14ac:dyDescent="0.2"/>
    <row r="81" s="426" customFormat="1" ht="12" x14ac:dyDescent="0.2"/>
    <row r="82" s="426" customFormat="1" ht="12" x14ac:dyDescent="0.2"/>
    <row r="83" s="426" customFormat="1" ht="12" x14ac:dyDescent="0.2"/>
    <row r="84" s="426" customFormat="1" ht="12" x14ac:dyDescent="0.2"/>
  </sheetData>
  <sheetProtection algorithmName="SHA-512" hashValue="Q8H6X9JykCMFikhwzEahD46i0HY/XPYmb6irmTZhs4FWgtlBcPbsS82OfdpwxRimHDzQlosJsWfoJdJ9dCFWDA==" saltValue="i9HmEvHY3zFh38PkaKHwCA==" spinCount="100000" sheet="1" objects="1" scenarios="1" autoFilter="0"/>
  <customSheetViews>
    <customSheetView guid="{B08879A4-635B-4C39-9937-AC7883D562FC}" showGridLines="0" fitToPage="1" hiddenColumns="1" topLeftCell="B1">
      <pageMargins left="0.75" right="0.5" top="0.5" bottom="0.5" header="0.5" footer="0.5"/>
      <pageSetup scale="99" orientation="portrait" horizontalDpi="1200" verticalDpi="1200" r:id="rId1"/>
      <headerFooter alignWithMargins="0">
        <oddFooter>&amp;R&amp;A</oddFooter>
      </headerFooter>
    </customSheetView>
    <customSheetView guid="{1250FD07-FF56-4A9D-AF9E-C27124A7EBE9}" showGridLines="0" fitToPage="1" showRuler="0">
      <selection sqref="A1:N1"/>
      <pageMargins left="0.75" right="0.5" top="0.5" bottom="0.5" header="0.5" footer="0.5"/>
      <pageSetup scale="99" orientation="portrait" horizontalDpi="4294967292" verticalDpi="4294967292" r:id="rId2"/>
      <headerFooter alignWithMargins="0">
        <oddFooter>&amp;R&amp;A</oddFooter>
      </headerFooter>
    </customSheetView>
    <customSheetView guid="{BEA4BE86-04D1-4C96-9358-7A260B9D2B2D}" showGridLines="0" fitToPage="1" showRuler="0">
      <selection sqref="A1:N1"/>
      <pageMargins left="0.75" right="0.5" top="0.5" bottom="0.5" header="0.5" footer="0.5"/>
      <pageSetup scale="99" orientation="portrait" horizontalDpi="4294967292" verticalDpi="4294967292" r:id="rId3"/>
      <headerFooter alignWithMargins="0">
        <oddFooter>&amp;R&amp;A</oddFooter>
      </headerFooter>
    </customSheetView>
    <customSheetView guid="{9FCFC836-1CA5-48BF-958D-24D2EA94B219}" showGridLines="0" fitToPage="1" hiddenColumns="1" topLeftCell="B1">
      <pageMargins left="0.75" right="0.5" top="0.5" bottom="0.5" header="0.5" footer="0.5"/>
      <pageSetup scale="99" orientation="portrait" horizontalDpi="1200" verticalDpi="1200" r:id="rId4"/>
      <headerFooter alignWithMargins="0">
        <oddFooter>&amp;R&amp;A</oddFooter>
      </headerFooter>
    </customSheetView>
  </customSheetViews>
  <mergeCells count="23">
    <mergeCell ref="M45:O45"/>
    <mergeCell ref="M29:O33"/>
    <mergeCell ref="M25:O28"/>
    <mergeCell ref="E21:I21"/>
    <mergeCell ref="E23:I23"/>
    <mergeCell ref="E25:I25"/>
    <mergeCell ref="E22:I22"/>
    <mergeCell ref="E24:I24"/>
    <mergeCell ref="E5:H5"/>
    <mergeCell ref="E6:H6"/>
    <mergeCell ref="E7:H7"/>
    <mergeCell ref="B1:O1"/>
    <mergeCell ref="B2:O2"/>
    <mergeCell ref="B3:O3"/>
    <mergeCell ref="M5:O5"/>
    <mergeCell ref="M6:O6"/>
    <mergeCell ref="M7:O7"/>
    <mergeCell ref="E16:I16"/>
    <mergeCell ref="E18:I18"/>
    <mergeCell ref="B10:O12"/>
    <mergeCell ref="K17:O19"/>
    <mergeCell ref="E14:I14"/>
    <mergeCell ref="E15:I15"/>
  </mergeCells>
  <phoneticPr fontId="15" type="noConversion"/>
  <conditionalFormatting sqref="P1:P3">
    <cfRule type="cellIs" dxfId="47" priority="2" stopIfTrue="1" operator="equal">
      <formula>"na"</formula>
    </cfRule>
  </conditionalFormatting>
  <conditionalFormatting sqref="O35">
    <cfRule type="containsText" dxfId="46" priority="1" stopIfTrue="1" operator="containsText" text="Answer Missing">
      <formula>NOT(ISERROR(SEARCH("Answer Missing",O35)))</formula>
    </cfRule>
  </conditionalFormatting>
  <hyperlinks>
    <hyperlink ref="B1:O1" location="Index!A1" display="Index!A1" xr:uid="{00000000-0004-0000-3500-000000000000}"/>
  </hyperlinks>
  <pageMargins left="0.75" right="0.5" top="0.5" bottom="0.5" header="0.5" footer="0.5"/>
  <pageSetup orientation="portrait" r:id="rId5"/>
  <headerFooter alignWithMargins="0">
    <oddFooter>&amp;R&amp;A</oddFooter>
  </headerFooter>
  <ignoredErrors>
    <ignoredError sqref="M6:M7"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3"/>
  <sheetViews>
    <sheetView showGridLines="0" zoomScaleNormal="100" workbookViewId="0">
      <selection activeCell="A6" sqref="A6"/>
    </sheetView>
  </sheetViews>
  <sheetFormatPr defaultRowHeight="12.75" x14ac:dyDescent="0.2"/>
  <cols>
    <col min="1" max="1" width="20.42578125" customWidth="1"/>
    <col min="3" max="3" width="14.5703125" customWidth="1"/>
    <col min="5" max="5" width="17" customWidth="1"/>
    <col min="6" max="6" width="1.5703125" customWidth="1"/>
    <col min="7" max="8" width="8.5703125" customWidth="1"/>
    <col min="9" max="9" width="4.5703125" customWidth="1"/>
  </cols>
  <sheetData>
    <row r="1" spans="1:9" s="130" customFormat="1" ht="25.15" customHeight="1" x14ac:dyDescent="0.25">
      <c r="A1" s="2767" t="str">
        <f>+Index!$A$1</f>
        <v xml:space="preserve">                                                               Office of the State Controller                                                                </v>
      </c>
      <c r="B1" s="2767"/>
      <c r="C1" s="2767"/>
      <c r="D1" s="2767"/>
      <c r="E1" s="2767"/>
      <c r="F1" s="2767"/>
      <c r="G1" s="2767"/>
      <c r="H1" s="2767"/>
      <c r="I1" s="1423" t="str">
        <f>IF(Index!$B$80="na","NA","")</f>
        <v/>
      </c>
    </row>
    <row r="2" spans="1:9" s="130" customFormat="1" ht="15" customHeight="1" x14ac:dyDescent="0.25">
      <c r="A2" s="3012" t="str">
        <f>+Index!$A$2</f>
        <v>2022 ACFR Worksheets</v>
      </c>
      <c r="B2" s="3012"/>
      <c r="C2" s="3012"/>
      <c r="D2" s="3012"/>
      <c r="E2" s="3012"/>
      <c r="F2" s="3012"/>
      <c r="G2" s="3012"/>
      <c r="H2" s="3012"/>
      <c r="I2" s="1423"/>
    </row>
    <row r="3" spans="1:9" s="130" customFormat="1" ht="15" customHeight="1" x14ac:dyDescent="0.25">
      <c r="A3" s="3012" t="s">
        <v>3729</v>
      </c>
      <c r="B3" s="3012"/>
      <c r="C3" s="3012"/>
      <c r="D3" s="3012"/>
      <c r="E3" s="3012"/>
      <c r="F3" s="3012"/>
      <c r="G3" s="3012"/>
      <c r="H3" s="3012"/>
      <c r="I3" s="1423"/>
    </row>
    <row r="4" spans="1:9" s="130" customFormat="1" ht="15" customHeight="1" x14ac:dyDescent="0.25">
      <c r="A4" s="3012"/>
      <c r="B4" s="3012"/>
      <c r="C4" s="3012"/>
      <c r="D4" s="3012"/>
      <c r="E4" s="3012"/>
      <c r="F4" s="3012"/>
      <c r="G4" s="3012"/>
      <c r="H4" s="3012"/>
    </row>
    <row r="5" spans="1:9" s="116" customFormat="1" ht="15" customHeight="1" x14ac:dyDescent="0.25">
      <c r="A5" s="115"/>
      <c r="B5" s="115"/>
      <c r="C5" s="115"/>
      <c r="D5" s="115"/>
      <c r="E5" s="238" t="s">
        <v>907</v>
      </c>
      <c r="F5" s="115"/>
      <c r="G5" s="115"/>
      <c r="H5" s="112"/>
    </row>
    <row r="6" spans="1:9" s="116" customFormat="1" ht="15" customHeight="1" x14ac:dyDescent="0.2">
      <c r="D6" s="141" t="s">
        <v>327</v>
      </c>
      <c r="E6" s="3159" t="str">
        <f>+Index!$E$10</f>
        <v>01</v>
      </c>
      <c r="F6" s="3159"/>
      <c r="G6" s="3159"/>
      <c r="H6" s="3159"/>
    </row>
    <row r="7" spans="1:9" s="116" customFormat="1" ht="15" customHeight="1" x14ac:dyDescent="0.2">
      <c r="D7" s="141" t="s">
        <v>1154</v>
      </c>
      <c r="E7" s="3161" t="str">
        <f>+Index!$E$11</f>
        <v>North Carolina General Assembly</v>
      </c>
      <c r="F7" s="3161"/>
      <c r="G7" s="3161"/>
      <c r="H7" s="3161"/>
    </row>
    <row r="8" spans="1:9" s="116" customFormat="1" ht="15" customHeight="1" x14ac:dyDescent="0.2">
      <c r="D8" s="141" t="s">
        <v>972</v>
      </c>
      <c r="E8" s="3162" t="str">
        <f>CONCATENATE(Index!$E$12," ",Index!$E$14)</f>
        <v xml:space="preserve"> </v>
      </c>
      <c r="F8" s="3162"/>
      <c r="G8" s="3162"/>
      <c r="H8" s="3162"/>
    </row>
    <row r="9" spans="1:9" s="116" customFormat="1" ht="15" customHeight="1" x14ac:dyDescent="0.2">
      <c r="D9" s="141" t="s">
        <v>348</v>
      </c>
      <c r="E9" s="3163">
        <f>+Index!$E$13</f>
        <v>0</v>
      </c>
      <c r="F9" s="3163"/>
      <c r="G9" s="3163"/>
      <c r="H9" s="3163"/>
    </row>
    <row r="10" spans="1:9" s="116" customFormat="1" ht="6.75" customHeight="1" thickBot="1" x14ac:dyDescent="0.25">
      <c r="A10" s="142"/>
      <c r="B10" s="142"/>
      <c r="C10" s="142"/>
      <c r="D10" s="143"/>
      <c r="E10" s="144"/>
      <c r="F10" s="144"/>
      <c r="G10" s="144"/>
      <c r="H10" s="144"/>
    </row>
    <row r="11" spans="1:9" s="116" customFormat="1" ht="6.75" customHeight="1" x14ac:dyDescent="0.2">
      <c r="D11" s="141"/>
      <c r="E11" s="1446"/>
      <c r="F11" s="1446"/>
      <c r="G11" s="1446"/>
      <c r="H11" s="1446"/>
    </row>
    <row r="12" spans="1:9" s="116" customFormat="1" ht="12.75" customHeight="1" x14ac:dyDescent="0.2">
      <c r="A12" s="1452" t="s">
        <v>3735</v>
      </c>
      <c r="B12" s="1453"/>
      <c r="C12" s="1453"/>
      <c r="D12" s="1454"/>
      <c r="E12" s="1451"/>
      <c r="F12" s="1451"/>
      <c r="G12" s="1451"/>
      <c r="H12" s="1455"/>
    </row>
    <row r="13" spans="1:9" s="116" customFormat="1" ht="6.75" customHeight="1" x14ac:dyDescent="0.2">
      <c r="D13" s="141"/>
      <c r="E13" s="1446"/>
      <c r="F13" s="1446"/>
      <c r="G13" s="1446"/>
      <c r="H13" s="1446"/>
    </row>
    <row r="14" spans="1:9" s="116" customFormat="1" ht="15" customHeight="1" x14ac:dyDescent="0.2">
      <c r="A14" s="272" t="s">
        <v>3731</v>
      </c>
    </row>
    <row r="15" spans="1:9" s="2" customFormat="1" ht="15" customHeight="1" x14ac:dyDescent="0.2">
      <c r="A15" s="272" t="s">
        <v>4277</v>
      </c>
    </row>
    <row r="16" spans="1:9" s="2" customFormat="1" ht="15" customHeight="1" x14ac:dyDescent="0.2">
      <c r="A16" s="272" t="s">
        <v>4278</v>
      </c>
    </row>
    <row r="17" spans="1:11" s="2" customFormat="1" ht="15" customHeight="1" x14ac:dyDescent="0.2">
      <c r="A17" s="272" t="s">
        <v>4279</v>
      </c>
    </row>
    <row r="18" spans="1:11" s="2" customFormat="1" ht="15" customHeight="1" x14ac:dyDescent="0.2">
      <c r="A18" s="2" t="s">
        <v>4284</v>
      </c>
    </row>
    <row r="19" spans="1:11" s="2" customFormat="1" ht="15" customHeight="1" x14ac:dyDescent="0.2">
      <c r="A19" s="2" t="s">
        <v>4285</v>
      </c>
    </row>
    <row r="20" spans="1:11" s="2" customFormat="1" ht="15" customHeight="1" x14ac:dyDescent="0.2"/>
    <row r="21" spans="1:11" s="2" customFormat="1" ht="15" customHeight="1" x14ac:dyDescent="0.2">
      <c r="A21" s="2" t="s">
        <v>4280</v>
      </c>
    </row>
    <row r="22" spans="1:11" s="111" customFormat="1" ht="15" customHeight="1" x14ac:dyDescent="0.2">
      <c r="A22" s="272" t="s">
        <v>4283</v>
      </c>
    </row>
    <row r="23" spans="1:11" s="111" customFormat="1" ht="15" customHeight="1" x14ac:dyDescent="0.2">
      <c r="A23" s="272" t="s">
        <v>4282</v>
      </c>
    </row>
    <row r="24" spans="1:11" s="111" customFormat="1" ht="15" customHeight="1" x14ac:dyDescent="0.2">
      <c r="A24" s="272" t="s">
        <v>4281</v>
      </c>
    </row>
    <row r="25" spans="1:11" s="111" customFormat="1" ht="15" customHeight="1" x14ac:dyDescent="0.2">
      <c r="A25" s="2" t="s">
        <v>4287</v>
      </c>
    </row>
    <row r="26" spans="1:11" s="111" customFormat="1" ht="15" customHeight="1" x14ac:dyDescent="0.2">
      <c r="A26" s="2" t="s">
        <v>4286</v>
      </c>
    </row>
    <row r="27" spans="1:11" s="111" customFormat="1" ht="15" customHeight="1" x14ac:dyDescent="0.2">
      <c r="A27" s="272"/>
    </row>
    <row r="28" spans="1:11" s="111" customFormat="1" ht="15" customHeight="1" x14ac:dyDescent="0.2">
      <c r="A28" s="3150" t="s">
        <v>820</v>
      </c>
      <c r="B28" s="3151"/>
      <c r="C28" s="3151"/>
      <c r="D28" s="3151"/>
      <c r="E28" s="3152"/>
      <c r="G28" s="3150" t="s">
        <v>210</v>
      </c>
      <c r="H28" s="3152"/>
    </row>
    <row r="29" spans="1:11" s="111" customFormat="1" ht="18" customHeight="1" x14ac:dyDescent="0.2">
      <c r="A29" s="2870" t="s">
        <v>3956</v>
      </c>
      <c r="B29" s="3156"/>
      <c r="C29" s="3156"/>
      <c r="D29" s="3156"/>
      <c r="E29" s="3156"/>
      <c r="G29" s="3153"/>
      <c r="H29" s="3153"/>
      <c r="J29" s="3157" t="str">
        <f>IF(ISBLANK($G$29)=TRUE,"Amount Missing"," ")</f>
        <v>Amount Missing</v>
      </c>
      <c r="K29" s="3158"/>
    </row>
    <row r="30" spans="1:11" s="111" customFormat="1" ht="14.25" customHeight="1" x14ac:dyDescent="0.2">
      <c r="A30" s="1555"/>
      <c r="G30" s="3154"/>
      <c r="H30" s="3155"/>
    </row>
    <row r="31" spans="1:11" s="111" customFormat="1" ht="15" customHeight="1" x14ac:dyDescent="0.2">
      <c r="A31" s="2868" t="s">
        <v>3730</v>
      </c>
      <c r="B31" s="3147"/>
      <c r="C31" s="3147"/>
      <c r="D31" s="3147"/>
      <c r="E31" s="3147"/>
      <c r="G31" s="3164"/>
      <c r="H31" s="3164"/>
    </row>
    <row r="32" spans="1:11" s="111" customFormat="1" ht="15" customHeight="1" x14ac:dyDescent="0.2">
      <c r="A32" s="3146"/>
      <c r="B32" s="3146"/>
      <c r="C32" s="3146"/>
      <c r="D32" s="3146"/>
      <c r="E32" s="3146"/>
      <c r="G32" s="3164"/>
      <c r="H32" s="3164"/>
    </row>
    <row r="33" spans="1:8" s="111" customFormat="1" ht="15" customHeight="1" x14ac:dyDescent="0.2">
      <c r="A33" s="1555"/>
      <c r="B33" s="1555"/>
      <c r="C33" s="1555"/>
      <c r="D33" s="1555"/>
      <c r="E33" s="1555"/>
      <c r="G33" s="3148"/>
      <c r="H33" s="3148"/>
    </row>
    <row r="34" spans="1:8" s="111" customFormat="1" ht="15" customHeight="1" x14ac:dyDescent="0.2">
      <c r="A34" s="3146"/>
      <c r="B34" s="3146"/>
      <c r="C34" s="3146"/>
      <c r="D34" s="3146"/>
      <c r="E34" s="3146"/>
      <c r="G34" s="3148"/>
      <c r="H34" s="3148"/>
    </row>
    <row r="35" spans="1:8" s="111" customFormat="1" ht="15" customHeight="1" x14ac:dyDescent="0.2">
      <c r="A35" s="3160" t="s">
        <v>501</v>
      </c>
      <c r="B35" s="3160"/>
      <c r="C35" s="3160"/>
      <c r="D35" s="3160"/>
      <c r="E35" s="3160"/>
      <c r="G35" s="3148"/>
      <c r="H35" s="3148"/>
    </row>
    <row r="36" spans="1:8" s="111" customFormat="1" ht="15" customHeight="1" x14ac:dyDescent="0.2">
      <c r="A36" s="3146"/>
      <c r="B36" s="3146"/>
      <c r="C36" s="3146"/>
      <c r="D36" s="3146"/>
      <c r="E36" s="3146"/>
      <c r="G36" s="3148"/>
      <c r="H36" s="3148"/>
    </row>
    <row r="37" spans="1:8" s="111" customFormat="1" ht="15" customHeight="1" x14ac:dyDescent="0.2">
      <c r="A37" s="3146"/>
      <c r="B37" s="3146"/>
      <c r="C37" s="3146"/>
      <c r="D37" s="3146"/>
      <c r="E37" s="3146"/>
      <c r="G37" s="3148"/>
      <c r="H37" s="3148"/>
    </row>
    <row r="38" spans="1:8" s="111" customFormat="1" ht="15" customHeight="1" x14ac:dyDescent="0.2">
      <c r="A38" s="3146"/>
      <c r="B38" s="3146"/>
      <c r="C38" s="3146"/>
      <c r="D38" s="3146"/>
      <c r="E38" s="3146"/>
      <c r="G38" s="3148"/>
      <c r="H38" s="3148"/>
    </row>
    <row r="39" spans="1:8" s="111" customFormat="1" ht="15" customHeight="1" x14ac:dyDescent="0.2">
      <c r="A39" s="3146"/>
      <c r="B39" s="3146"/>
      <c r="C39" s="3146"/>
      <c r="D39" s="3146"/>
      <c r="E39" s="3146"/>
      <c r="G39" s="3148"/>
      <c r="H39" s="3148"/>
    </row>
    <row r="40" spans="1:8" s="111" customFormat="1" ht="15" customHeight="1" x14ac:dyDescent="0.2">
      <c r="A40" s="206"/>
      <c r="B40" s="206"/>
      <c r="C40" s="206"/>
      <c r="D40" s="206"/>
      <c r="E40" s="206"/>
      <c r="G40" s="204"/>
      <c r="H40" s="204"/>
    </row>
    <row r="41" spans="1:8" s="111" customFormat="1" ht="15.75" customHeight="1" x14ac:dyDescent="0.2">
      <c r="A41" s="3"/>
      <c r="G41" s="205"/>
      <c r="H41" s="205"/>
    </row>
    <row r="42" spans="1:8" s="111" customFormat="1" ht="21" customHeight="1" x14ac:dyDescent="0.2">
      <c r="A42" s="2"/>
      <c r="G42" s="205"/>
      <c r="H42" s="205"/>
    </row>
    <row r="43" spans="1:8" s="111" customFormat="1" ht="15" customHeight="1" x14ac:dyDescent="0.2">
      <c r="A43" s="2"/>
      <c r="G43" s="205"/>
      <c r="H43" s="205"/>
    </row>
    <row r="44" spans="1:8" s="111" customFormat="1" ht="15" customHeight="1" x14ac:dyDescent="0.2">
      <c r="A44" s="2"/>
      <c r="D44" s="280"/>
      <c r="E44" s="280"/>
      <c r="G44" s="3145"/>
      <c r="H44" s="3145"/>
    </row>
    <row r="45" spans="1:8" s="111" customFormat="1" ht="15" customHeight="1" x14ac:dyDescent="0.2">
      <c r="A45" s="2"/>
      <c r="D45" s="3149"/>
      <c r="E45" s="3149"/>
      <c r="G45" s="3145"/>
      <c r="H45" s="3145"/>
    </row>
    <row r="46" spans="1:8" s="111" customFormat="1" ht="15" customHeight="1" x14ac:dyDescent="0.2">
      <c r="A46" s="2"/>
      <c r="D46" s="280"/>
      <c r="E46" s="280"/>
      <c r="G46" s="3144">
        <f>SUM(G44:H45)</f>
        <v>0</v>
      </c>
      <c r="H46" s="3144"/>
    </row>
    <row r="47" spans="1:8" s="111" customFormat="1" ht="15" customHeight="1" x14ac:dyDescent="0.2">
      <c r="A47" s="2"/>
      <c r="G47" s="205"/>
      <c r="H47" s="205"/>
    </row>
    <row r="48" spans="1:8" s="111" customFormat="1" ht="15" customHeight="1" x14ac:dyDescent="0.2">
      <c r="G48" s="205"/>
      <c r="H48" s="205"/>
    </row>
    <row r="49" spans="7:8" s="111" customFormat="1" ht="15" customHeight="1" x14ac:dyDescent="0.2">
      <c r="G49" s="205"/>
      <c r="H49" s="205"/>
    </row>
    <row r="50" spans="7:8" s="111" customFormat="1" ht="15" customHeight="1" x14ac:dyDescent="0.2">
      <c r="G50" s="205"/>
      <c r="H50" s="205"/>
    </row>
    <row r="51" spans="7:8" s="111" customFormat="1" ht="15" customHeight="1" x14ac:dyDescent="0.2">
      <c r="G51" s="205"/>
      <c r="H51" s="205"/>
    </row>
    <row r="52" spans="7:8" s="111" customFormat="1" ht="15" customHeight="1" x14ac:dyDescent="0.2">
      <c r="G52" s="3144"/>
      <c r="H52" s="3144"/>
    </row>
    <row r="53" spans="7:8" s="111" customFormat="1" ht="15" customHeight="1" x14ac:dyDescent="0.2"/>
    <row r="54" spans="7:8" s="111" customFormat="1" ht="15" customHeight="1" x14ac:dyDescent="0.2"/>
    <row r="55" spans="7:8" s="111" customFormat="1" ht="15" customHeight="1" x14ac:dyDescent="0.2"/>
    <row r="56" spans="7:8" s="111" customFormat="1" ht="15" customHeight="1" x14ac:dyDescent="0.2"/>
    <row r="57" spans="7:8" s="111" customFormat="1" ht="15" customHeight="1" x14ac:dyDescent="0.2"/>
    <row r="58" spans="7:8" s="111" customFormat="1" ht="15" customHeight="1" x14ac:dyDescent="0.2"/>
    <row r="59" spans="7:8" s="111" customFormat="1" ht="15" customHeight="1" x14ac:dyDescent="0.2"/>
    <row r="60" spans="7:8" s="111" customFormat="1" ht="15" customHeight="1" x14ac:dyDescent="0.2"/>
    <row r="61" spans="7:8" s="111" customFormat="1" ht="15" customHeight="1" x14ac:dyDescent="0.2"/>
    <row r="62" spans="7:8" s="111" customFormat="1" ht="15" customHeight="1" x14ac:dyDescent="0.2"/>
    <row r="63" spans="7:8" s="111" customFormat="1" ht="15" customHeight="1" x14ac:dyDescent="0.2"/>
  </sheetData>
  <sheetProtection algorithmName="SHA-512" hashValue="xWZ4D4k2PTA4wruJCPexk6piDvUZcIXPtePNt1xklqYGwuN0NipYGOjaus7hJoELttZ4TDFFp1XQa/3vikKeqw==" saltValue="hxpITzO1ZiqAHeDOIMbZ4A==" spinCount="100000" sheet="1" objects="1" scenarios="1" autoFilter="0"/>
  <customSheetViews>
    <customSheetView guid="{B08879A4-635B-4C39-9937-AC7883D562FC}" showGridLines="0" fitToPage="1">
      <selection activeCell="B12" sqref="B12"/>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H1"/>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H1"/>
      <pageMargins left="0.75" right="0.5" top="0.5" bottom="0.5" header="0.5" footer="0.5"/>
      <pageSetup orientation="portrait" r:id="rId3"/>
      <headerFooter alignWithMargins="0">
        <oddFooter>&amp;R&amp;A</oddFooter>
      </headerFooter>
    </customSheetView>
    <customSheetView guid="{9FCFC836-1CA5-48BF-958D-24D2EA94B219}" showGridLines="0" fitToPage="1">
      <selection activeCell="B12" sqref="B12"/>
      <pageMargins left="0.75" right="0.5" top="0.5" bottom="0.5" header="0.5" footer="0.5"/>
      <pageSetup orientation="portrait" r:id="rId4"/>
      <headerFooter alignWithMargins="0">
        <oddFooter>&amp;R&amp;A</oddFooter>
      </headerFooter>
    </customSheetView>
  </customSheetViews>
  <mergeCells count="36">
    <mergeCell ref="J29:K29"/>
    <mergeCell ref="A4:H4"/>
    <mergeCell ref="E6:H6"/>
    <mergeCell ref="G36:H36"/>
    <mergeCell ref="A35:E35"/>
    <mergeCell ref="G35:H35"/>
    <mergeCell ref="E7:H7"/>
    <mergeCell ref="E8:H8"/>
    <mergeCell ref="E9:H9"/>
    <mergeCell ref="G31:H31"/>
    <mergeCell ref="G32:H32"/>
    <mergeCell ref="A1:H1"/>
    <mergeCell ref="A2:H2"/>
    <mergeCell ref="A3:H3"/>
    <mergeCell ref="G37:H37"/>
    <mergeCell ref="A28:E28"/>
    <mergeCell ref="G28:H28"/>
    <mergeCell ref="G29:H29"/>
    <mergeCell ref="G30:H30"/>
    <mergeCell ref="G34:H34"/>
    <mergeCell ref="G33:H33"/>
    <mergeCell ref="A36:E36"/>
    <mergeCell ref="A29:E29"/>
    <mergeCell ref="G52:H52"/>
    <mergeCell ref="G44:H44"/>
    <mergeCell ref="G45:H45"/>
    <mergeCell ref="A37:E37"/>
    <mergeCell ref="A31:E31"/>
    <mergeCell ref="A34:E34"/>
    <mergeCell ref="G46:H46"/>
    <mergeCell ref="G38:H38"/>
    <mergeCell ref="G39:H39"/>
    <mergeCell ref="A32:E32"/>
    <mergeCell ref="D45:E45"/>
    <mergeCell ref="A38:E38"/>
    <mergeCell ref="A39:E39"/>
  </mergeCells>
  <phoneticPr fontId="15" type="noConversion"/>
  <conditionalFormatting sqref="I1:I3">
    <cfRule type="cellIs" dxfId="45" priority="5" stopIfTrue="1" operator="equal">
      <formula>"na"</formula>
    </cfRule>
  </conditionalFormatting>
  <conditionalFormatting sqref="J29">
    <cfRule type="containsText" dxfId="44" priority="1" stopIfTrue="1" operator="containsText" text="Valuation Missing">
      <formula>NOT(ISERROR(SEARCH("Valuation Missing",J29)))</formula>
    </cfRule>
  </conditionalFormatting>
  <conditionalFormatting sqref="G30">
    <cfRule type="containsText" dxfId="43" priority="2" stopIfTrue="1" operator="containsText" text="Valuation Missing">
      <formula>NOT(ISERROR(SEARCH("Valuation Missing",G30)))</formula>
    </cfRule>
  </conditionalFormatting>
  <hyperlinks>
    <hyperlink ref="A1:H1" location="Index!A1" display="Index!A1" xr:uid="{00000000-0004-0000-3600-000000000000}"/>
  </hyperlinks>
  <pageMargins left="0.75" right="0.5" top="0.5" bottom="0.5" header="0.5" footer="0.5"/>
  <pageSetup scale="83" orientation="portrait" r:id="rId5"/>
  <headerFooter alignWithMargins="0">
    <oddFooter>&amp;R&amp;A</oddFooter>
  </headerFooter>
  <ignoredErrors>
    <ignoredError sqref="E8:E9" unlocked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workbookViewId="0">
      <selection sqref="A1:J1"/>
    </sheetView>
  </sheetViews>
  <sheetFormatPr defaultColWidth="9.42578125" defaultRowHeight="12.75" x14ac:dyDescent="0.2"/>
  <cols>
    <col min="1" max="1" width="16.5703125" style="227" customWidth="1"/>
    <col min="2" max="2" width="12.5703125" style="227" customWidth="1"/>
    <col min="3" max="3" width="1.42578125" style="227" customWidth="1"/>
    <col min="4" max="4" width="14.42578125" style="227" customWidth="1"/>
    <col min="5" max="5" width="1.42578125" style="227" customWidth="1"/>
    <col min="6" max="6" width="14.42578125" style="227" customWidth="1"/>
    <col min="7" max="7" width="1.42578125" style="227" customWidth="1"/>
    <col min="8" max="8" width="14.42578125" style="227" customWidth="1"/>
    <col min="9" max="9" width="1.42578125" style="227" customWidth="1"/>
    <col min="10" max="10" width="14.5703125" style="227" customWidth="1"/>
    <col min="11" max="11" width="4.5703125" style="227" customWidth="1"/>
    <col min="12" max="29" width="9.42578125" style="227"/>
    <col min="30" max="253" width="16.5703125" style="227" customWidth="1"/>
    <col min="254" max="16384" width="9.42578125" style="227"/>
  </cols>
  <sheetData>
    <row r="1" spans="1:11" ht="15" customHeight="1" x14ac:dyDescent="0.25">
      <c r="A1" s="2697" t="str">
        <f>Index!$A$1</f>
        <v xml:space="preserve">                                                               Office of the State Controller                                                                </v>
      </c>
      <c r="B1" s="2697"/>
      <c r="C1" s="2697"/>
      <c r="D1" s="2697"/>
      <c r="E1" s="2697"/>
      <c r="F1" s="2697"/>
      <c r="G1" s="2697"/>
      <c r="H1" s="2697"/>
      <c r="I1" s="2697"/>
      <c r="J1" s="2697"/>
      <c r="K1" s="2829" t="str">
        <f>IF(Index!$B$81="na","NA","")</f>
        <v/>
      </c>
    </row>
    <row r="2" spans="1:11" ht="15" customHeight="1" x14ac:dyDescent="0.3">
      <c r="A2" s="3171" t="str">
        <f>Index!$A$2</f>
        <v>2022 ACFR Worksheets</v>
      </c>
      <c r="B2" s="3171"/>
      <c r="C2" s="3171"/>
      <c r="D2" s="3171"/>
      <c r="E2" s="3171"/>
      <c r="F2" s="3171"/>
      <c r="G2" s="3171"/>
      <c r="H2" s="3171"/>
      <c r="I2" s="3171"/>
      <c r="J2" s="3171"/>
      <c r="K2" s="2829"/>
    </row>
    <row r="3" spans="1:11" ht="15" customHeight="1" x14ac:dyDescent="0.3">
      <c r="A3" s="3171" t="s">
        <v>4272</v>
      </c>
      <c r="B3" s="3171"/>
      <c r="C3" s="3171"/>
      <c r="D3" s="3171"/>
      <c r="E3" s="3171"/>
      <c r="F3" s="3171"/>
      <c r="G3" s="3171"/>
      <c r="H3" s="3171"/>
      <c r="I3" s="3171"/>
      <c r="J3" s="3171"/>
      <c r="K3" s="2829"/>
    </row>
    <row r="4" spans="1:11" ht="10.5" customHeight="1" x14ac:dyDescent="0.3">
      <c r="A4" s="840"/>
      <c r="B4" s="840"/>
      <c r="C4" s="840"/>
      <c r="D4" s="840"/>
      <c r="E4" s="840"/>
      <c r="F4" s="840"/>
      <c r="G4" s="840"/>
      <c r="H4" s="840"/>
      <c r="I4" s="840"/>
      <c r="J4" s="840"/>
    </row>
    <row r="5" spans="1:11" ht="15" customHeight="1" x14ac:dyDescent="0.2">
      <c r="A5" s="227" t="s">
        <v>327</v>
      </c>
      <c r="B5" s="228" t="str">
        <f>+Index!$E$10</f>
        <v>01</v>
      </c>
      <c r="C5" s="229"/>
      <c r="F5" s="788" t="s">
        <v>1154</v>
      </c>
      <c r="G5" s="3173" t="str">
        <f>+Index!E$11</f>
        <v>North Carolina General Assembly</v>
      </c>
      <c r="H5" s="3173"/>
      <c r="I5" s="3173"/>
      <c r="J5" s="3173"/>
    </row>
    <row r="6" spans="1:11" ht="15" customHeight="1" x14ac:dyDescent="0.2">
      <c r="A6" s="227" t="s">
        <v>972</v>
      </c>
      <c r="B6" s="3172" t="str">
        <f>CONCATENATE(Index!$E$12," ",Index!$E$14)</f>
        <v xml:space="preserve"> </v>
      </c>
      <c r="C6" s="3172"/>
      <c r="D6" s="3172"/>
      <c r="E6" s="3172"/>
      <c r="F6" s="787" t="s">
        <v>348</v>
      </c>
      <c r="G6" s="3174">
        <f>+Index!E$13</f>
        <v>0</v>
      </c>
      <c r="H6" s="3174"/>
      <c r="I6" s="3174"/>
      <c r="J6" s="3174"/>
    </row>
    <row r="7" spans="1:11" s="232" customFormat="1" ht="15" customHeight="1" thickBot="1" x14ac:dyDescent="0.25">
      <c r="A7" s="230"/>
      <c r="B7" s="231" t="s">
        <v>973</v>
      </c>
      <c r="C7" s="230"/>
      <c r="D7" s="230"/>
      <c r="E7" s="230"/>
      <c r="F7" s="230"/>
      <c r="G7" s="230"/>
      <c r="H7" s="230"/>
      <c r="I7" s="230"/>
      <c r="J7" s="230"/>
    </row>
    <row r="8" spans="1:11" s="232" customFormat="1" ht="12" customHeight="1" x14ac:dyDescent="0.2">
      <c r="B8" s="385"/>
    </row>
    <row r="9" spans="1:11" s="233" customFormat="1" ht="15" customHeight="1" x14ac:dyDescent="0.2">
      <c r="A9" s="234" t="s">
        <v>4273</v>
      </c>
    </row>
    <row r="10" spans="1:11" s="233" customFormat="1" ht="15" customHeight="1" x14ac:dyDescent="0.2">
      <c r="A10" s="234"/>
    </row>
    <row r="11" spans="1:11" s="233" customFormat="1" ht="15" customHeight="1" x14ac:dyDescent="0.2">
      <c r="A11" s="233" t="s">
        <v>1153</v>
      </c>
      <c r="D11" s="235"/>
      <c r="H11" s="235"/>
    </row>
    <row r="12" spans="1:11" s="233" customFormat="1" ht="15" customHeight="1" x14ac:dyDescent="0.2">
      <c r="A12" s="227" t="s">
        <v>4298</v>
      </c>
      <c r="D12" s="235"/>
      <c r="H12" s="235"/>
    </row>
    <row r="13" spans="1:11" s="233" customFormat="1" ht="15" customHeight="1" x14ac:dyDescent="0.2">
      <c r="A13" s="234"/>
    </row>
    <row r="14" spans="1:11" s="233" customFormat="1" ht="8.1" customHeight="1" x14ac:dyDescent="0.2"/>
    <row r="15" spans="1:11" s="232" customFormat="1" ht="15" customHeight="1" x14ac:dyDescent="0.2">
      <c r="A15" s="261"/>
      <c r="B15" s="261"/>
      <c r="C15" s="261"/>
      <c r="D15" s="3168" t="s">
        <v>380</v>
      </c>
      <c r="E15" s="3169"/>
      <c r="F15" s="3169"/>
      <c r="G15" s="3169"/>
      <c r="H15" s="3169"/>
      <c r="I15" s="3169"/>
      <c r="J15" s="3170"/>
    </row>
    <row r="16" spans="1:11" s="232" customFormat="1" ht="15" customHeight="1" x14ac:dyDescent="0.2">
      <c r="A16" s="261"/>
      <c r="B16" s="261"/>
      <c r="C16" s="261"/>
      <c r="D16" s="3165"/>
      <c r="E16" s="261"/>
      <c r="F16" s="3165"/>
      <c r="G16" s="261"/>
      <c r="H16" s="3165"/>
      <c r="I16" s="261"/>
      <c r="J16" s="3165"/>
    </row>
    <row r="17" spans="1:10" s="232" customFormat="1" ht="15" customHeight="1" x14ac:dyDescent="0.2">
      <c r="A17" s="261"/>
      <c r="B17" s="261"/>
      <c r="C17" s="261"/>
      <c r="D17" s="3166"/>
      <c r="E17" s="261"/>
      <c r="F17" s="3166"/>
      <c r="G17" s="261"/>
      <c r="H17" s="3166"/>
      <c r="I17" s="261"/>
      <c r="J17" s="3166"/>
    </row>
    <row r="18" spans="1:10" s="232" customFormat="1" ht="15" customHeight="1" x14ac:dyDescent="0.2">
      <c r="A18" s="261"/>
      <c r="B18" s="261"/>
      <c r="C18" s="261"/>
      <c r="D18" s="3166"/>
      <c r="E18" s="261"/>
      <c r="F18" s="3166"/>
      <c r="G18" s="261"/>
      <c r="H18" s="3166"/>
      <c r="I18" s="261"/>
      <c r="J18" s="3166"/>
    </row>
    <row r="19" spans="1:10" s="232" customFormat="1" ht="15" customHeight="1" x14ac:dyDescent="0.2">
      <c r="A19" s="261"/>
      <c r="B19" s="261"/>
      <c r="C19" s="261"/>
      <c r="D19" s="3167"/>
      <c r="E19" s="261"/>
      <c r="F19" s="3167"/>
      <c r="G19" s="261"/>
      <c r="H19" s="3167"/>
      <c r="I19" s="261"/>
      <c r="J19" s="3167"/>
    </row>
    <row r="20" spans="1:10" s="232" customFormat="1" ht="15" customHeight="1" x14ac:dyDescent="0.2">
      <c r="A20" s="261" t="s">
        <v>582</v>
      </c>
      <c r="B20" s="261"/>
      <c r="C20" s="261"/>
      <c r="D20" s="571"/>
      <c r="E20" s="261"/>
      <c r="F20" s="571"/>
      <c r="G20" s="261"/>
      <c r="H20" s="571"/>
      <c r="I20" s="261"/>
      <c r="J20" s="571"/>
    </row>
    <row r="21" spans="1:10" s="232" customFormat="1" ht="15" customHeight="1" x14ac:dyDescent="0.2">
      <c r="A21" s="261" t="s">
        <v>583</v>
      </c>
      <c r="B21" s="261"/>
      <c r="C21" s="261"/>
      <c r="D21" s="571"/>
      <c r="E21" s="261"/>
      <c r="F21" s="571"/>
      <c r="G21" s="261"/>
      <c r="H21" s="571"/>
      <c r="I21" s="261"/>
      <c r="J21" s="571"/>
    </row>
    <row r="22" spans="1:10" s="232" customFormat="1" ht="15" customHeight="1" x14ac:dyDescent="0.2">
      <c r="A22" s="261" t="s">
        <v>579</v>
      </c>
      <c r="B22" s="261"/>
      <c r="C22" s="261"/>
      <c r="D22" s="571"/>
      <c r="E22" s="261"/>
      <c r="F22" s="571"/>
      <c r="G22" s="261"/>
      <c r="H22" s="571"/>
      <c r="I22" s="261"/>
      <c r="J22" s="571"/>
    </row>
    <row r="23" spans="1:10" s="232" customFormat="1" ht="15" customHeight="1" x14ac:dyDescent="0.2">
      <c r="A23" s="261" t="s">
        <v>580</v>
      </c>
      <c r="B23" s="261"/>
      <c r="C23" s="261"/>
      <c r="D23" s="571"/>
      <c r="E23" s="261"/>
      <c r="F23" s="571"/>
      <c r="G23" s="261"/>
      <c r="H23" s="571"/>
      <c r="I23" s="261"/>
      <c r="J23" s="571"/>
    </row>
    <row r="24" spans="1:10" s="232" customFormat="1" ht="15" customHeight="1" x14ac:dyDescent="0.2">
      <c r="A24" s="261" t="s">
        <v>581</v>
      </c>
      <c r="B24" s="261"/>
      <c r="C24" s="261"/>
      <c r="D24" s="571"/>
      <c r="E24" s="261"/>
      <c r="F24" s="571"/>
      <c r="G24" s="261"/>
      <c r="H24" s="571"/>
      <c r="I24" s="261"/>
      <c r="J24" s="571"/>
    </row>
    <row r="25" spans="1:10" s="232" customFormat="1" ht="15" customHeight="1" x14ac:dyDescent="0.2">
      <c r="A25" s="261" t="s">
        <v>365</v>
      </c>
      <c r="B25" s="261"/>
      <c r="C25" s="261"/>
      <c r="D25" s="2149"/>
      <c r="E25" s="266"/>
      <c r="F25" s="2149"/>
      <c r="G25" s="266"/>
      <c r="H25" s="2149"/>
      <c r="I25" s="266"/>
      <c r="J25" s="2149"/>
    </row>
    <row r="26" spans="1:10" s="232" customFormat="1" ht="15" customHeight="1" x14ac:dyDescent="0.2">
      <c r="A26" s="261" t="s">
        <v>366</v>
      </c>
      <c r="B26" s="261"/>
      <c r="C26" s="261"/>
      <c r="D26" s="261"/>
      <c r="E26" s="261"/>
      <c r="F26" s="261"/>
      <c r="G26" s="261"/>
      <c r="H26" s="261"/>
      <c r="I26" s="261"/>
      <c r="J26" s="261"/>
    </row>
    <row r="27" spans="1:10" s="232" customFormat="1" ht="15" customHeight="1" x14ac:dyDescent="0.2">
      <c r="A27" s="261" t="s">
        <v>367</v>
      </c>
      <c r="B27" s="261"/>
      <c r="C27" s="261"/>
      <c r="D27" s="2150"/>
      <c r="E27" s="266"/>
      <c r="F27" s="2150"/>
      <c r="G27" s="266"/>
      <c r="H27" s="2150"/>
      <c r="I27" s="266"/>
      <c r="J27" s="2150"/>
    </row>
    <row r="28" spans="1:10" s="232" customFormat="1" ht="11.25" customHeight="1" x14ac:dyDescent="0.2">
      <c r="A28" s="261"/>
      <c r="B28" s="261"/>
      <c r="C28" s="261"/>
      <c r="D28" s="384"/>
      <c r="E28" s="266"/>
      <c r="F28" s="384"/>
      <c r="G28" s="266"/>
      <c r="H28" s="384"/>
      <c r="I28" s="266"/>
      <c r="J28" s="384"/>
    </row>
    <row r="29" spans="1:10" s="233" customFormat="1" x14ac:dyDescent="0.2"/>
    <row r="30" spans="1:10" s="233" customFormat="1" x14ac:dyDescent="0.2"/>
    <row r="31" spans="1:10" s="236" customFormat="1" ht="12" x14ac:dyDescent="0.2"/>
    <row r="32" spans="1:10" s="236" customFormat="1" ht="12" x14ac:dyDescent="0.2"/>
    <row r="33" s="236" customFormat="1" ht="12" x14ac:dyDescent="0.2"/>
    <row r="34" s="236" customFormat="1" ht="12" x14ac:dyDescent="0.2"/>
    <row r="35" s="236" customFormat="1" ht="12" x14ac:dyDescent="0.2"/>
    <row r="36" s="236" customFormat="1" ht="12" x14ac:dyDescent="0.2"/>
    <row r="37" s="236" customFormat="1" ht="12" x14ac:dyDescent="0.2"/>
    <row r="38" s="236" customFormat="1" ht="12" x14ac:dyDescent="0.2"/>
    <row r="39" s="236" customFormat="1" ht="12" x14ac:dyDescent="0.2"/>
    <row r="40" s="236" customFormat="1" ht="12" x14ac:dyDescent="0.2"/>
    <row r="41" s="236" customFormat="1" ht="12" x14ac:dyDescent="0.2"/>
    <row r="42" s="236" customFormat="1" ht="12" x14ac:dyDescent="0.2"/>
    <row r="43" s="236" customFormat="1" ht="12" x14ac:dyDescent="0.2"/>
    <row r="44" s="236" customFormat="1" ht="12" x14ac:dyDescent="0.2"/>
    <row r="45" s="236" customFormat="1" ht="12" x14ac:dyDescent="0.2"/>
    <row r="46" s="236" customFormat="1" ht="12" x14ac:dyDescent="0.2"/>
    <row r="47" s="236" customFormat="1" ht="12" x14ac:dyDescent="0.2"/>
    <row r="48" s="236" customFormat="1" ht="12" x14ac:dyDescent="0.2"/>
    <row r="49" s="236" customFormat="1" ht="12" x14ac:dyDescent="0.2"/>
    <row r="50" s="236" customFormat="1" ht="12" x14ac:dyDescent="0.2"/>
    <row r="51" s="236" customFormat="1" ht="12" x14ac:dyDescent="0.2"/>
    <row r="52" s="236" customFormat="1" ht="12" x14ac:dyDescent="0.2"/>
    <row r="53" s="236" customFormat="1" ht="12" x14ac:dyDescent="0.2"/>
    <row r="54" s="236" customFormat="1" ht="12" x14ac:dyDescent="0.2"/>
    <row r="55" s="236" customFormat="1" ht="12" x14ac:dyDescent="0.2"/>
  </sheetData>
  <sheetProtection algorithmName="SHA-512" hashValue="Qf2PuRl41Mz9sEKf/O91vKbAn7lDwOgWTK1TBI8PHOA6ilKJH5Ty4kEGkuhHKH+as2YoCaIryAbebebn41w9uw==" saltValue="k4NgaAgrZdbZOb/X3p/sCA==" spinCount="100000" sheet="1" objects="1" scenarios="1" autoFilter="0"/>
  <customSheetViews>
    <customSheetView guid="{B08879A4-635B-4C39-9937-AC7883D562FC}" showGridLines="0" fitToPage="1">
      <selection activeCell="B12" sqref="B12"/>
      <pageMargins left="0.5" right="0.5" top="0.5" bottom="0.5" header="0.5" footer="0.4"/>
      <printOptions horizontalCentered="1"/>
      <pageSetup orientation="portrait" r:id="rId1"/>
      <headerFooter alignWithMargins="0">
        <oddFooter>&amp;R&amp;"MS Sans Serif,Regular"&amp;A</oddFooter>
      </headerFooter>
    </customSheetView>
    <customSheetView guid="{1250FD07-FF56-4A9D-AF9E-C27124A7EBE9}" showGridLines="0" fitToPage="1" showRuler="0">
      <selection sqref="A1:J1"/>
      <pageMargins left="0.5" right="0.5" top="0.5" bottom="0.5" header="0.5" footer="0.4"/>
      <printOptions horizontalCentered="1"/>
      <pageSetup scale="99" orientation="portrait" horizontalDpi="300" verticalDpi="300" r:id="rId2"/>
      <headerFooter alignWithMargins="0">
        <oddFooter>&amp;R&amp;"MS Sans Serif,Regular"&amp;A</oddFooter>
      </headerFooter>
    </customSheetView>
    <customSheetView guid="{BEA4BE86-04D1-4C96-9358-7A260B9D2B2D}" showGridLines="0" fitToPage="1" showRuler="0">
      <selection sqref="A1:J1"/>
      <pageMargins left="0.5" right="0.5" top="0.5" bottom="0.5" header="0.5" footer="0.4"/>
      <printOptions horizontalCentered="1"/>
      <pageSetup scale="99" orientation="portrait" horizontalDpi="300" verticalDpi="300" r:id="rId3"/>
      <headerFooter alignWithMargins="0">
        <oddFooter>&amp;R&amp;"MS Sans Serif,Regular"&amp;A</oddFooter>
      </headerFooter>
    </customSheetView>
    <customSheetView guid="{9FCFC836-1CA5-48BF-958D-24D2EA94B219}" showGridLines="0" fitToPage="1">
      <selection activeCell="B12" sqref="B12"/>
      <pageMargins left="0.5" right="0.5" top="0.5" bottom="0.5" header="0.5" footer="0.4"/>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5" type="noConversion"/>
  <conditionalFormatting sqref="K1:K3">
    <cfRule type="cellIs" dxfId="42" priority="1" stopIfTrue="1" operator="equal">
      <formula>"na"</formula>
    </cfRule>
  </conditionalFormatting>
  <hyperlinks>
    <hyperlink ref="A1" location="Index!A1" display="Index!A1" xr:uid="{00000000-0004-0000-3700-000000000000}"/>
  </hyperlinks>
  <printOptions horizontalCentered="1"/>
  <pageMargins left="0.5" right="0.5" top="0.5" bottom="0.5" header="0.5" footer="0.4"/>
  <pageSetup orientation="portrait" r:id="rId5"/>
  <headerFooter alignWithMargins="0">
    <oddFooter>&amp;R&amp;"MS Sans Serif,Regular"&amp;A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K74"/>
  <sheetViews>
    <sheetView showGridLines="0" zoomScaleNormal="100" workbookViewId="0">
      <selection activeCell="K17" sqref="K17"/>
    </sheetView>
  </sheetViews>
  <sheetFormatPr defaultColWidth="9.42578125" defaultRowHeight="12.75" x14ac:dyDescent="0.2"/>
  <cols>
    <col min="1" max="1" width="16.5703125" style="227" customWidth="1"/>
    <col min="2" max="2" width="12.5703125" style="227" customWidth="1"/>
    <col min="3" max="3" width="1.42578125" style="227" customWidth="1"/>
    <col min="4" max="4" width="14.42578125" style="227" customWidth="1"/>
    <col min="5" max="5" width="1.42578125" style="227" customWidth="1"/>
    <col min="6" max="6" width="14.42578125" style="227" customWidth="1"/>
    <col min="7" max="7" width="1.42578125" style="227" customWidth="1"/>
    <col min="8" max="8" width="14.42578125" style="227" customWidth="1"/>
    <col min="9" max="9" width="3.5703125" style="227" customWidth="1"/>
    <col min="10" max="10" width="16.5703125" style="227" customWidth="1"/>
    <col min="11" max="11" width="4.5703125" style="227" customWidth="1"/>
    <col min="12" max="12" width="4" style="227" customWidth="1"/>
    <col min="13" max="13" width="6.140625" style="227" customWidth="1"/>
    <col min="14" max="14" width="3" style="227" customWidth="1"/>
    <col min="15" max="29" width="9.42578125" style="227"/>
    <col min="30" max="253" width="16.5703125" style="227" customWidth="1"/>
    <col min="254" max="16384" width="9.42578125" style="227"/>
  </cols>
  <sheetData>
    <row r="1" spans="1:11" ht="25.15" customHeight="1" x14ac:dyDescent="0.25">
      <c r="A1" s="2697" t="str">
        <f>Index!$A$1</f>
        <v xml:space="preserve">                                                               Office of the State Controller                                                                </v>
      </c>
      <c r="B1" s="2697"/>
      <c r="C1" s="2697"/>
      <c r="D1" s="2697"/>
      <c r="E1" s="2697"/>
      <c r="F1" s="2697"/>
      <c r="G1" s="2697"/>
      <c r="H1" s="2697"/>
      <c r="I1" s="2697"/>
      <c r="J1" s="2697"/>
      <c r="K1" s="1423" t="str">
        <f>IF(Index!$B$82="na","NA","")</f>
        <v/>
      </c>
    </row>
    <row r="2" spans="1:11" ht="15" customHeight="1" x14ac:dyDescent="0.3">
      <c r="A2" s="3171" t="str">
        <f>Index!$A$2</f>
        <v>2022 ACFR Worksheets</v>
      </c>
      <c r="B2" s="3171"/>
      <c r="C2" s="3171"/>
      <c r="D2" s="3171"/>
      <c r="E2" s="3171"/>
      <c r="F2" s="3171"/>
      <c r="G2" s="3171"/>
      <c r="H2" s="3171"/>
      <c r="I2" s="3171"/>
      <c r="J2" s="3171"/>
      <c r="K2" s="1423"/>
    </row>
    <row r="3" spans="1:11" ht="15" customHeight="1" x14ac:dyDescent="0.3">
      <c r="A3" s="3171" t="s">
        <v>4265</v>
      </c>
      <c r="B3" s="3171"/>
      <c r="C3" s="3171"/>
      <c r="D3" s="3171"/>
      <c r="E3" s="3171"/>
      <c r="F3" s="3171"/>
      <c r="G3" s="3171"/>
      <c r="H3" s="3171"/>
      <c r="I3" s="3171"/>
      <c r="J3" s="3171"/>
      <c r="K3" s="1423"/>
    </row>
    <row r="4" spans="1:11" ht="15.75" customHeight="1" x14ac:dyDescent="0.3">
      <c r="A4" s="3171" t="s">
        <v>4266</v>
      </c>
      <c r="B4" s="3171"/>
      <c r="C4" s="3171"/>
      <c r="D4" s="3171"/>
      <c r="E4" s="3171"/>
      <c r="F4" s="3171"/>
      <c r="G4" s="3171"/>
      <c r="H4" s="3171"/>
      <c r="I4" s="3171"/>
      <c r="J4" s="3171"/>
    </row>
    <row r="5" spans="1:11" ht="10.5" customHeight="1" x14ac:dyDescent="0.3">
      <c r="A5" s="840"/>
      <c r="B5" s="840"/>
      <c r="C5" s="840"/>
      <c r="D5" s="840"/>
      <c r="E5" s="840"/>
      <c r="F5" s="840"/>
      <c r="G5" s="840"/>
      <c r="H5" s="840"/>
      <c r="I5" s="840"/>
      <c r="J5" s="840"/>
    </row>
    <row r="6" spans="1:11" ht="15" customHeight="1" x14ac:dyDescent="0.2">
      <c r="A6" s="227" t="s">
        <v>327</v>
      </c>
      <c r="B6" s="228" t="str">
        <f>+Index!$E$10</f>
        <v>01</v>
      </c>
      <c r="C6" s="229"/>
      <c r="F6" s="788" t="s">
        <v>1154</v>
      </c>
      <c r="G6" s="3183" t="str">
        <f>+Index!E$11</f>
        <v>North Carolina General Assembly</v>
      </c>
      <c r="H6" s="3183"/>
      <c r="I6" s="3183"/>
      <c r="J6" s="3183"/>
    </row>
    <row r="7" spans="1:11" ht="15" customHeight="1" x14ac:dyDescent="0.2">
      <c r="A7" s="227" t="s">
        <v>972</v>
      </c>
      <c r="B7" s="3180" t="str">
        <f>CONCATENATE(Index!$E$12," ",Index!$E$14)</f>
        <v xml:space="preserve"> </v>
      </c>
      <c r="C7" s="3180"/>
      <c r="D7" s="3180"/>
      <c r="E7" s="3180"/>
      <c r="F7" s="787" t="s">
        <v>348</v>
      </c>
      <c r="G7" s="3174">
        <f>+Index!E$13</f>
        <v>0</v>
      </c>
      <c r="H7" s="3174"/>
      <c r="I7" s="3174"/>
      <c r="J7" s="3174"/>
    </row>
    <row r="8" spans="1:11" s="232" customFormat="1" ht="15" customHeight="1" thickBot="1" x14ac:dyDescent="0.25">
      <c r="A8" s="230"/>
      <c r="B8" s="231" t="s">
        <v>973</v>
      </c>
      <c r="C8" s="230"/>
      <c r="D8" s="230"/>
      <c r="E8" s="230"/>
      <c r="F8" s="230"/>
      <c r="G8" s="230"/>
      <c r="H8" s="230"/>
      <c r="I8" s="230"/>
      <c r="J8" s="230"/>
    </row>
    <row r="9" spans="1:11" s="232" customFormat="1" ht="12" customHeight="1" x14ac:dyDescent="0.2">
      <c r="B9" s="385"/>
    </row>
    <row r="10" spans="1:11" s="232" customFormat="1" ht="15" customHeight="1" x14ac:dyDescent="0.2">
      <c r="A10" s="234" t="s">
        <v>4784</v>
      </c>
      <c r="B10" s="227"/>
      <c r="C10" s="227"/>
      <c r="D10" s="227"/>
      <c r="E10" s="227"/>
      <c r="F10" s="227"/>
      <c r="G10" s="227"/>
      <c r="H10" s="227"/>
      <c r="I10" s="227"/>
      <c r="J10" s="227"/>
    </row>
    <row r="11" spans="1:11" s="232" customFormat="1" ht="15" customHeight="1" x14ac:dyDescent="0.2">
      <c r="A11" s="234" t="s">
        <v>4785</v>
      </c>
      <c r="B11" s="227"/>
      <c r="C11" s="227"/>
      <c r="D11" s="227"/>
      <c r="E11" s="227"/>
      <c r="F11" s="227"/>
      <c r="G11" s="227"/>
      <c r="H11" s="227"/>
      <c r="I11" s="227"/>
      <c r="J11" s="227"/>
    </row>
    <row r="12" spans="1:11" s="232" customFormat="1" ht="15" customHeight="1" x14ac:dyDescent="0.2">
      <c r="A12" s="234" t="s">
        <v>4786</v>
      </c>
      <c r="B12" s="227"/>
      <c r="C12" s="227"/>
      <c r="D12" s="227"/>
      <c r="E12" s="227"/>
      <c r="F12" s="227"/>
      <c r="G12" s="227"/>
      <c r="H12" s="227"/>
      <c r="I12" s="227"/>
      <c r="J12" s="227"/>
    </row>
    <row r="13" spans="1:11" s="232" customFormat="1" ht="15" customHeight="1" x14ac:dyDescent="0.2">
      <c r="A13" s="234" t="s">
        <v>4787</v>
      </c>
      <c r="B13" s="227"/>
      <c r="C13" s="227"/>
      <c r="D13" s="227"/>
      <c r="E13" s="227"/>
      <c r="F13" s="227"/>
      <c r="G13" s="227"/>
      <c r="H13" s="227"/>
      <c r="I13" s="227"/>
      <c r="J13" s="227"/>
    </row>
    <row r="14" spans="1:11" s="232" customFormat="1" ht="15" customHeight="1" x14ac:dyDescent="0.2">
      <c r="A14" s="234" t="s">
        <v>4789</v>
      </c>
      <c r="B14" s="227"/>
      <c r="C14" s="227"/>
      <c r="D14" s="227"/>
      <c r="E14" s="227"/>
      <c r="F14" s="227"/>
      <c r="G14" s="227"/>
      <c r="H14" s="227"/>
      <c r="I14" s="227"/>
      <c r="J14" s="227"/>
    </row>
    <row r="15" spans="1:11" s="232" customFormat="1" ht="15" customHeight="1" x14ac:dyDescent="0.2">
      <c r="A15" s="234" t="s">
        <v>4788</v>
      </c>
      <c r="B15" s="227"/>
      <c r="C15" s="227"/>
      <c r="D15" s="227"/>
      <c r="E15" s="227"/>
      <c r="F15" s="227"/>
      <c r="G15" s="227"/>
      <c r="H15" s="227"/>
      <c r="I15" s="227"/>
      <c r="J15" s="227"/>
    </row>
    <row r="16" spans="1:11" s="232" customFormat="1" ht="10.35" customHeight="1" x14ac:dyDescent="0.2">
      <c r="A16" s="234"/>
      <c r="B16" s="227"/>
      <c r="C16" s="227"/>
      <c r="D16" s="227"/>
      <c r="E16" s="227"/>
      <c r="F16" s="227"/>
      <c r="G16" s="227"/>
      <c r="H16" s="227"/>
      <c r="I16" s="227"/>
      <c r="J16" s="227"/>
    </row>
    <row r="17" spans="1:11" s="232" customFormat="1" ht="15" customHeight="1" x14ac:dyDescent="0.2">
      <c r="A17" s="264" t="s">
        <v>4267</v>
      </c>
      <c r="B17" s="227"/>
      <c r="C17" s="227"/>
      <c r="D17" s="227"/>
      <c r="E17" s="227"/>
      <c r="F17" s="227"/>
      <c r="G17" s="227"/>
      <c r="H17" s="227"/>
      <c r="I17" s="227"/>
      <c r="J17" s="227"/>
    </row>
    <row r="18" spans="1:11" s="232" customFormat="1" ht="15" customHeight="1" x14ac:dyDescent="0.2">
      <c r="A18" s="234"/>
      <c r="B18" s="227"/>
      <c r="C18" s="227"/>
      <c r="D18" s="1697" t="s">
        <v>600</v>
      </c>
      <c r="E18" s="227"/>
      <c r="F18" s="227"/>
      <c r="G18" s="227"/>
      <c r="H18" s="227"/>
      <c r="I18" s="227"/>
      <c r="J18" s="227"/>
    </row>
    <row r="19" spans="1:11" s="232" customFormat="1" ht="15" customHeight="1" x14ac:dyDescent="0.25">
      <c r="A19" s="262"/>
      <c r="B19" s="227"/>
      <c r="C19" s="227"/>
      <c r="D19" s="1698" t="s">
        <v>364</v>
      </c>
      <c r="E19" s="227"/>
      <c r="F19" s="3181" t="s">
        <v>1096</v>
      </c>
      <c r="G19" s="3181"/>
      <c r="H19" s="3181"/>
      <c r="I19" s="227"/>
      <c r="J19" s="227"/>
    </row>
    <row r="20" spans="1:11" s="232" customFormat="1" ht="15" customHeight="1" thickBot="1" x14ac:dyDescent="0.25">
      <c r="A20" s="3178" t="s">
        <v>1201</v>
      </c>
      <c r="B20" s="3178"/>
      <c r="C20" s="227"/>
      <c r="D20" s="1699" t="s">
        <v>1156</v>
      </c>
      <c r="E20" s="227"/>
      <c r="F20" s="1700" t="s">
        <v>1097</v>
      </c>
      <c r="G20" s="227"/>
      <c r="H20" s="1700" t="s">
        <v>1202</v>
      </c>
      <c r="I20" s="1697"/>
      <c r="J20" s="1699" t="s">
        <v>980</v>
      </c>
      <c r="K20" s="227"/>
    </row>
    <row r="21" spans="1:11" s="232" customFormat="1" ht="15" customHeight="1" x14ac:dyDescent="0.25">
      <c r="A21" s="3179"/>
      <c r="B21" s="3179"/>
      <c r="C21" s="236"/>
      <c r="D21" s="1701"/>
      <c r="E21" s="1702"/>
      <c r="F21" s="1703"/>
      <c r="G21" s="1702"/>
      <c r="H21" s="1704"/>
      <c r="I21" s="1702"/>
      <c r="J21" s="1705"/>
      <c r="K21" s="227"/>
    </row>
    <row r="22" spans="1:11" s="232" customFormat="1" ht="15" customHeight="1" x14ac:dyDescent="0.25">
      <c r="A22" s="3177"/>
      <c r="B22" s="3177"/>
      <c r="C22" s="236"/>
      <c r="D22" s="1701"/>
      <c r="E22" s="1702"/>
      <c r="F22" s="1706"/>
      <c r="G22" s="1702"/>
      <c r="H22" s="1707"/>
      <c r="I22" s="1702"/>
      <c r="J22" s="1708"/>
      <c r="K22" s="227"/>
    </row>
    <row r="23" spans="1:11" s="232" customFormat="1" ht="15" customHeight="1" x14ac:dyDescent="0.25">
      <c r="A23" s="3177"/>
      <c r="B23" s="3182"/>
      <c r="C23" s="236"/>
      <c r="D23" s="1701"/>
      <c r="E23" s="1702"/>
      <c r="F23" s="1706"/>
      <c r="G23" s="1702"/>
      <c r="H23" s="1704"/>
      <c r="I23" s="1702"/>
      <c r="J23" s="1708"/>
      <c r="K23" s="227"/>
    </row>
    <row r="24" spans="1:11" s="232" customFormat="1" ht="15" customHeight="1" x14ac:dyDescent="0.25">
      <c r="A24" s="3177"/>
      <c r="B24" s="3182"/>
      <c r="C24" s="236"/>
      <c r="D24" s="1701"/>
      <c r="E24" s="1702"/>
      <c r="F24" s="1706"/>
      <c r="G24" s="1702"/>
      <c r="H24" s="1704"/>
      <c r="I24" s="1702"/>
      <c r="J24" s="1708"/>
      <c r="K24" s="227"/>
    </row>
    <row r="25" spans="1:11" s="232" customFormat="1" ht="15" customHeight="1" x14ac:dyDescent="0.25">
      <c r="A25" s="3177"/>
      <c r="B25" s="3177"/>
      <c r="C25" s="236"/>
      <c r="D25" s="1701"/>
      <c r="E25" s="1702"/>
      <c r="F25" s="1706"/>
      <c r="G25" s="1702"/>
      <c r="H25" s="1704"/>
      <c r="I25" s="1702"/>
      <c r="J25" s="1708"/>
      <c r="K25" s="227"/>
    </row>
    <row r="26" spans="1:11" s="232" customFormat="1" ht="15" customHeight="1" x14ac:dyDescent="0.25">
      <c r="A26" s="3177"/>
      <c r="B26" s="3177"/>
      <c r="C26" s="236"/>
      <c r="D26" s="1701"/>
      <c r="E26" s="1702"/>
      <c r="F26" s="1706"/>
      <c r="G26" s="1702"/>
      <c r="H26" s="1704"/>
      <c r="I26" s="1702"/>
      <c r="J26" s="1708"/>
      <c r="K26" s="227"/>
    </row>
    <row r="27" spans="1:11" s="232" customFormat="1" ht="15" customHeight="1" x14ac:dyDescent="0.25">
      <c r="A27" s="3177"/>
      <c r="B27" s="3177"/>
      <c r="C27" s="236"/>
      <c r="D27" s="1701"/>
      <c r="E27" s="1702"/>
      <c r="F27" s="1706"/>
      <c r="G27" s="1702"/>
      <c r="H27" s="1704"/>
      <c r="I27" s="1702"/>
      <c r="J27" s="1708"/>
      <c r="K27" s="227"/>
    </row>
    <row r="28" spans="1:11" s="232" customFormat="1" ht="15" customHeight="1" x14ac:dyDescent="0.25">
      <c r="A28" s="3177"/>
      <c r="B28" s="3177"/>
      <c r="C28" s="236"/>
      <c r="D28" s="1709"/>
      <c r="E28" s="1702"/>
      <c r="F28" s="1706"/>
      <c r="G28" s="1702"/>
      <c r="H28" s="1704"/>
      <c r="I28" s="1702"/>
      <c r="J28" s="1708"/>
      <c r="K28" s="227"/>
    </row>
    <row r="29" spans="1:11" s="232" customFormat="1" ht="15" customHeight="1" x14ac:dyDescent="0.2">
      <c r="A29" s="1710"/>
      <c r="B29" s="265"/>
      <c r="C29" s="236"/>
      <c r="D29" s="1711"/>
      <c r="E29" s="236"/>
      <c r="F29" s="234" t="s">
        <v>4792</v>
      </c>
      <c r="G29" s="236"/>
      <c r="H29" s="236"/>
      <c r="I29" s="236"/>
      <c r="J29" s="1712"/>
      <c r="K29" s="227"/>
    </row>
    <row r="30" spans="1:11" ht="15" customHeight="1" x14ac:dyDescent="0.2">
      <c r="A30" s="264"/>
      <c r="B30" s="1713" t="s">
        <v>84</v>
      </c>
      <c r="D30" s="1842">
        <f>SUM(D21:D28)</f>
        <v>0</v>
      </c>
      <c r="F30" s="234" t="s">
        <v>4929</v>
      </c>
      <c r="H30" s="788"/>
      <c r="I30" s="234"/>
    </row>
    <row r="31" spans="1:11" ht="15" customHeight="1" thickBot="1" x14ac:dyDescent="0.25">
      <c r="A31" s="264"/>
      <c r="B31" s="1713"/>
      <c r="D31" s="1842"/>
      <c r="F31" s="234" t="s">
        <v>4791</v>
      </c>
      <c r="H31" s="788"/>
      <c r="I31" s="234"/>
    </row>
    <row r="32" spans="1:11" s="232" customFormat="1" ht="14.45" customHeight="1" thickBot="1" x14ac:dyDescent="0.25">
      <c r="A32" s="1714"/>
      <c r="B32" s="1714"/>
      <c r="C32" s="1714"/>
      <c r="D32" s="1715"/>
      <c r="E32" s="1714"/>
      <c r="F32" s="1714"/>
      <c r="G32" s="1714"/>
      <c r="H32" s="1716"/>
      <c r="I32" s="1714"/>
      <c r="J32" s="1716"/>
    </row>
    <row r="33" spans="1:11" s="232" customFormat="1" ht="12.6" customHeight="1" x14ac:dyDescent="0.2">
      <c r="A33" s="236"/>
      <c r="B33" s="236"/>
      <c r="C33" s="236"/>
      <c r="D33" s="1717"/>
      <c r="E33" s="236"/>
      <c r="F33" s="1717"/>
      <c r="G33" s="236"/>
      <c r="H33" s="1717"/>
      <c r="I33" s="236"/>
      <c r="J33" s="1717"/>
    </row>
    <row r="34" spans="1:11" s="232" customFormat="1" ht="15" customHeight="1" x14ac:dyDescent="0.2">
      <c r="A34" s="264" t="s">
        <v>4268</v>
      </c>
      <c r="B34" s="227"/>
      <c r="C34" s="227"/>
      <c r="D34" s="227"/>
      <c r="E34" s="227"/>
      <c r="F34" s="227"/>
      <c r="G34" s="227"/>
      <c r="H34" s="227"/>
      <c r="I34" s="227"/>
      <c r="J34" s="227"/>
    </row>
    <row r="35" spans="1:11" s="232" customFormat="1" ht="15" customHeight="1" x14ac:dyDescent="0.2">
      <c r="A35" s="234"/>
      <c r="B35" s="227"/>
      <c r="C35" s="227"/>
      <c r="D35" s="1697" t="s">
        <v>600</v>
      </c>
      <c r="E35" s="227"/>
      <c r="F35" s="227"/>
      <c r="G35" s="227"/>
      <c r="H35" s="227"/>
      <c r="I35" s="227"/>
      <c r="J35" s="227"/>
    </row>
    <row r="36" spans="1:11" s="232" customFormat="1" ht="15" customHeight="1" x14ac:dyDescent="0.25">
      <c r="A36" s="262"/>
      <c r="B36" s="227"/>
      <c r="C36" s="227"/>
      <c r="D36" s="1698" t="s">
        <v>4269</v>
      </c>
      <c r="E36" s="227"/>
      <c r="F36" s="3181" t="s">
        <v>156</v>
      </c>
      <c r="G36" s="3181"/>
      <c r="H36" s="3181"/>
      <c r="I36" s="227"/>
      <c r="J36" s="227"/>
    </row>
    <row r="37" spans="1:11" s="232" customFormat="1" ht="15" customHeight="1" thickBot="1" x14ac:dyDescent="0.25">
      <c r="A37" s="3178" t="s">
        <v>1201</v>
      </c>
      <c r="B37" s="3178"/>
      <c r="C37" s="227"/>
      <c r="D37" s="1699" t="s">
        <v>1156</v>
      </c>
      <c r="E37" s="227"/>
      <c r="F37" s="1700" t="s">
        <v>1097</v>
      </c>
      <c r="G37" s="227"/>
      <c r="H37" s="1700" t="s">
        <v>1202</v>
      </c>
      <c r="I37" s="1697"/>
      <c r="J37" s="1699" t="s">
        <v>980</v>
      </c>
      <c r="K37" s="227"/>
    </row>
    <row r="38" spans="1:11" s="232" customFormat="1" ht="15" customHeight="1" x14ac:dyDescent="0.25">
      <c r="A38" s="3179"/>
      <c r="B38" s="3179"/>
      <c r="C38" s="236"/>
      <c r="D38" s="1701"/>
      <c r="E38" s="1702"/>
      <c r="F38" s="1703"/>
      <c r="G38" s="1702"/>
      <c r="H38" s="1704"/>
      <c r="I38" s="1702"/>
      <c r="J38" s="1705"/>
      <c r="K38" s="227"/>
    </row>
    <row r="39" spans="1:11" s="232" customFormat="1" ht="15" customHeight="1" x14ac:dyDescent="0.25">
      <c r="A39" s="3175"/>
      <c r="B39" s="3175"/>
      <c r="C39" s="236"/>
      <c r="D39" s="1701"/>
      <c r="E39" s="1702"/>
      <c r="F39" s="1706"/>
      <c r="G39" s="1702"/>
      <c r="H39" s="1707"/>
      <c r="I39" s="1702"/>
      <c r="J39" s="1708"/>
      <c r="K39" s="227"/>
    </row>
    <row r="40" spans="1:11" s="232" customFormat="1" ht="15" customHeight="1" x14ac:dyDescent="0.25">
      <c r="A40" s="3175"/>
      <c r="B40" s="3176"/>
      <c r="C40" s="236"/>
      <c r="D40" s="1701"/>
      <c r="E40" s="1702"/>
      <c r="F40" s="1706"/>
      <c r="G40" s="1702"/>
      <c r="H40" s="1704"/>
      <c r="I40" s="1702"/>
      <c r="J40" s="1708"/>
      <c r="K40" s="227"/>
    </row>
    <row r="41" spans="1:11" s="232" customFormat="1" ht="15" customHeight="1" x14ac:dyDescent="0.25">
      <c r="A41" s="3175"/>
      <c r="B41" s="3176"/>
      <c r="C41" s="236"/>
      <c r="D41" s="1701"/>
      <c r="E41" s="1702"/>
      <c r="F41" s="1706"/>
      <c r="G41" s="1702"/>
      <c r="H41" s="1704"/>
      <c r="I41" s="1702"/>
      <c r="J41" s="1708"/>
      <c r="K41" s="227"/>
    </row>
    <row r="42" spans="1:11" s="232" customFormat="1" ht="15" customHeight="1" x14ac:dyDescent="0.25">
      <c r="A42" s="3175"/>
      <c r="B42" s="3175"/>
      <c r="C42" s="236"/>
      <c r="D42" s="1701"/>
      <c r="E42" s="1702"/>
      <c r="F42" s="1706"/>
      <c r="G42" s="1702"/>
      <c r="H42" s="1704"/>
      <c r="I42" s="1702"/>
      <c r="J42" s="1708"/>
      <c r="K42" s="227"/>
    </row>
    <row r="43" spans="1:11" s="232" customFormat="1" ht="15" customHeight="1" x14ac:dyDescent="0.25">
      <c r="A43" s="3175"/>
      <c r="B43" s="3175"/>
      <c r="C43" s="236"/>
      <c r="D43" s="1701"/>
      <c r="E43" s="1702"/>
      <c r="F43" s="1706"/>
      <c r="G43" s="1702"/>
      <c r="H43" s="1704"/>
      <c r="I43" s="1702"/>
      <c r="J43" s="1708"/>
      <c r="K43" s="227"/>
    </row>
    <row r="44" spans="1:11" s="232" customFormat="1" ht="15" customHeight="1" x14ac:dyDescent="0.25">
      <c r="A44" s="3175"/>
      <c r="B44" s="3175"/>
      <c r="C44" s="236"/>
      <c r="D44" s="1701"/>
      <c r="E44" s="1702"/>
      <c r="F44" s="1706"/>
      <c r="G44" s="1702"/>
      <c r="H44" s="1704"/>
      <c r="I44" s="1702"/>
      <c r="J44" s="1708"/>
      <c r="K44" s="227"/>
    </row>
    <row r="45" spans="1:11" s="232" customFormat="1" ht="15" customHeight="1" x14ac:dyDescent="0.25">
      <c r="A45" s="3175"/>
      <c r="B45" s="3175"/>
      <c r="C45" s="236"/>
      <c r="D45" s="1701"/>
      <c r="E45" s="1702"/>
      <c r="F45" s="1706"/>
      <c r="G45" s="1702"/>
      <c r="H45" s="1704"/>
      <c r="I45" s="1702"/>
      <c r="J45" s="1708"/>
      <c r="K45" s="227"/>
    </row>
    <row r="46" spans="1:11" s="232" customFormat="1" ht="15" customHeight="1" x14ac:dyDescent="0.2">
      <c r="A46" s="1710"/>
      <c r="B46" s="265"/>
      <c r="C46" s="236"/>
      <c r="D46" s="1718"/>
      <c r="E46" s="236"/>
      <c r="F46" s="234" t="s">
        <v>4790</v>
      </c>
      <c r="G46" s="236"/>
      <c r="H46" s="236"/>
      <c r="I46" s="236"/>
      <c r="J46" s="1712"/>
      <c r="K46" s="227"/>
    </row>
    <row r="47" spans="1:11" s="232" customFormat="1" ht="15" customHeight="1" thickBot="1" x14ac:dyDescent="0.25">
      <c r="A47" s="235"/>
      <c r="B47" s="1713" t="s">
        <v>84</v>
      </c>
      <c r="C47" s="227"/>
      <c r="D47" s="1843">
        <f>SUM(D38:D45)</f>
        <v>0</v>
      </c>
      <c r="E47" s="227"/>
      <c r="F47" s="234" t="s">
        <v>4930</v>
      </c>
      <c r="G47" s="227"/>
      <c r="H47" s="227"/>
      <c r="I47" s="227"/>
      <c r="J47" s="227"/>
      <c r="K47" s="227"/>
    </row>
    <row r="48" spans="1:11" x14ac:dyDescent="0.2">
      <c r="A48" s="234"/>
      <c r="D48" s="235"/>
      <c r="F48" s="234" t="s">
        <v>4793</v>
      </c>
      <c r="H48" s="235"/>
    </row>
    <row r="49" spans="1:10" s="232" customFormat="1" ht="12" customHeight="1" x14ac:dyDescent="0.2">
      <c r="A49" s="234"/>
      <c r="B49" s="233"/>
      <c r="C49" s="233"/>
      <c r="D49" s="233"/>
      <c r="E49" s="233"/>
      <c r="F49" s="233"/>
      <c r="G49" s="233"/>
      <c r="H49" s="233"/>
      <c r="I49" s="233"/>
      <c r="J49" s="233"/>
    </row>
    <row r="50" spans="1:10" s="236" customFormat="1" ht="12" x14ac:dyDescent="0.2"/>
    <row r="51" spans="1:10" s="236" customFormat="1" ht="12" x14ac:dyDescent="0.2"/>
    <row r="52" spans="1:10" s="236" customFormat="1" ht="12" x14ac:dyDescent="0.2"/>
    <row r="53" spans="1:10" s="236" customFormat="1" ht="12" x14ac:dyDescent="0.2"/>
    <row r="54" spans="1:10" s="236" customFormat="1" ht="12" x14ac:dyDescent="0.2"/>
    <row r="55" spans="1:10" s="236" customFormat="1" ht="12" x14ac:dyDescent="0.2"/>
    <row r="56" spans="1:10" s="236" customFormat="1" ht="12" x14ac:dyDescent="0.2"/>
    <row r="57" spans="1:10" s="236" customFormat="1" ht="12" x14ac:dyDescent="0.2"/>
    <row r="58" spans="1:10" s="236" customFormat="1" ht="12" x14ac:dyDescent="0.2"/>
    <row r="59" spans="1:10" s="236" customFormat="1" ht="12" x14ac:dyDescent="0.2"/>
    <row r="60" spans="1:10" s="236" customFormat="1" ht="12" x14ac:dyDescent="0.2"/>
    <row r="61" spans="1:10" s="236" customFormat="1" ht="12" x14ac:dyDescent="0.2"/>
    <row r="62" spans="1:10" s="236" customFormat="1" ht="12" x14ac:dyDescent="0.2"/>
    <row r="63" spans="1:10" s="236" customFormat="1" ht="12" x14ac:dyDescent="0.2"/>
    <row r="64" spans="1:10" s="236" customFormat="1" ht="12" x14ac:dyDescent="0.2"/>
    <row r="65" s="236" customFormat="1" ht="12" x14ac:dyDescent="0.2"/>
    <row r="66" s="236" customFormat="1" ht="12" x14ac:dyDescent="0.2"/>
    <row r="67" s="236" customFormat="1" ht="12" x14ac:dyDescent="0.2"/>
    <row r="68" s="236" customFormat="1" ht="12" x14ac:dyDescent="0.2"/>
    <row r="69" s="236" customFormat="1" ht="12" x14ac:dyDescent="0.2"/>
    <row r="70" s="236" customFormat="1" ht="12" x14ac:dyDescent="0.2"/>
    <row r="71" s="236" customFormat="1" ht="12" x14ac:dyDescent="0.2"/>
    <row r="72" s="236" customFormat="1" ht="12" x14ac:dyDescent="0.2"/>
    <row r="73" s="236" customFormat="1" ht="12" x14ac:dyDescent="0.2"/>
    <row r="74" s="236" customFormat="1" ht="12" x14ac:dyDescent="0.2"/>
  </sheetData>
  <sheetProtection algorithmName="SHA-512" hashValue="XZDJFEs4cPtOznkPQUburDmhO6ZW5wraioyAugTdD+zTqJAJIesJ6bWjckcSlwWkmeBobHl/br9L0KwLPTdI5w==" saltValue="VnBUJ32dgUyXMBYY4JxiPg==" spinCount="100000" sheet="1" objects="1" scenarios="1" autoFilter="0"/>
  <mergeCells count="27">
    <mergeCell ref="G6:J6"/>
    <mergeCell ref="A1:J1"/>
    <mergeCell ref="A2:J2"/>
    <mergeCell ref="A3:J3"/>
    <mergeCell ref="A4:J4"/>
    <mergeCell ref="A43:B43"/>
    <mergeCell ref="A44:B44"/>
    <mergeCell ref="A45:B45"/>
    <mergeCell ref="B7:E7"/>
    <mergeCell ref="G7:J7"/>
    <mergeCell ref="F36:H36"/>
    <mergeCell ref="F19:H19"/>
    <mergeCell ref="A20:B20"/>
    <mergeCell ref="A21:B21"/>
    <mergeCell ref="A22:B22"/>
    <mergeCell ref="A23:B23"/>
    <mergeCell ref="A42:B42"/>
    <mergeCell ref="A24:B24"/>
    <mergeCell ref="A25:B25"/>
    <mergeCell ref="A26:B26"/>
    <mergeCell ref="A27:B27"/>
    <mergeCell ref="A41:B41"/>
    <mergeCell ref="A28:B28"/>
    <mergeCell ref="A37:B37"/>
    <mergeCell ref="A38:B38"/>
    <mergeCell ref="A39:B39"/>
    <mergeCell ref="A40:B40"/>
  </mergeCells>
  <conditionalFormatting sqref="K1:K3">
    <cfRule type="cellIs" dxfId="41" priority="1" stopIfTrue="1" operator="equal">
      <formula>"na"</formula>
    </cfRule>
  </conditionalFormatting>
  <hyperlinks>
    <hyperlink ref="A1" location="Index!A1" display="Index!A1" xr:uid="{00000000-0004-0000-3800-000000000000}"/>
  </hyperlinks>
  <printOptions horizontalCentered="1"/>
  <pageMargins left="0.5" right="0.5" top="0.5" bottom="0.5" header="0.5" footer="0.4"/>
  <pageSetup scale="96" fitToHeight="0" orientation="portrait" r:id="rId1"/>
  <headerFooter alignWithMargins="0">
    <oddFooter>&amp;R&amp;"MS Sans Serif,Regular"&amp;A</oddFooter>
  </headerFooter>
  <ignoredErrors>
    <ignoredError sqref="D36 D19" numberStoredAsText="1"/>
    <ignoredError sqref="G7 B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U42"/>
  <sheetViews>
    <sheetView showGridLines="0" zoomScaleNormal="100" workbookViewId="0">
      <selection activeCell="A16" sqref="A16:H16"/>
    </sheetView>
  </sheetViews>
  <sheetFormatPr defaultColWidth="8" defaultRowHeight="12.75" x14ac:dyDescent="0.2"/>
  <cols>
    <col min="1" max="1" width="8.5703125" style="577" customWidth="1"/>
    <col min="2" max="2" width="4.5703125" style="577" customWidth="1"/>
    <col min="3" max="3" width="8.5703125" style="577" customWidth="1"/>
    <col min="4" max="7" width="4.5703125" style="577" customWidth="1"/>
    <col min="8" max="8" width="2.5703125" style="577" customWidth="1"/>
    <col min="9" max="9" width="1.5703125" style="577" customWidth="1"/>
    <col min="10" max="10" width="7.5703125" style="577" customWidth="1"/>
    <col min="11" max="11" width="1.5703125" style="577" customWidth="1"/>
    <col min="12" max="12" width="14.42578125" style="577" customWidth="1"/>
    <col min="13" max="13" width="1.5703125" style="577" customWidth="1"/>
    <col min="14" max="14" width="13.42578125" style="577" customWidth="1"/>
    <col min="15" max="15" width="1.5703125" style="577" customWidth="1"/>
    <col min="16" max="16" width="15.42578125" style="577" customWidth="1"/>
    <col min="17" max="17" width="1.5703125" style="577" customWidth="1"/>
    <col min="18" max="18" width="13.42578125" style="577" customWidth="1"/>
    <col min="19" max="19" width="1.5703125" style="577" customWidth="1"/>
    <col min="20" max="20" width="14.42578125" style="577" customWidth="1"/>
    <col min="21" max="21" width="4.5703125" style="577" customWidth="1"/>
    <col min="22" max="216" width="14.42578125" style="577" customWidth="1"/>
    <col min="217" max="16384" width="8" style="577"/>
  </cols>
  <sheetData>
    <row r="1" spans="1:21" s="576" customFormat="1" ht="15" customHeight="1" x14ac:dyDescent="0.25">
      <c r="A1" s="2800" t="str">
        <f>+Index!$A$1</f>
        <v xml:space="preserve">                                                               Office of the State Controller                                                                </v>
      </c>
      <c r="B1" s="2800"/>
      <c r="C1" s="2800"/>
      <c r="D1" s="2800"/>
      <c r="E1" s="2800"/>
      <c r="F1" s="2800"/>
      <c r="G1" s="2800"/>
      <c r="H1" s="2800"/>
      <c r="I1" s="2800"/>
      <c r="J1" s="2800"/>
      <c r="K1" s="2800"/>
      <c r="L1" s="2800"/>
      <c r="M1" s="2800"/>
      <c r="N1" s="2800"/>
      <c r="O1" s="2800"/>
      <c r="P1" s="2800"/>
      <c r="Q1" s="2800"/>
      <c r="R1" s="2800"/>
      <c r="S1" s="2800"/>
      <c r="T1" s="2800"/>
      <c r="U1" s="2829" t="str">
        <f>IF(Index!$B$83="na","NA","")</f>
        <v/>
      </c>
    </row>
    <row r="2" spans="1:21" s="576" customFormat="1" ht="15" customHeight="1" x14ac:dyDescent="0.25">
      <c r="A2" s="3186" t="str">
        <f>+Index!$A$2</f>
        <v>2022 ACFR Worksheets</v>
      </c>
      <c r="B2" s="3186"/>
      <c r="C2" s="3186"/>
      <c r="D2" s="3186"/>
      <c r="E2" s="3186"/>
      <c r="F2" s="3186"/>
      <c r="G2" s="3186"/>
      <c r="H2" s="3186"/>
      <c r="I2" s="3186"/>
      <c r="J2" s="3186"/>
      <c r="K2" s="3186"/>
      <c r="L2" s="3186"/>
      <c r="M2" s="3186"/>
      <c r="N2" s="3186"/>
      <c r="O2" s="3186"/>
      <c r="P2" s="3186"/>
      <c r="Q2" s="3186"/>
      <c r="R2" s="3186"/>
      <c r="S2" s="3186"/>
      <c r="T2" s="3186"/>
      <c r="U2" s="2829"/>
    </row>
    <row r="3" spans="1:21" s="576" customFormat="1" ht="15" customHeight="1" x14ac:dyDescent="0.25">
      <c r="A3" s="3186" t="s">
        <v>3596</v>
      </c>
      <c r="B3" s="3186"/>
      <c r="C3" s="3186"/>
      <c r="D3" s="3186"/>
      <c r="E3" s="3186"/>
      <c r="F3" s="3186"/>
      <c r="G3" s="3186"/>
      <c r="H3" s="3186"/>
      <c r="I3" s="3186"/>
      <c r="J3" s="3186"/>
      <c r="K3" s="3186"/>
      <c r="L3" s="3186"/>
      <c r="M3" s="3186"/>
      <c r="N3" s="3186"/>
      <c r="O3" s="3186"/>
      <c r="P3" s="3186"/>
      <c r="Q3" s="3186"/>
      <c r="R3" s="3186"/>
      <c r="S3" s="3186"/>
      <c r="T3" s="3186"/>
      <c r="U3" s="2829"/>
    </row>
    <row r="4" spans="1:21" ht="15" customHeight="1" x14ac:dyDescent="0.2">
      <c r="A4" s="2616" t="s">
        <v>4981</v>
      </c>
      <c r="C4" s="2394" t="s">
        <v>4982</v>
      </c>
      <c r="P4" s="578" t="s">
        <v>398</v>
      </c>
    </row>
    <row r="5" spans="1:21" s="579" customFormat="1" ht="15" customHeight="1" x14ac:dyDescent="0.2">
      <c r="A5" s="580" t="s">
        <v>327</v>
      </c>
      <c r="B5" s="581"/>
      <c r="C5" s="581"/>
      <c r="D5" s="3188" t="str">
        <f>+Index!$E$10</f>
        <v>01</v>
      </c>
      <c r="E5" s="3188"/>
      <c r="F5" s="581"/>
      <c r="G5" s="581"/>
      <c r="H5" s="581"/>
      <c r="I5" s="582"/>
      <c r="J5" s="582"/>
      <c r="O5" s="583" t="s">
        <v>972</v>
      </c>
      <c r="P5" s="3185" t="str">
        <f>CONCATENATE(Index!$E$12," ",Index!$E$14)</f>
        <v xml:space="preserve"> </v>
      </c>
      <c r="Q5" s="3185"/>
      <c r="R5" s="3185"/>
      <c r="S5" s="3185"/>
      <c r="T5" s="3185"/>
    </row>
    <row r="6" spans="1:21" s="579" customFormat="1" ht="15" customHeight="1" x14ac:dyDescent="0.2">
      <c r="A6" s="580" t="s">
        <v>1154</v>
      </c>
      <c r="B6" s="584"/>
      <c r="C6" s="584"/>
      <c r="D6" s="3187" t="str">
        <f>+Index!$E$11</f>
        <v>North Carolina General Assembly</v>
      </c>
      <c r="E6" s="3187"/>
      <c r="F6" s="3187"/>
      <c r="G6" s="3187"/>
      <c r="H6" s="3187"/>
      <c r="I6" s="3187"/>
      <c r="J6" s="3187"/>
      <c r="K6" s="3187"/>
      <c r="L6" s="3187"/>
      <c r="O6" s="583" t="s">
        <v>348</v>
      </c>
      <c r="P6" s="3192">
        <f>+Index!$E$13</f>
        <v>0</v>
      </c>
      <c r="Q6" s="3192"/>
      <c r="R6" s="3192"/>
      <c r="S6" s="3192"/>
      <c r="T6" s="3192"/>
    </row>
    <row r="7" spans="1:21" s="579" customFormat="1" ht="15" customHeight="1" thickBot="1" x14ac:dyDescent="0.25">
      <c r="A7" s="585"/>
      <c r="B7" s="585"/>
      <c r="C7" s="585"/>
      <c r="D7" s="585"/>
      <c r="E7" s="585"/>
      <c r="F7" s="585"/>
      <c r="G7" s="585"/>
      <c r="H7" s="585"/>
      <c r="I7" s="585"/>
      <c r="J7" s="585"/>
      <c r="K7" s="585"/>
      <c r="L7" s="585"/>
      <c r="M7" s="585"/>
      <c r="N7" s="585"/>
      <c r="O7" s="585"/>
      <c r="P7" s="585"/>
      <c r="Q7" s="585"/>
      <c r="R7" s="585"/>
      <c r="S7" s="585"/>
      <c r="T7" s="585" t="s">
        <v>973</v>
      </c>
      <c r="U7" s="111"/>
    </row>
    <row r="8" spans="1:21" s="579" customFormat="1" ht="15" customHeight="1" x14ac:dyDescent="0.2">
      <c r="U8" s="111"/>
    </row>
    <row r="9" spans="1:21" s="579" customFormat="1" ht="15" customHeight="1" x14ac:dyDescent="0.2">
      <c r="A9" s="577" t="s">
        <v>3598</v>
      </c>
    </row>
    <row r="10" spans="1:21" s="579" customFormat="1" ht="15" customHeight="1" x14ac:dyDescent="0.2">
      <c r="L10" s="2617" t="s">
        <v>5605</v>
      </c>
      <c r="M10" s="2617"/>
      <c r="N10" s="2617" t="s">
        <v>5606</v>
      </c>
      <c r="O10" s="2615"/>
      <c r="P10" s="2617" t="s">
        <v>5607</v>
      </c>
      <c r="Q10" s="2617"/>
      <c r="R10" s="2617" t="s">
        <v>5608</v>
      </c>
      <c r="S10" s="2616"/>
      <c r="T10" s="2614"/>
    </row>
    <row r="11" spans="1:21" s="586" customFormat="1" ht="15" customHeight="1" x14ac:dyDescent="0.2">
      <c r="A11" s="587"/>
      <c r="B11" s="588"/>
      <c r="C11" s="588"/>
      <c r="D11" s="588"/>
      <c r="E11" s="588"/>
      <c r="F11" s="588"/>
      <c r="G11" s="588"/>
      <c r="H11" s="589"/>
      <c r="J11" s="590"/>
      <c r="L11" s="590"/>
      <c r="N11" s="590" t="s">
        <v>973</v>
      </c>
      <c r="P11" s="590" t="s">
        <v>224</v>
      </c>
      <c r="R11" s="590"/>
      <c r="T11" s="590"/>
      <c r="U11" s="579"/>
    </row>
    <row r="12" spans="1:21" s="586" customFormat="1" ht="15" customHeight="1" x14ac:dyDescent="0.2">
      <c r="A12" s="591"/>
      <c r="H12" s="592"/>
      <c r="J12" s="593"/>
      <c r="L12" s="593" t="s">
        <v>225</v>
      </c>
      <c r="N12" s="593" t="s">
        <v>1057</v>
      </c>
      <c r="P12" s="593" t="s">
        <v>3722</v>
      </c>
      <c r="R12" s="593" t="s">
        <v>226</v>
      </c>
      <c r="T12" s="593"/>
      <c r="U12" s="579"/>
    </row>
    <row r="13" spans="1:21" s="586" customFormat="1" ht="15" customHeight="1" x14ac:dyDescent="0.2">
      <c r="A13" s="591"/>
      <c r="H13" s="592"/>
      <c r="J13" s="593" t="s">
        <v>1157</v>
      </c>
      <c r="L13" s="593" t="s">
        <v>1160</v>
      </c>
      <c r="N13" s="593" t="s">
        <v>3725</v>
      </c>
      <c r="P13" s="593" t="s">
        <v>3723</v>
      </c>
      <c r="R13" s="593" t="s">
        <v>227</v>
      </c>
      <c r="T13" s="593" t="s">
        <v>1160</v>
      </c>
      <c r="U13" s="579"/>
    </row>
    <row r="14" spans="1:21" s="586" customFormat="1" ht="15" customHeight="1" x14ac:dyDescent="0.2">
      <c r="A14" s="3189" t="s">
        <v>228</v>
      </c>
      <c r="B14" s="3190"/>
      <c r="C14" s="3190"/>
      <c r="D14" s="3190"/>
      <c r="E14" s="3190"/>
      <c r="F14" s="3190"/>
      <c r="G14" s="3190"/>
      <c r="H14" s="3191"/>
      <c r="J14" s="594" t="s">
        <v>685</v>
      </c>
      <c r="L14" s="594" t="str">
        <f>+TEXT(Data!$A$3,"mmmm d, yyyy")</f>
        <v>July 1, 2021</v>
      </c>
      <c r="N14" s="594" t="s">
        <v>229</v>
      </c>
      <c r="P14" s="594" t="s">
        <v>3724</v>
      </c>
      <c r="R14" s="594" t="s">
        <v>231</v>
      </c>
      <c r="T14" s="594" t="str">
        <f>+TEXT(Data!$A$2,"mmmm d, yyyy")</f>
        <v>June 30, 2022</v>
      </c>
      <c r="U14" s="579"/>
    </row>
    <row r="15" spans="1:21" s="579" customFormat="1" ht="15" customHeight="1" x14ac:dyDescent="0.2">
      <c r="A15" s="3184" t="s">
        <v>5611</v>
      </c>
      <c r="B15" s="3184"/>
      <c r="C15" s="3184"/>
      <c r="D15" s="3184"/>
      <c r="E15" s="3184"/>
      <c r="F15" s="3184"/>
      <c r="G15" s="3184"/>
      <c r="H15" s="3184"/>
      <c r="I15" s="111"/>
      <c r="J15" s="524"/>
      <c r="L15" s="602"/>
      <c r="M15" s="596"/>
      <c r="N15" s="602"/>
      <c r="O15" s="596"/>
      <c r="P15" s="602"/>
      <c r="Q15" s="596"/>
      <c r="R15" s="602"/>
      <c r="S15" s="596"/>
      <c r="T15" s="595">
        <f t="shared" ref="T15:T27" si="0">L15+N15-P15-R15</f>
        <v>0</v>
      </c>
    </row>
    <row r="16" spans="1:21" s="579" customFormat="1" ht="15" customHeight="1" x14ac:dyDescent="0.2">
      <c r="A16" s="3184" t="s">
        <v>5611</v>
      </c>
      <c r="B16" s="3184"/>
      <c r="C16" s="3184"/>
      <c r="D16" s="3184"/>
      <c r="E16" s="3184"/>
      <c r="F16" s="3184"/>
      <c r="G16" s="3184"/>
      <c r="H16" s="3184"/>
      <c r="I16" s="111"/>
      <c r="J16" s="601"/>
      <c r="L16" s="602"/>
      <c r="M16" s="596"/>
      <c r="N16" s="602"/>
      <c r="O16" s="596"/>
      <c r="P16" s="602"/>
      <c r="Q16" s="596"/>
      <c r="R16" s="602"/>
      <c r="S16" s="596"/>
      <c r="T16" s="595">
        <f t="shared" si="0"/>
        <v>0</v>
      </c>
    </row>
    <row r="17" spans="1:20" s="579" customFormat="1" ht="15" customHeight="1" x14ac:dyDescent="0.2">
      <c r="A17" s="3184"/>
      <c r="B17" s="3184"/>
      <c r="C17" s="3184"/>
      <c r="D17" s="3184"/>
      <c r="E17" s="3184"/>
      <c r="F17" s="3184"/>
      <c r="G17" s="3184"/>
      <c r="H17" s="3184"/>
      <c r="I17" s="111"/>
      <c r="J17" s="601"/>
      <c r="L17" s="602">
        <v>0</v>
      </c>
      <c r="M17" s="596"/>
      <c r="N17" s="602">
        <v>0</v>
      </c>
      <c r="O17" s="596"/>
      <c r="P17" s="602">
        <v>0</v>
      </c>
      <c r="Q17" s="596"/>
      <c r="R17" s="602">
        <v>0</v>
      </c>
      <c r="S17" s="596"/>
      <c r="T17" s="595">
        <f t="shared" si="0"/>
        <v>0</v>
      </c>
    </row>
    <row r="18" spans="1:20" s="579" customFormat="1" ht="15" customHeight="1" x14ac:dyDescent="0.2">
      <c r="A18" s="3184"/>
      <c r="B18" s="3184"/>
      <c r="C18" s="3184"/>
      <c r="D18" s="3184"/>
      <c r="E18" s="3184"/>
      <c r="F18" s="3184"/>
      <c r="G18" s="3184"/>
      <c r="H18" s="3184"/>
      <c r="I18" s="111"/>
      <c r="J18" s="601"/>
      <c r="L18" s="602"/>
      <c r="M18" s="596"/>
      <c r="N18" s="602">
        <v>0</v>
      </c>
      <c r="O18" s="596"/>
      <c r="P18" s="602">
        <v>0</v>
      </c>
      <c r="Q18" s="596"/>
      <c r="R18" s="602">
        <v>0</v>
      </c>
      <c r="S18" s="596"/>
      <c r="T18" s="595">
        <f t="shared" si="0"/>
        <v>0</v>
      </c>
    </row>
    <row r="19" spans="1:20" s="579" customFormat="1" ht="15" customHeight="1" x14ac:dyDescent="0.2">
      <c r="A19" s="3184"/>
      <c r="B19" s="3184"/>
      <c r="C19" s="3184"/>
      <c r="D19" s="3184"/>
      <c r="E19" s="3184"/>
      <c r="F19" s="3184"/>
      <c r="G19" s="3184"/>
      <c r="H19" s="3184"/>
      <c r="I19" s="111"/>
      <c r="J19" s="601"/>
      <c r="L19" s="602">
        <v>0</v>
      </c>
      <c r="M19" s="596"/>
      <c r="N19" s="602">
        <v>0</v>
      </c>
      <c r="O19" s="596"/>
      <c r="P19" s="602">
        <v>0</v>
      </c>
      <c r="Q19" s="596"/>
      <c r="R19" s="602">
        <v>0</v>
      </c>
      <c r="S19" s="596"/>
      <c r="T19" s="595">
        <f t="shared" si="0"/>
        <v>0</v>
      </c>
    </row>
    <row r="20" spans="1:20" s="579" customFormat="1" ht="15" customHeight="1" x14ac:dyDescent="0.2">
      <c r="A20" s="3184"/>
      <c r="B20" s="3184"/>
      <c r="C20" s="3184"/>
      <c r="D20" s="3184"/>
      <c r="E20" s="3184"/>
      <c r="F20" s="3184"/>
      <c r="G20" s="3184"/>
      <c r="H20" s="3184"/>
      <c r="I20" s="111"/>
      <c r="J20" s="601"/>
      <c r="L20" s="602">
        <v>0</v>
      </c>
      <c r="M20" s="596"/>
      <c r="N20" s="602">
        <v>0</v>
      </c>
      <c r="O20" s="596"/>
      <c r="P20" s="602">
        <v>0</v>
      </c>
      <c r="Q20" s="596"/>
      <c r="R20" s="602">
        <v>0</v>
      </c>
      <c r="S20" s="596"/>
      <c r="T20" s="595">
        <f t="shared" si="0"/>
        <v>0</v>
      </c>
    </row>
    <row r="21" spans="1:20" s="579" customFormat="1" ht="15" customHeight="1" x14ac:dyDescent="0.2">
      <c r="A21" s="3184"/>
      <c r="B21" s="3184"/>
      <c r="C21" s="3184"/>
      <c r="D21" s="3184"/>
      <c r="E21" s="3184"/>
      <c r="F21" s="3184"/>
      <c r="G21" s="3184"/>
      <c r="H21" s="3184"/>
      <c r="I21" s="111"/>
      <c r="J21" s="601"/>
      <c r="L21" s="602">
        <v>0</v>
      </c>
      <c r="M21" s="596"/>
      <c r="N21" s="602">
        <v>0</v>
      </c>
      <c r="O21" s="596"/>
      <c r="P21" s="602">
        <v>0</v>
      </c>
      <c r="Q21" s="596"/>
      <c r="R21" s="602">
        <v>0</v>
      </c>
      <c r="S21" s="596"/>
      <c r="T21" s="595">
        <f t="shared" si="0"/>
        <v>0</v>
      </c>
    </row>
    <row r="22" spans="1:20" s="579" customFormat="1" ht="15" customHeight="1" x14ac:dyDescent="0.2">
      <c r="A22" s="3184"/>
      <c r="B22" s="3184"/>
      <c r="C22" s="3184"/>
      <c r="D22" s="3184"/>
      <c r="E22" s="3184"/>
      <c r="F22" s="3184"/>
      <c r="G22" s="3184"/>
      <c r="H22" s="3184"/>
      <c r="I22" s="111"/>
      <c r="J22" s="601"/>
      <c r="L22" s="602"/>
      <c r="M22" s="596"/>
      <c r="N22" s="602"/>
      <c r="O22" s="596"/>
      <c r="P22" s="602"/>
      <c r="Q22" s="596"/>
      <c r="R22" s="602"/>
      <c r="S22" s="596"/>
      <c r="T22" s="595">
        <f t="shared" si="0"/>
        <v>0</v>
      </c>
    </row>
    <row r="23" spans="1:20" s="579" customFormat="1" ht="15" customHeight="1" x14ac:dyDescent="0.2">
      <c r="A23" s="3184"/>
      <c r="B23" s="3184"/>
      <c r="C23" s="3184"/>
      <c r="D23" s="3184"/>
      <c r="E23" s="3184"/>
      <c r="F23" s="3184"/>
      <c r="G23" s="3184"/>
      <c r="H23" s="3184"/>
      <c r="I23" s="111"/>
      <c r="J23" s="601"/>
      <c r="L23" s="602">
        <v>0</v>
      </c>
      <c r="M23" s="596"/>
      <c r="N23" s="602">
        <v>0</v>
      </c>
      <c r="O23" s="596"/>
      <c r="P23" s="602">
        <v>0</v>
      </c>
      <c r="Q23" s="596"/>
      <c r="R23" s="602">
        <v>0</v>
      </c>
      <c r="S23" s="596"/>
      <c r="T23" s="595">
        <f t="shared" si="0"/>
        <v>0</v>
      </c>
    </row>
    <row r="24" spans="1:20" s="579" customFormat="1" ht="15" customHeight="1" x14ac:dyDescent="0.2">
      <c r="A24" s="3184"/>
      <c r="B24" s="3184"/>
      <c r="C24" s="3184"/>
      <c r="D24" s="3184"/>
      <c r="E24" s="3184"/>
      <c r="F24" s="3184"/>
      <c r="G24" s="3184"/>
      <c r="H24" s="3184"/>
      <c r="I24" s="111"/>
      <c r="J24" s="601"/>
      <c r="L24" s="602">
        <v>0</v>
      </c>
      <c r="M24" s="596"/>
      <c r="N24" s="602">
        <v>0</v>
      </c>
      <c r="O24" s="596"/>
      <c r="P24" s="602">
        <v>0</v>
      </c>
      <c r="Q24" s="596"/>
      <c r="R24" s="602">
        <v>0</v>
      </c>
      <c r="S24" s="596"/>
      <c r="T24" s="595">
        <f t="shared" si="0"/>
        <v>0</v>
      </c>
    </row>
    <row r="25" spans="1:20" s="579" customFormat="1" ht="15" customHeight="1" x14ac:dyDescent="0.2">
      <c r="A25" s="3184"/>
      <c r="B25" s="3184"/>
      <c r="C25" s="3184"/>
      <c r="D25" s="3184"/>
      <c r="E25" s="3184"/>
      <c r="F25" s="3184"/>
      <c r="G25" s="3184"/>
      <c r="H25" s="3184"/>
      <c r="I25" s="111"/>
      <c r="J25" s="601"/>
      <c r="L25" s="602"/>
      <c r="M25" s="596"/>
      <c r="N25" s="602"/>
      <c r="O25" s="596"/>
      <c r="P25" s="602"/>
      <c r="Q25" s="596"/>
      <c r="R25" s="602"/>
      <c r="S25" s="596"/>
      <c r="T25" s="595">
        <f t="shared" si="0"/>
        <v>0</v>
      </c>
    </row>
    <row r="26" spans="1:20" s="579" customFormat="1" ht="15" customHeight="1" x14ac:dyDescent="0.2">
      <c r="A26" s="3184"/>
      <c r="B26" s="3184"/>
      <c r="C26" s="3184"/>
      <c r="D26" s="3184"/>
      <c r="E26" s="3184"/>
      <c r="F26" s="3184"/>
      <c r="G26" s="3184"/>
      <c r="H26" s="3184"/>
      <c r="I26" s="111"/>
      <c r="J26" s="601"/>
      <c r="L26" s="602">
        <v>0</v>
      </c>
      <c r="M26" s="596"/>
      <c r="N26" s="602">
        <v>0</v>
      </c>
      <c r="O26" s="596"/>
      <c r="P26" s="602">
        <v>0</v>
      </c>
      <c r="Q26" s="596"/>
      <c r="R26" s="602">
        <v>0</v>
      </c>
      <c r="S26" s="596"/>
      <c r="T26" s="595">
        <f t="shared" si="0"/>
        <v>0</v>
      </c>
    </row>
    <row r="27" spans="1:20" s="579" customFormat="1" ht="15" customHeight="1" x14ac:dyDescent="0.2">
      <c r="A27" s="3184"/>
      <c r="B27" s="3184"/>
      <c r="C27" s="3184"/>
      <c r="D27" s="3184"/>
      <c r="E27" s="3184"/>
      <c r="F27" s="3184"/>
      <c r="G27" s="3184"/>
      <c r="H27" s="3184"/>
      <c r="I27" s="111"/>
      <c r="J27" s="601"/>
      <c r="L27" s="602"/>
      <c r="M27" s="596"/>
      <c r="N27" s="602"/>
      <c r="O27" s="596"/>
      <c r="P27" s="602"/>
      <c r="Q27" s="596"/>
      <c r="R27" s="602"/>
      <c r="S27" s="596"/>
      <c r="T27" s="595">
        <f t="shared" si="0"/>
        <v>0</v>
      </c>
    </row>
    <row r="28" spans="1:20" s="111" customFormat="1" ht="15" customHeight="1" x14ac:dyDescent="0.2"/>
    <row r="29" spans="1:20" s="579" customFormat="1" ht="15" customHeight="1" thickBot="1" x14ac:dyDescent="0.25">
      <c r="A29" s="2"/>
      <c r="B29" s="2"/>
      <c r="C29" s="2"/>
      <c r="D29" s="2"/>
      <c r="E29" s="2"/>
      <c r="F29" s="2"/>
      <c r="G29" s="2"/>
      <c r="H29" s="2"/>
      <c r="I29" s="2"/>
      <c r="J29" s="2" t="s">
        <v>84</v>
      </c>
      <c r="L29" s="597">
        <f>SUM(L15:L28)</f>
        <v>0</v>
      </c>
      <c r="M29" s="596"/>
      <c r="N29" s="597">
        <f>SUM(N15:N28)</f>
        <v>0</v>
      </c>
      <c r="O29" s="596"/>
      <c r="P29" s="597">
        <f>SUM(P15:P28)</f>
        <v>0</v>
      </c>
      <c r="Q29" s="596"/>
      <c r="R29" s="597">
        <f>SUM(R15:R28)</f>
        <v>0</v>
      </c>
      <c r="S29" s="596"/>
      <c r="T29" s="597">
        <f>SUM(T15:T28)</f>
        <v>0</v>
      </c>
    </row>
    <row r="30" spans="1:20" s="579" customFormat="1" ht="15" customHeight="1" thickTop="1" x14ac:dyDescent="0.2">
      <c r="A30" s="598" t="s">
        <v>973</v>
      </c>
      <c r="B30" s="598"/>
      <c r="C30" s="598"/>
      <c r="D30" s="598"/>
      <c r="E30" s="598"/>
      <c r="F30" s="598"/>
      <c r="G30" s="598"/>
      <c r="H30" s="598"/>
      <c r="I30" s="598"/>
      <c r="J30" s="598"/>
      <c r="R30" s="581"/>
      <c r="T30" s="581" t="s">
        <v>4931</v>
      </c>
    </row>
    <row r="31" spans="1:20" s="579" customFormat="1" ht="15" customHeight="1" x14ac:dyDescent="0.2">
      <c r="A31" s="579" t="s">
        <v>232</v>
      </c>
      <c r="T31" s="599" t="str">
        <f>IF(L29+N29-P29-R29&lt;&gt;T29,"Verify Totals"," ")</f>
        <v xml:space="preserve"> </v>
      </c>
    </row>
    <row r="32" spans="1:20" s="579" customFormat="1" ht="15" customHeight="1" x14ac:dyDescent="0.2">
      <c r="A32" s="579" t="s">
        <v>233</v>
      </c>
    </row>
    <row r="33" spans="1:10" s="579" customFormat="1" ht="15" customHeight="1" x14ac:dyDescent="0.2">
      <c r="A33" s="1650" t="s">
        <v>4160</v>
      </c>
      <c r="B33" s="598"/>
      <c r="C33" s="598"/>
      <c r="D33" s="598"/>
      <c r="E33" s="598"/>
      <c r="F33" s="598"/>
      <c r="G33" s="598"/>
      <c r="H33" s="598"/>
      <c r="I33" s="598"/>
      <c r="J33" s="598"/>
    </row>
    <row r="34" spans="1:10" s="579" customFormat="1" ht="15" customHeight="1" x14ac:dyDescent="0.2">
      <c r="A34" s="577" t="s">
        <v>3726</v>
      </c>
    </row>
    <row r="35" spans="1:10" s="600"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vtXpQDc1LR47XDPzD4WjcNgA7ViYMvSNG+ziiZApy/UMUCgk9j7CLNUZXxLVXEwAT0NYtKloAsxGaZxVKWDiUA==" saltValue="9A6lp1Cjr9x9VoUZ/s5C5g==" spinCount="100000" sheet="1" objects="1" scenarios="1" autoFilter="0"/>
  <customSheetViews>
    <customSheetView guid="{B08879A4-635B-4C39-9937-AC7883D562FC}" showGridLines="0" fitToPage="1">
      <selection activeCell="B12" sqref="B12"/>
      <pageMargins left="0.5" right="0.5" top="0.75" bottom="0.5" header="0.5" footer="0.5"/>
      <printOptions horizontalCentered="1"/>
      <pageSetup pageOrder="overThenDown" orientation="landscape" r:id="rId1"/>
      <headerFooter alignWithMargins="0">
        <oddFooter>&amp;R&amp;A</oddFooter>
      </headerFooter>
    </customSheetView>
    <customSheetView guid="{1250FD07-FF56-4A9D-AF9E-C27124A7EBE9}" showGridLines="0" fitToPage="1" showRuler="0">
      <selection sqref="A1:T1"/>
      <pageMargins left="0.5" right="0.5" top="0.75" bottom="0.5" header="0.5" footer="0.5"/>
      <printOptions horizontalCentered="1"/>
      <pageSetup pageOrder="overThenDown" orientation="landscape" horizontalDpi="300" verticalDpi="300" r:id="rId2"/>
      <headerFooter alignWithMargins="0">
        <oddFooter>&amp;R&amp;A</oddFooter>
      </headerFooter>
    </customSheetView>
    <customSheetView guid="{BEA4BE86-04D1-4C96-9358-7A260B9D2B2D}" showGridLines="0" fitToPage="1" showRuler="0">
      <selection sqref="A1:T1"/>
      <pageMargins left="0.5" right="0.5" top="0.75" bottom="0.5" header="0.5" footer="0.5"/>
      <printOptions horizontalCentered="1"/>
      <pageSetup pageOrder="overThenDown" orientation="landscape" horizontalDpi="300" verticalDpi="300" r:id="rId3"/>
      <headerFooter alignWithMargins="0">
        <oddFooter>&amp;R&amp;A</oddFooter>
      </headerFooter>
    </customSheetView>
    <customSheetView guid="{9FCFC836-1CA5-48BF-958D-24D2EA94B219}" showGridLines="0" fitToPage="1">
      <selection activeCell="B12" sqref="B12"/>
      <pageMargins left="0.5" right="0.5" top="0.75" bottom="0.5" header="0.5" footer="0.5"/>
      <printOptions horizontalCentered="1"/>
      <pageSetup pageOrder="overThenDown" orientation="landscape" r:id="rId4"/>
      <headerFooter alignWithMargins="0">
        <oddFooter>&amp;R&amp;A</oddFooter>
      </headerFooter>
    </customSheetView>
  </customSheetViews>
  <mergeCells count="22">
    <mergeCell ref="U1:U3"/>
    <mergeCell ref="A20:H20"/>
    <mergeCell ref="A1:T1"/>
    <mergeCell ref="P5:T5"/>
    <mergeCell ref="A3:T3"/>
    <mergeCell ref="D6:L6"/>
    <mergeCell ref="A2:T2"/>
    <mergeCell ref="D5:E5"/>
    <mergeCell ref="A14:H14"/>
    <mergeCell ref="P6:T6"/>
    <mergeCell ref="A27:H27"/>
    <mergeCell ref="A22:H22"/>
    <mergeCell ref="A15:H15"/>
    <mergeCell ref="A16:H16"/>
    <mergeCell ref="A21:H21"/>
    <mergeCell ref="A17:H17"/>
    <mergeCell ref="A18:H18"/>
    <mergeCell ref="A25:H25"/>
    <mergeCell ref="A24:H24"/>
    <mergeCell ref="A26:H26"/>
    <mergeCell ref="A23:H23"/>
    <mergeCell ref="A19:H19"/>
  </mergeCells>
  <phoneticPr fontId="15" type="noConversion"/>
  <conditionalFormatting sqref="U1:U3">
    <cfRule type="cellIs" dxfId="40"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rintOptions horizontalCentered="1"/>
  <pageMargins left="0.5" right="0.5" top="0.75" bottom="0.5" header="0.5" footer="0.5"/>
  <pageSetup scale="96" pageOrder="overThenDown" orientation="landscape" r:id="rId5"/>
  <headerFooter alignWithMargins="0">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pageSetUpPr fitToPage="1"/>
  </sheetPr>
  <dimension ref="A1:W58"/>
  <sheetViews>
    <sheetView showGridLines="0" topLeftCell="B1" zoomScale="95" zoomScaleNormal="95" workbookViewId="0">
      <selection activeCell="Y21" sqref="Y21"/>
    </sheetView>
  </sheetViews>
  <sheetFormatPr defaultColWidth="16.5703125" defaultRowHeight="12.75" x14ac:dyDescent="0.2"/>
  <cols>
    <col min="1" max="1" width="0" style="59" hidden="1" customWidth="1"/>
    <col min="2" max="2" width="20.5703125" style="59" customWidth="1"/>
    <col min="3" max="3" width="0.5703125" style="59" customWidth="1"/>
    <col min="4" max="4" width="18" style="59" customWidth="1"/>
    <col min="5" max="5" width="0.5703125" style="59" customWidth="1"/>
    <col min="6" max="6" width="16" style="59" customWidth="1"/>
    <col min="7" max="7" width="0.5703125" style="59" customWidth="1"/>
    <col min="8" max="8" width="15.42578125" style="59" bestFit="1" customWidth="1"/>
    <col min="9" max="9" width="0.5703125" style="59" customWidth="1"/>
    <col min="10" max="10" width="10.5703125" style="59" bestFit="1" customWidth="1"/>
    <col min="11" max="11" width="0.5703125" style="59" customWidth="1"/>
    <col min="12" max="12" width="9" style="59" customWidth="1"/>
    <col min="13" max="13" width="1.5703125" style="59" customWidth="1"/>
    <col min="14" max="14" width="5.5703125" style="59" customWidth="1"/>
    <col min="15" max="15" width="1.5703125" style="59" customWidth="1"/>
    <col min="16" max="16" width="9.5703125" style="59" customWidth="1"/>
    <col min="17" max="17" width="1.5703125" style="59" customWidth="1"/>
    <col min="18" max="18" width="9.42578125" style="59" customWidth="1"/>
    <col min="19" max="21" width="1.5703125" style="59" customWidth="1"/>
    <col min="22" max="22" width="13.5703125" style="59" customWidth="1"/>
    <col min="23" max="23" width="4.5703125" style="59" customWidth="1"/>
    <col min="24" max="16384" width="16.5703125" style="59"/>
  </cols>
  <sheetData>
    <row r="1" spans="1:23" s="185" customFormat="1" ht="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767"/>
      <c r="T1" s="2767"/>
      <c r="U1" s="2767"/>
      <c r="V1" s="2767"/>
      <c r="W1" s="2829" t="str">
        <f>IF(Index!$B$84="na","NA","")</f>
        <v/>
      </c>
    </row>
    <row r="2" spans="1:23" s="185" customFormat="1" ht="15" customHeight="1" x14ac:dyDescent="0.25">
      <c r="B2" s="3200" t="str">
        <f>+Index!$A$2</f>
        <v>2022 ACFR Worksheets</v>
      </c>
      <c r="C2" s="3200"/>
      <c r="D2" s="3200"/>
      <c r="E2" s="3200"/>
      <c r="F2" s="3200"/>
      <c r="G2" s="3200"/>
      <c r="H2" s="3200"/>
      <c r="I2" s="3200"/>
      <c r="J2" s="3200"/>
      <c r="K2" s="3200"/>
      <c r="L2" s="3200"/>
      <c r="M2" s="3200"/>
      <c r="N2" s="3200"/>
      <c r="O2" s="3200"/>
      <c r="P2" s="3200"/>
      <c r="Q2" s="3200"/>
      <c r="R2" s="3200"/>
      <c r="S2" s="3200"/>
      <c r="T2" s="3200"/>
      <c r="U2" s="3200"/>
      <c r="V2" s="3200"/>
      <c r="W2" s="2829"/>
    </row>
    <row r="3" spans="1:23" s="185" customFormat="1" ht="15" customHeight="1" x14ac:dyDescent="0.25">
      <c r="B3" s="3200" t="s">
        <v>3473</v>
      </c>
      <c r="C3" s="3200"/>
      <c r="D3" s="3200"/>
      <c r="E3" s="3200"/>
      <c r="F3" s="3200"/>
      <c r="G3" s="3200"/>
      <c r="H3" s="3200"/>
      <c r="I3" s="3200"/>
      <c r="J3" s="3200"/>
      <c r="K3" s="3200"/>
      <c r="L3" s="3200"/>
      <c r="M3" s="3200"/>
      <c r="N3" s="3200"/>
      <c r="O3" s="3200"/>
      <c r="P3" s="3200"/>
      <c r="Q3" s="3200"/>
      <c r="R3" s="3200"/>
      <c r="S3" s="3200"/>
      <c r="T3" s="3200"/>
      <c r="U3" s="3200"/>
      <c r="V3" s="3200"/>
      <c r="W3" s="2829"/>
    </row>
    <row r="4" spans="1:23" s="188" customFormat="1" ht="15" customHeight="1" x14ac:dyDescent="0.2">
      <c r="B4" s="189"/>
      <c r="C4" s="189"/>
      <c r="D4" s="189"/>
      <c r="E4" s="189"/>
      <c r="F4" s="189"/>
      <c r="G4" s="189"/>
      <c r="H4" s="189"/>
      <c r="I4" s="189"/>
      <c r="J4" s="189"/>
      <c r="K4" s="189"/>
      <c r="L4" s="189"/>
      <c r="M4" s="189"/>
      <c r="N4" s="189"/>
      <c r="O4" s="189"/>
      <c r="P4" s="189"/>
      <c r="Q4" s="189"/>
      <c r="R4" s="189"/>
      <c r="S4" s="189"/>
      <c r="T4" s="189"/>
      <c r="U4" s="189"/>
    </row>
    <row r="5" spans="1:23" s="188" customFormat="1" ht="15" customHeight="1" x14ac:dyDescent="0.2">
      <c r="B5" s="190" t="s">
        <v>327</v>
      </c>
      <c r="C5" s="3197" t="str">
        <f>+Index!$E$10</f>
        <v>01</v>
      </c>
      <c r="D5" s="3197"/>
      <c r="E5" s="194"/>
      <c r="F5" s="194"/>
      <c r="G5" s="194"/>
      <c r="N5" s="191" t="s">
        <v>1154</v>
      </c>
      <c r="O5" s="3197" t="str">
        <f>+Index!$E$11</f>
        <v>North Carolina General Assembly</v>
      </c>
      <c r="P5" s="3197"/>
      <c r="Q5" s="3197"/>
      <c r="R5" s="3197"/>
      <c r="S5" s="3197"/>
      <c r="T5" s="3197"/>
      <c r="U5" s="3197"/>
      <c r="V5" s="3197"/>
    </row>
    <row r="6" spans="1:23" s="188" customFormat="1" ht="15" customHeight="1" x14ac:dyDescent="0.2">
      <c r="B6" s="190" t="s">
        <v>477</v>
      </c>
      <c r="C6" s="3198"/>
      <c r="D6" s="3198"/>
      <c r="N6" s="191" t="s">
        <v>972</v>
      </c>
      <c r="O6" s="3198" t="str">
        <f>CONCATENATE(Index!$E$12," ",Index!$E$14)</f>
        <v xml:space="preserve"> </v>
      </c>
      <c r="P6" s="3198"/>
      <c r="Q6" s="3198"/>
      <c r="R6" s="3198"/>
      <c r="S6" s="3198"/>
      <c r="T6" s="3198"/>
      <c r="U6" s="3198"/>
      <c r="V6" s="3198"/>
    </row>
    <row r="7" spans="1:23" s="188" customFormat="1" ht="15" customHeight="1" x14ac:dyDescent="0.2">
      <c r="B7" s="190" t="s">
        <v>599</v>
      </c>
      <c r="C7" s="3201"/>
      <c r="D7" s="3201"/>
      <c r="E7" s="3201"/>
      <c r="F7" s="3201"/>
      <c r="G7" s="3201"/>
      <c r="N7" s="191" t="s">
        <v>348</v>
      </c>
      <c r="O7" s="3199">
        <f>+Index!$E$13</f>
        <v>0</v>
      </c>
      <c r="P7" s="3199"/>
      <c r="Q7" s="3199"/>
      <c r="R7" s="3199"/>
      <c r="S7" s="3199"/>
      <c r="T7" s="3199"/>
      <c r="U7" s="3199"/>
      <c r="V7" s="3199"/>
    </row>
    <row r="8" spans="1:23" s="188" customFormat="1" ht="15" customHeight="1" thickBot="1" x14ac:dyDescent="0.25">
      <c r="B8" s="195"/>
      <c r="C8" s="196"/>
      <c r="D8" s="196"/>
      <c r="E8" s="196"/>
      <c r="F8" s="196"/>
      <c r="G8" s="196"/>
      <c r="H8" s="197"/>
      <c r="I8" s="197"/>
      <c r="J8" s="197"/>
      <c r="K8" s="197"/>
      <c r="L8" s="197"/>
      <c r="M8" s="197"/>
      <c r="N8" s="197"/>
      <c r="O8" s="197"/>
      <c r="P8" s="197"/>
      <c r="Q8" s="197"/>
      <c r="R8" s="197"/>
      <c r="S8" s="197"/>
      <c r="T8" s="197"/>
      <c r="U8" s="197"/>
      <c r="V8" s="197"/>
    </row>
    <row r="9" spans="1:23" s="188" customFormat="1" ht="15" customHeight="1" x14ac:dyDescent="0.2"/>
    <row r="10" spans="1:23" s="188" customFormat="1" ht="15" customHeight="1" x14ac:dyDescent="0.2"/>
    <row r="11" spans="1:23" s="188" customFormat="1" ht="15" customHeight="1" x14ac:dyDescent="0.2"/>
    <row r="12" spans="1:23" s="188" customFormat="1" ht="15" customHeight="1" x14ac:dyDescent="0.2"/>
    <row r="13" spans="1:23" s="188" customFormat="1" ht="15" customHeight="1" x14ac:dyDescent="0.2"/>
    <row r="14" spans="1:23" s="188" customFormat="1" ht="73.5" customHeight="1" x14ac:dyDescent="0.2"/>
    <row r="15" spans="1:23" s="188" customFormat="1" ht="22.5" customHeight="1" x14ac:dyDescent="0.2">
      <c r="B15" s="3202" t="s">
        <v>601</v>
      </c>
      <c r="C15" s="3202"/>
      <c r="D15" s="3202"/>
      <c r="E15" s="187"/>
      <c r="F15" s="186" t="s">
        <v>3472</v>
      </c>
      <c r="G15" s="187"/>
      <c r="H15" s="3205" t="s">
        <v>98</v>
      </c>
      <c r="I15" s="3205"/>
      <c r="J15" s="3205"/>
      <c r="K15" s="3205"/>
      <c r="L15" s="3205"/>
      <c r="M15" s="3205"/>
      <c r="N15" s="3205"/>
      <c r="O15" s="3205"/>
      <c r="P15" s="3205"/>
      <c r="Q15" s="3205"/>
      <c r="R15" s="3205"/>
      <c r="S15" s="3205"/>
      <c r="T15" s="3205"/>
      <c r="U15" s="3205"/>
      <c r="V15" s="3205"/>
    </row>
    <row r="16" spans="1:23" s="188" customFormat="1" ht="30" customHeight="1" x14ac:dyDescent="0.2">
      <c r="A16" s="3193"/>
      <c r="B16" s="3194"/>
      <c r="C16" s="3194"/>
      <c r="D16" s="3194"/>
      <c r="E16" s="192"/>
      <c r="F16" s="604"/>
      <c r="G16" s="192"/>
      <c r="H16" s="3195"/>
      <c r="I16" s="3195"/>
      <c r="J16" s="3195"/>
      <c r="K16" s="3195"/>
      <c r="L16" s="3195"/>
      <c r="M16" s="3195"/>
      <c r="N16" s="3195"/>
      <c r="O16" s="3195"/>
      <c r="P16" s="3195"/>
      <c r="Q16" s="3195"/>
      <c r="R16" s="3195"/>
      <c r="S16" s="3195"/>
      <c r="T16" s="3195"/>
      <c r="U16" s="3195"/>
      <c r="V16" s="3195"/>
    </row>
    <row r="17" spans="1:22" s="188" customFormat="1" ht="30.75" customHeight="1" x14ac:dyDescent="0.2">
      <c r="A17" s="3203"/>
      <c r="B17" s="3204"/>
      <c r="C17" s="3204"/>
      <c r="D17" s="3204"/>
      <c r="E17" s="192"/>
      <c r="F17" s="604"/>
      <c r="G17" s="192"/>
      <c r="H17" s="3195"/>
      <c r="I17" s="3195"/>
      <c r="J17" s="3195"/>
      <c r="K17" s="3195"/>
      <c r="L17" s="3195"/>
      <c r="M17" s="3195"/>
      <c r="N17" s="3195"/>
      <c r="O17" s="3195"/>
      <c r="P17" s="3195"/>
      <c r="Q17" s="3195"/>
      <c r="R17" s="3195"/>
      <c r="S17" s="3195"/>
      <c r="T17" s="3195"/>
      <c r="U17" s="3195"/>
      <c r="V17" s="3195"/>
    </row>
    <row r="18" spans="1:22" s="188" customFormat="1" ht="30.75" customHeight="1" x14ac:dyDescent="0.2">
      <c r="A18" s="3193"/>
      <c r="B18" s="3194"/>
      <c r="C18" s="3194"/>
      <c r="D18" s="3194"/>
      <c r="E18" s="192"/>
      <c r="F18" s="604"/>
      <c r="G18" s="192"/>
      <c r="H18" s="3195"/>
      <c r="I18" s="3195"/>
      <c r="J18" s="3195"/>
      <c r="K18" s="3195"/>
      <c r="L18" s="3195"/>
      <c r="M18" s="3195"/>
      <c r="N18" s="3195"/>
      <c r="O18" s="3195"/>
      <c r="P18" s="3195"/>
      <c r="Q18" s="3195"/>
      <c r="R18" s="3195"/>
      <c r="S18" s="3195"/>
      <c r="T18" s="3195"/>
      <c r="U18" s="3195"/>
      <c r="V18" s="3195"/>
    </row>
    <row r="19" spans="1:22" s="188" customFormat="1" ht="30.75" customHeight="1" x14ac:dyDescent="0.2">
      <c r="A19" s="3193"/>
      <c r="B19" s="3194"/>
      <c r="C19" s="3194"/>
      <c r="D19" s="3194"/>
      <c r="E19" s="192"/>
      <c r="F19" s="604"/>
      <c r="G19" s="192"/>
      <c r="H19" s="3195"/>
      <c r="I19" s="3195"/>
      <c r="J19" s="3195"/>
      <c r="K19" s="3195"/>
      <c r="L19" s="3195"/>
      <c r="M19" s="3195"/>
      <c r="N19" s="3195"/>
      <c r="O19" s="3195"/>
      <c r="P19" s="3195"/>
      <c r="Q19" s="3195"/>
      <c r="R19" s="3195"/>
      <c r="S19" s="3195"/>
      <c r="T19" s="3195"/>
      <c r="U19" s="3195"/>
      <c r="V19" s="3195"/>
    </row>
    <row r="20" spans="1:22" s="188" customFormat="1" ht="30.75" customHeight="1" x14ac:dyDescent="0.2">
      <c r="A20" s="3193"/>
      <c r="B20" s="3194"/>
      <c r="C20" s="3194"/>
      <c r="D20" s="3194"/>
      <c r="E20" s="192"/>
      <c r="F20" s="604"/>
      <c r="G20" s="192"/>
      <c r="H20" s="3195"/>
      <c r="I20" s="3195"/>
      <c r="J20" s="3195"/>
      <c r="K20" s="3195"/>
      <c r="L20" s="3195"/>
      <c r="M20" s="3195"/>
      <c r="N20" s="3195"/>
      <c r="O20" s="3195"/>
      <c r="P20" s="3195"/>
      <c r="Q20" s="3195"/>
      <c r="R20" s="3195"/>
      <c r="S20" s="3195"/>
      <c r="T20" s="3195"/>
      <c r="U20" s="3195"/>
      <c r="V20" s="3195"/>
    </row>
    <row r="21" spans="1:22" s="188" customFormat="1" ht="30.75" customHeight="1" x14ac:dyDescent="0.2">
      <c r="A21" s="3193"/>
      <c r="B21" s="3194"/>
      <c r="C21" s="3194"/>
      <c r="D21" s="3194"/>
      <c r="E21" s="192"/>
      <c r="F21" s="604"/>
      <c r="G21" s="192"/>
      <c r="H21" s="3195"/>
      <c r="I21" s="3195"/>
      <c r="J21" s="3195"/>
      <c r="K21" s="3195"/>
      <c r="L21" s="3195"/>
      <c r="M21" s="3195"/>
      <c r="N21" s="3195"/>
      <c r="O21" s="3195"/>
      <c r="P21" s="3195"/>
      <c r="Q21" s="3195"/>
      <c r="R21" s="3195"/>
      <c r="S21" s="3195"/>
      <c r="T21" s="3195"/>
      <c r="U21" s="3195"/>
      <c r="V21" s="3195"/>
    </row>
    <row r="22" spans="1:22" s="188" customFormat="1" ht="30.75" customHeight="1" x14ac:dyDescent="0.2">
      <c r="A22" s="3193"/>
      <c r="B22" s="3194"/>
      <c r="C22" s="3194"/>
      <c r="D22" s="3194"/>
      <c r="E22" s="192"/>
      <c r="F22" s="604"/>
      <c r="G22" s="192"/>
      <c r="H22" s="3195"/>
      <c r="I22" s="3195"/>
      <c r="J22" s="3195"/>
      <c r="K22" s="3195"/>
      <c r="L22" s="3195"/>
      <c r="M22" s="3195"/>
      <c r="N22" s="3195"/>
      <c r="O22" s="3195"/>
      <c r="P22" s="3195"/>
      <c r="Q22" s="3195"/>
      <c r="R22" s="3195"/>
      <c r="S22" s="3195"/>
      <c r="T22" s="3195"/>
      <c r="U22" s="3195"/>
      <c r="V22" s="3195"/>
    </row>
    <row r="23" spans="1:22" s="188" customFormat="1" ht="30.75" customHeight="1" x14ac:dyDescent="0.2">
      <c r="A23" s="3193"/>
      <c r="B23" s="3194"/>
      <c r="C23" s="3194"/>
      <c r="D23" s="3194"/>
      <c r="E23" s="192"/>
      <c r="F23" s="604"/>
      <c r="G23" s="192"/>
      <c r="H23" s="3195"/>
      <c r="I23" s="3195"/>
      <c r="J23" s="3195"/>
      <c r="K23" s="3195"/>
      <c r="L23" s="3195"/>
      <c r="M23" s="3195"/>
      <c r="N23" s="3195"/>
      <c r="O23" s="3195"/>
      <c r="P23" s="3195"/>
      <c r="Q23" s="3195"/>
      <c r="R23" s="3195"/>
      <c r="S23" s="3195"/>
      <c r="T23" s="3195"/>
      <c r="U23" s="3195"/>
      <c r="V23" s="3195"/>
    </row>
    <row r="24" spans="1:22" s="188" customFormat="1" ht="30.75" customHeight="1" x14ac:dyDescent="0.2">
      <c r="A24" s="3193"/>
      <c r="B24" s="3194"/>
      <c r="C24" s="3194"/>
      <c r="D24" s="3194"/>
      <c r="E24" s="192"/>
      <c r="F24" s="604"/>
      <c r="G24" s="192"/>
      <c r="H24" s="3195"/>
      <c r="I24" s="3195"/>
      <c r="J24" s="3195"/>
      <c r="K24" s="3195"/>
      <c r="L24" s="3195"/>
      <c r="M24" s="3195"/>
      <c r="N24" s="3195"/>
      <c r="O24" s="3195"/>
      <c r="P24" s="3195"/>
      <c r="Q24" s="3195"/>
      <c r="R24" s="3195"/>
      <c r="S24" s="3195"/>
      <c r="T24" s="3195"/>
      <c r="U24" s="3195"/>
      <c r="V24" s="3195"/>
    </row>
    <row r="25" spans="1:22" s="188" customFormat="1" ht="15" customHeight="1" x14ac:dyDescent="0.2">
      <c r="B25" s="603"/>
      <c r="D25" s="809"/>
      <c r="E25" s="192"/>
      <c r="F25" s="809"/>
      <c r="G25" s="192"/>
      <c r="H25" s="810"/>
      <c r="I25" s="193"/>
      <c r="J25" s="811"/>
      <c r="L25" s="3196"/>
      <c r="M25" s="3196"/>
      <c r="N25" s="3196"/>
      <c r="O25" s="3196"/>
      <c r="P25" s="3196"/>
      <c r="Q25" s="3196"/>
      <c r="R25" s="3196"/>
      <c r="S25" s="3196"/>
      <c r="T25" s="3196"/>
      <c r="U25" s="3196"/>
      <c r="V25" s="3196"/>
    </row>
    <row r="26" spans="1:22" s="188" customFormat="1" ht="15" customHeight="1" x14ac:dyDescent="0.2">
      <c r="D26" s="192"/>
      <c r="E26" s="192"/>
      <c r="F26" s="192"/>
      <c r="G26" s="192"/>
      <c r="H26" s="192"/>
    </row>
    <row r="27" spans="1:22" s="188" customFormat="1" ht="15" customHeight="1" x14ac:dyDescent="0.2"/>
    <row r="28" spans="1:22" s="188" customFormat="1" ht="21.75" customHeight="1" x14ac:dyDescent="0.2">
      <c r="B28" s="1352"/>
      <c r="C28" s="603"/>
      <c r="D28" s="603"/>
      <c r="E28" s="603"/>
      <c r="F28" s="603"/>
      <c r="G28" s="603"/>
      <c r="H28" s="603"/>
      <c r="I28" s="603"/>
      <c r="J28" s="603"/>
      <c r="K28" s="603"/>
      <c r="L28" s="603"/>
      <c r="M28" s="603"/>
      <c r="N28" s="603"/>
      <c r="O28" s="603"/>
      <c r="P28" s="603"/>
      <c r="Q28" s="603"/>
      <c r="R28" s="603"/>
      <c r="S28" s="603"/>
      <c r="T28" s="603"/>
      <c r="U28" s="603"/>
      <c r="V28" s="603"/>
    </row>
    <row r="29" spans="1:22" s="188" customFormat="1" ht="15" customHeight="1" x14ac:dyDescent="0.2">
      <c r="B29" s="1352"/>
      <c r="C29" s="603"/>
      <c r="D29" s="603"/>
      <c r="E29" s="603"/>
      <c r="F29" s="603"/>
      <c r="G29" s="603"/>
      <c r="H29" s="603"/>
      <c r="I29" s="603"/>
      <c r="J29" s="603"/>
      <c r="K29" s="603"/>
      <c r="L29" s="603"/>
      <c r="M29" s="603"/>
      <c r="N29" s="603"/>
      <c r="O29" s="603"/>
      <c r="P29" s="603"/>
      <c r="Q29" s="603"/>
      <c r="R29" s="603"/>
      <c r="S29" s="603"/>
      <c r="T29" s="603"/>
      <c r="U29" s="603"/>
      <c r="V29" s="603"/>
    </row>
    <row r="30" spans="1:22" ht="15.75" customHeight="1" x14ac:dyDescent="0.2">
      <c r="P30" s="60"/>
      <c r="Q30" s="60"/>
      <c r="R30" s="60"/>
      <c r="S30" s="60"/>
      <c r="T30" s="60"/>
      <c r="U30" s="60"/>
      <c r="V30" s="60"/>
    </row>
    <row r="31" spans="1:22" ht="15" customHeight="1" x14ac:dyDescent="0.2">
      <c r="A31" s="443" t="str">
        <f ca="1">MID(CELL("filename",A11),FIND("]",CELL("filename",A11))+1,256)</f>
        <v>625</v>
      </c>
      <c r="B31" s="812" t="s">
        <v>449</v>
      </c>
      <c r="P31" s="60"/>
      <c r="Q31" s="60"/>
      <c r="R31" s="60"/>
      <c r="S31" s="60"/>
      <c r="T31" s="60"/>
      <c r="U31" s="60"/>
      <c r="V31" s="60"/>
    </row>
    <row r="32" spans="1:22" ht="15" customHeight="1" x14ac:dyDescent="0.2">
      <c r="A32" s="443" t="s">
        <v>446</v>
      </c>
      <c r="B32" s="812" t="str">
        <f t="shared" ref="B32:B41" ca="1" si="0">IF(ISNA(INDEX(ErrorTable,MATCH($A$31&amp;$A32&amp;FALSE,ErrorKey,0),6)),"",INDEX(ErrorTable,MATCH($A$31&amp;$A32&amp;FALSE,ErrorKey,0),6))</f>
        <v>GASB number is blank.</v>
      </c>
      <c r="P32" s="60"/>
      <c r="Q32" s="60"/>
      <c r="R32" s="60"/>
      <c r="S32" s="60"/>
      <c r="T32" s="60"/>
      <c r="U32" s="60"/>
      <c r="V32" s="60"/>
    </row>
    <row r="33" spans="1:22" ht="15" customHeight="1" x14ac:dyDescent="0.2">
      <c r="A33" s="443" t="s">
        <v>447</v>
      </c>
      <c r="B33" s="812" t="str">
        <f t="shared" ca="1" si="0"/>
        <v>GASB name is blank.</v>
      </c>
      <c r="P33" s="60"/>
      <c r="Q33" s="60"/>
      <c r="R33" s="60"/>
      <c r="S33" s="60"/>
      <c r="T33" s="60"/>
      <c r="U33" s="60"/>
      <c r="V33" s="60"/>
    </row>
    <row r="34" spans="1:22" ht="15" customHeight="1" x14ac:dyDescent="0.2">
      <c r="A34" s="443" t="s">
        <v>448</v>
      </c>
      <c r="B34" s="443" t="str">
        <f t="shared" ca="1" si="0"/>
        <v/>
      </c>
      <c r="P34" s="60"/>
      <c r="Q34" s="60"/>
      <c r="R34" s="60"/>
      <c r="S34" s="60"/>
      <c r="T34" s="60"/>
      <c r="U34" s="60"/>
      <c r="V34" s="60"/>
    </row>
    <row r="35" spans="1:22" ht="15" x14ac:dyDescent="0.2">
      <c r="A35" s="443" t="s">
        <v>450</v>
      </c>
      <c r="B35" s="443" t="str">
        <f t="shared" ca="1" si="0"/>
        <v/>
      </c>
      <c r="P35" s="60"/>
      <c r="Q35" s="60"/>
      <c r="R35" s="60"/>
      <c r="S35" s="60"/>
      <c r="T35" s="60"/>
      <c r="U35" s="60"/>
      <c r="V35" s="60"/>
    </row>
    <row r="36" spans="1:22" ht="15" x14ac:dyDescent="0.2">
      <c r="A36" s="443" t="s">
        <v>451</v>
      </c>
      <c r="B36" s="443" t="str">
        <f t="shared" ca="1" si="0"/>
        <v/>
      </c>
      <c r="P36" s="60"/>
      <c r="Q36" s="60"/>
      <c r="R36" s="60"/>
      <c r="S36" s="60"/>
      <c r="T36" s="60"/>
      <c r="U36" s="60"/>
      <c r="V36" s="60"/>
    </row>
    <row r="37" spans="1:22" ht="15" x14ac:dyDescent="0.2">
      <c r="A37" s="443" t="s">
        <v>452</v>
      </c>
      <c r="B37" s="443" t="str">
        <f t="shared" ca="1" si="0"/>
        <v/>
      </c>
      <c r="P37" s="60"/>
      <c r="Q37" s="60"/>
      <c r="R37" s="60"/>
      <c r="S37" s="60"/>
      <c r="T37" s="60"/>
      <c r="U37" s="60"/>
      <c r="V37" s="60"/>
    </row>
    <row r="38" spans="1:22" ht="15" x14ac:dyDescent="0.2">
      <c r="A38" s="443" t="s">
        <v>453</v>
      </c>
      <c r="B38" s="443" t="str">
        <f t="shared" ca="1" si="0"/>
        <v/>
      </c>
      <c r="P38" s="60"/>
      <c r="Q38" s="60"/>
      <c r="R38" s="60"/>
      <c r="S38" s="60"/>
      <c r="T38" s="60"/>
      <c r="U38" s="60"/>
      <c r="V38" s="60"/>
    </row>
    <row r="39" spans="1:22" ht="15" x14ac:dyDescent="0.2">
      <c r="A39" s="443" t="s">
        <v>454</v>
      </c>
      <c r="B39" s="443" t="str">
        <f t="shared" ca="1" si="0"/>
        <v/>
      </c>
      <c r="P39" s="60"/>
      <c r="Q39" s="60"/>
      <c r="R39" s="60"/>
      <c r="S39" s="60"/>
      <c r="T39" s="60"/>
      <c r="U39" s="60"/>
      <c r="V39" s="60"/>
    </row>
    <row r="40" spans="1:22" ht="15" x14ac:dyDescent="0.2">
      <c r="A40" s="443" t="s">
        <v>455</v>
      </c>
      <c r="B40" s="443" t="str">
        <f t="shared" ca="1" si="0"/>
        <v/>
      </c>
      <c r="P40" s="60"/>
      <c r="Q40" s="60"/>
      <c r="R40" s="60"/>
      <c r="S40" s="60"/>
      <c r="T40" s="60"/>
      <c r="U40" s="60"/>
      <c r="V40" s="60"/>
    </row>
    <row r="41" spans="1:22" ht="15" x14ac:dyDescent="0.2">
      <c r="A41" s="443" t="s">
        <v>456</v>
      </c>
      <c r="B41" s="443" t="str">
        <f t="shared" ca="1" si="0"/>
        <v/>
      </c>
      <c r="P41" s="60"/>
      <c r="Q41" s="60"/>
      <c r="R41" s="60"/>
      <c r="S41" s="60"/>
      <c r="T41" s="60"/>
      <c r="U41" s="60"/>
      <c r="V41" s="60"/>
    </row>
    <row r="42" spans="1:22" x14ac:dyDescent="0.2">
      <c r="P42" s="60"/>
      <c r="Q42" s="60"/>
      <c r="R42" s="60"/>
      <c r="S42" s="60"/>
      <c r="T42" s="60"/>
      <c r="U42" s="60"/>
      <c r="V42" s="60"/>
    </row>
    <row r="43" spans="1:22" x14ac:dyDescent="0.2">
      <c r="P43" s="60"/>
      <c r="Q43" s="60"/>
      <c r="R43" s="60"/>
      <c r="S43" s="60"/>
      <c r="T43" s="60"/>
      <c r="U43" s="60"/>
      <c r="V43" s="60"/>
    </row>
    <row r="44" spans="1:22" x14ac:dyDescent="0.2">
      <c r="P44" s="60"/>
      <c r="Q44" s="60"/>
      <c r="R44" s="60"/>
      <c r="S44" s="60"/>
      <c r="T44" s="60"/>
      <c r="U44" s="60"/>
      <c r="V44" s="60"/>
    </row>
    <row r="45" spans="1:22" x14ac:dyDescent="0.2">
      <c r="P45" s="60"/>
      <c r="Q45" s="60"/>
      <c r="R45" s="60"/>
      <c r="S45" s="60"/>
      <c r="T45" s="60"/>
      <c r="U45" s="60"/>
      <c r="V45" s="60"/>
    </row>
    <row r="46" spans="1:22" x14ac:dyDescent="0.2">
      <c r="P46" s="60"/>
      <c r="Q46" s="60"/>
      <c r="R46" s="60"/>
      <c r="S46" s="60"/>
      <c r="T46" s="60"/>
      <c r="U46" s="60"/>
      <c r="V46" s="60"/>
    </row>
    <row r="47" spans="1:22" x14ac:dyDescent="0.2">
      <c r="P47" s="60"/>
      <c r="Q47" s="60"/>
      <c r="R47" s="60"/>
      <c r="S47" s="60"/>
      <c r="T47" s="60"/>
      <c r="U47" s="60"/>
      <c r="V47" s="60"/>
    </row>
    <row r="48" spans="1:22" x14ac:dyDescent="0.2">
      <c r="P48" s="60"/>
      <c r="Q48" s="60"/>
      <c r="R48" s="60"/>
      <c r="S48" s="60"/>
      <c r="T48" s="60"/>
      <c r="U48" s="60"/>
      <c r="V48" s="60"/>
    </row>
    <row r="49" spans="16:22" x14ac:dyDescent="0.2">
      <c r="P49" s="60"/>
      <c r="Q49" s="60"/>
      <c r="R49" s="60"/>
      <c r="S49" s="60"/>
      <c r="T49" s="60"/>
      <c r="U49" s="60"/>
      <c r="V49" s="60"/>
    </row>
    <row r="50" spans="16:22" x14ac:dyDescent="0.2">
      <c r="P50" s="60"/>
      <c r="Q50" s="60"/>
      <c r="R50" s="60"/>
      <c r="S50" s="60"/>
      <c r="T50" s="60"/>
      <c r="U50" s="60"/>
      <c r="V50" s="60"/>
    </row>
    <row r="51" spans="16:22" x14ac:dyDescent="0.2">
      <c r="P51" s="60"/>
      <c r="Q51" s="60"/>
      <c r="R51" s="60"/>
      <c r="S51" s="60"/>
      <c r="T51" s="60"/>
      <c r="U51" s="60"/>
      <c r="V51" s="60"/>
    </row>
    <row r="52" spans="16:22" x14ac:dyDescent="0.2">
      <c r="P52" s="60"/>
      <c r="Q52" s="60"/>
      <c r="R52" s="60"/>
      <c r="S52" s="60"/>
      <c r="T52" s="60"/>
      <c r="U52" s="60"/>
      <c r="V52" s="60"/>
    </row>
    <row r="53" spans="16:22" x14ac:dyDescent="0.2">
      <c r="P53" s="60"/>
      <c r="Q53" s="60"/>
      <c r="R53" s="60"/>
      <c r="S53" s="60"/>
      <c r="T53" s="60"/>
      <c r="U53" s="60"/>
      <c r="V53" s="60"/>
    </row>
    <row r="54" spans="16:22" x14ac:dyDescent="0.2">
      <c r="P54" s="60"/>
      <c r="Q54" s="60"/>
      <c r="R54" s="60"/>
      <c r="S54" s="60"/>
      <c r="T54" s="60"/>
      <c r="U54" s="60"/>
      <c r="V54" s="60"/>
    </row>
    <row r="55" spans="16:22" x14ac:dyDescent="0.2">
      <c r="P55" s="60"/>
      <c r="Q55" s="60"/>
      <c r="R55" s="60"/>
      <c r="S55" s="60"/>
      <c r="T55" s="60"/>
      <c r="U55" s="60"/>
      <c r="V55" s="60"/>
    </row>
    <row r="56" spans="16:22" x14ac:dyDescent="0.2">
      <c r="P56" s="60"/>
      <c r="Q56" s="60"/>
      <c r="R56" s="60"/>
      <c r="S56" s="60"/>
      <c r="T56" s="60"/>
      <c r="U56" s="60"/>
      <c r="V56" s="60"/>
    </row>
    <row r="57" spans="16:22" x14ac:dyDescent="0.2">
      <c r="P57" s="60"/>
      <c r="Q57" s="60"/>
      <c r="R57" s="60"/>
      <c r="S57" s="60"/>
      <c r="T57" s="60"/>
      <c r="U57" s="60"/>
      <c r="V57" s="60"/>
    </row>
    <row r="58" spans="16:22" x14ac:dyDescent="0.2">
      <c r="P58" s="60"/>
      <c r="Q58" s="60"/>
      <c r="R58" s="60"/>
      <c r="S58" s="60"/>
      <c r="T58" s="60"/>
      <c r="U58" s="60"/>
      <c r="V58" s="60"/>
    </row>
  </sheetData>
  <sheetProtection algorithmName="SHA-512" hashValue="V00AGUdiYCqnV3+0ei5oM+tbYg0AnQybrkGuPUQ4HodGdUfnsBBoE5Umsf5qUS+db74Gl4cs39E+SLjLtej6KA==" saltValue="IMFM/kQi7zVX/I1pcmpbIQ==" spinCount="100000" sheet="1" objects="1" scenarios="1" autoFilter="0"/>
  <customSheetViews>
    <customSheetView guid="{B08879A4-635B-4C39-9937-AC7883D562FC}" scale="95" showGridLines="0" fitToPage="1" hiddenColumns="1" topLeftCell="B1">
      <selection activeCell="B18" sqref="B18"/>
      <pageMargins left="0.5" right="0.5" top="0.75" bottom="0.5" header="0.5" footer="0.25"/>
      <printOptions horizontalCentered="1"/>
      <pageSetup scale="82" orientation="landscape" r:id="rId1"/>
      <headerFooter alignWithMargins="0">
        <oddFooter>&amp;R&amp;A</oddFooter>
      </headerFooter>
    </customSheetView>
    <customSheetView guid="{1250FD07-FF56-4A9D-AF9E-C27124A7EBE9}" showGridLines="0" fitToPage="1" showRuler="0">
      <selection sqref="A1:U1"/>
      <pageMargins left="0.5" right="0.5" top="0.75" bottom="0.5" header="0.5" footer="0.5"/>
      <printOptions horizontalCentered="1"/>
      <pageSetup scale="90" orientation="landscape" horizontalDpi="300" verticalDpi="300" r:id="rId2"/>
      <headerFooter alignWithMargins="0">
        <oddFooter>&amp;R&amp;A</oddFooter>
      </headerFooter>
    </customSheetView>
    <customSheetView guid="{BEA4BE86-04D1-4C96-9358-7A260B9D2B2D}" showGridLines="0" fitToPage="1" showRuler="0">
      <selection sqref="A1:U1"/>
      <pageMargins left="0.5" right="0.5" top="0.75" bottom="0.5" header="0.5" footer="0.5"/>
      <printOptions horizontalCentered="1"/>
      <pageSetup scale="90" orientation="landscape" horizontalDpi="300" verticalDpi="300" r:id="rId3"/>
      <headerFooter alignWithMargins="0">
        <oddFooter>&amp;R&amp;A</oddFooter>
      </headerFooter>
    </customSheetView>
    <customSheetView guid="{9FCFC836-1CA5-48BF-958D-24D2EA94B219}" scale="95" showGridLines="0" fitToPage="1" hiddenColumns="1" topLeftCell="B1">
      <selection activeCell="B18" sqref="B18"/>
      <pageMargins left="0.5" right="0.5" top="0.75" bottom="0.5" header="0.5" footer="0.25"/>
      <printOptions horizontalCentered="1"/>
      <pageSetup scale="82" orientation="landscape" r:id="rId4"/>
      <headerFooter alignWithMargins="0">
        <oddFooter>&amp;R&amp;A</oddFooter>
      </headerFooter>
    </customSheetView>
  </customSheetViews>
  <mergeCells count="31">
    <mergeCell ref="B15:D15"/>
    <mergeCell ref="H16:V16"/>
    <mergeCell ref="A17:D17"/>
    <mergeCell ref="H15:V15"/>
    <mergeCell ref="A16:D16"/>
    <mergeCell ref="H17:V17"/>
    <mergeCell ref="W1:W3"/>
    <mergeCell ref="O5:V5"/>
    <mergeCell ref="O6:V6"/>
    <mergeCell ref="O7:V7"/>
    <mergeCell ref="B1:V1"/>
    <mergeCell ref="B2:V2"/>
    <mergeCell ref="C5:D5"/>
    <mergeCell ref="C6:D6"/>
    <mergeCell ref="B3:V3"/>
    <mergeCell ref="C7:G7"/>
    <mergeCell ref="L25:V25"/>
    <mergeCell ref="H22:V22"/>
    <mergeCell ref="H23:V23"/>
    <mergeCell ref="H24:V24"/>
    <mergeCell ref="A22:D22"/>
    <mergeCell ref="A21:D21"/>
    <mergeCell ref="A19:D19"/>
    <mergeCell ref="A24:D24"/>
    <mergeCell ref="H18:V18"/>
    <mergeCell ref="H21:V21"/>
    <mergeCell ref="A20:D20"/>
    <mergeCell ref="A23:D23"/>
    <mergeCell ref="H20:V20"/>
    <mergeCell ref="H19:V19"/>
    <mergeCell ref="A18:D18"/>
  </mergeCells>
  <phoneticPr fontId="15" type="noConversion"/>
  <conditionalFormatting sqref="W1:W3">
    <cfRule type="cellIs" dxfId="39"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rintOptions horizontalCentered="1"/>
  <pageMargins left="0.5" right="0.5" top="0.75" bottom="0.25" header="0.5" footer="0.25"/>
  <pageSetup scale="82" orientation="landscape" r:id="rId5"/>
  <headerFooter alignWithMargins="0">
    <oddFooter>&amp;R&amp;A</oddFooter>
  </headerFooter>
  <drawing r:id="rId6"/>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workbookViewId="0">
      <selection activeCell="L58" sqref="L58"/>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697" t="str">
        <f>+Index!$A$1</f>
        <v xml:space="preserve">                                                               Office of the State Controller                                                                </v>
      </c>
      <c r="C1" s="2697"/>
      <c r="D1" s="2697"/>
      <c r="E1" s="2697"/>
      <c r="F1" s="2697"/>
      <c r="G1" s="2697"/>
      <c r="H1" s="2697"/>
      <c r="I1" s="2697"/>
      <c r="J1" s="2697"/>
      <c r="K1" s="2697"/>
      <c r="L1" s="2697"/>
      <c r="M1" s="2697"/>
      <c r="N1" s="2697"/>
      <c r="O1" s="2697"/>
      <c r="P1" s="2768" t="str">
        <f>IF(Index!$B$85="na","NA","")</f>
        <v/>
      </c>
      <c r="Q1" s="29"/>
      <c r="R1" s="29"/>
      <c r="S1" s="29"/>
      <c r="T1" s="29"/>
      <c r="U1" s="29"/>
    </row>
    <row r="2" spans="2:21" ht="15" customHeight="1" x14ac:dyDescent="0.25">
      <c r="B2" s="3218" t="str">
        <f>+Index!$A$2</f>
        <v>2022 ACFR Worksheets</v>
      </c>
      <c r="C2" s="3218"/>
      <c r="D2" s="3218"/>
      <c r="E2" s="3218"/>
      <c r="F2" s="3218"/>
      <c r="G2" s="3218"/>
      <c r="H2" s="3218"/>
      <c r="I2" s="3218"/>
      <c r="J2" s="3218"/>
      <c r="K2" s="3218"/>
      <c r="L2" s="3218"/>
      <c r="M2" s="3218"/>
      <c r="N2" s="3218"/>
      <c r="O2" s="3218"/>
      <c r="P2" s="2768"/>
      <c r="Q2" s="30"/>
      <c r="R2" s="30"/>
      <c r="S2" s="30"/>
      <c r="T2" s="30"/>
      <c r="U2" s="30"/>
    </row>
    <row r="3" spans="2:21" ht="15" customHeight="1" x14ac:dyDescent="0.25">
      <c r="B3" s="3219" t="s">
        <v>3477</v>
      </c>
      <c r="C3" s="3219"/>
      <c r="D3" s="3219"/>
      <c r="E3" s="3219"/>
      <c r="F3" s="3219"/>
      <c r="G3" s="3219"/>
      <c r="H3" s="3219"/>
      <c r="I3" s="3219"/>
      <c r="J3" s="3219"/>
      <c r="K3" s="3219"/>
      <c r="L3" s="3219"/>
      <c r="M3" s="3219"/>
      <c r="N3" s="3219"/>
      <c r="O3" s="3219"/>
      <c r="P3" s="2768"/>
      <c r="Q3" s="29"/>
      <c r="R3" s="29"/>
      <c r="S3" s="29"/>
      <c r="T3" s="29"/>
      <c r="U3" s="29"/>
    </row>
    <row r="4" spans="2:21" ht="15" customHeight="1" x14ac:dyDescent="0.25">
      <c r="B4" s="29"/>
      <c r="C4" s="29"/>
      <c r="D4" s="29"/>
      <c r="E4" s="29"/>
      <c r="F4" s="29"/>
      <c r="G4" s="29"/>
      <c r="H4" s="29"/>
      <c r="I4" s="29"/>
      <c r="J4" s="29"/>
      <c r="K4" s="29"/>
      <c r="L4" s="430"/>
      <c r="N4" s="29"/>
      <c r="O4" s="31"/>
      <c r="P4" s="31"/>
      <c r="Q4" s="31"/>
      <c r="R4" s="31"/>
      <c r="S4" s="31"/>
      <c r="T4" s="31"/>
      <c r="U4" s="31"/>
    </row>
    <row r="5" spans="2:21" ht="15" customHeight="1" x14ac:dyDescent="0.25">
      <c r="B5" s="789" t="s">
        <v>327</v>
      </c>
      <c r="C5" s="28"/>
      <c r="D5" s="139"/>
      <c r="E5" s="139"/>
      <c r="F5" s="139"/>
      <c r="G5" s="3217" t="str">
        <f>+Index!$E$10</f>
        <v>01</v>
      </c>
      <c r="H5" s="3217"/>
      <c r="I5" s="3217"/>
      <c r="J5" s="28"/>
      <c r="K5" s="32" t="s">
        <v>1154</v>
      </c>
      <c r="L5" s="3220" t="str">
        <f>+Index!$E$11</f>
        <v>North Carolina General Assembly</v>
      </c>
      <c r="M5" s="3220"/>
      <c r="N5" s="3220"/>
      <c r="O5" s="3220"/>
      <c r="P5" s="33"/>
      <c r="Q5" s="33"/>
      <c r="R5" s="33"/>
      <c r="S5" s="33"/>
      <c r="T5" s="33"/>
      <c r="U5" s="33"/>
    </row>
    <row r="6" spans="2:21" ht="15" customHeight="1" x14ac:dyDescent="0.25">
      <c r="I6" s="35"/>
      <c r="J6" s="28"/>
      <c r="K6" s="32" t="s">
        <v>972</v>
      </c>
      <c r="L6" s="3221" t="str">
        <f>CONCATENATE(Index!$E$12," ",Index!$E$14)</f>
        <v xml:space="preserve"> </v>
      </c>
      <c r="M6" s="3221"/>
      <c r="N6" s="3221"/>
      <c r="O6" s="3221"/>
      <c r="P6" s="33"/>
      <c r="Q6" s="33"/>
      <c r="R6" s="33"/>
      <c r="S6" s="33"/>
      <c r="T6" s="33"/>
      <c r="U6" s="33"/>
    </row>
    <row r="7" spans="2:21" ht="15" customHeight="1" x14ac:dyDescent="0.25">
      <c r="B7" s="34" t="s">
        <v>477</v>
      </c>
      <c r="C7" s="28"/>
      <c r="D7" s="138"/>
      <c r="E7" s="138"/>
      <c r="F7" s="138"/>
      <c r="G7" s="3216"/>
      <c r="H7" s="3216"/>
      <c r="I7" s="3216"/>
      <c r="J7" s="28"/>
      <c r="K7" s="32" t="s">
        <v>348</v>
      </c>
      <c r="L7" s="3222">
        <f>+Index!$E$13</f>
        <v>0</v>
      </c>
      <c r="M7" s="3222"/>
      <c r="N7" s="3222"/>
      <c r="O7" s="3222"/>
      <c r="P7" s="33"/>
      <c r="Q7" s="33"/>
      <c r="R7" s="33"/>
      <c r="S7" s="33"/>
      <c r="T7" s="33"/>
      <c r="U7" s="33"/>
    </row>
    <row r="8" spans="2:21" ht="9" customHeight="1" thickBot="1" x14ac:dyDescent="0.3">
      <c r="B8" s="36"/>
      <c r="C8" s="36"/>
      <c r="D8" s="36"/>
      <c r="E8" s="36"/>
      <c r="F8" s="36"/>
      <c r="G8" s="36"/>
      <c r="H8" s="36"/>
      <c r="I8" s="36"/>
      <c r="J8" s="36"/>
      <c r="K8" s="36"/>
      <c r="L8" s="36"/>
      <c r="M8" s="36"/>
      <c r="N8" s="36"/>
      <c r="O8" s="36"/>
      <c r="P8" s="28"/>
      <c r="Q8" s="28"/>
      <c r="R8" s="28"/>
      <c r="S8" s="28"/>
      <c r="T8" s="28"/>
      <c r="U8" s="28"/>
    </row>
    <row r="9" spans="2:21" ht="9" customHeight="1" x14ac:dyDescent="0.25">
      <c r="B9" s="28"/>
      <c r="C9" s="28"/>
      <c r="D9" s="28"/>
      <c r="E9" s="28"/>
      <c r="F9" s="28"/>
      <c r="G9" s="28"/>
      <c r="H9" s="28"/>
      <c r="I9" s="28"/>
      <c r="J9" s="28"/>
      <c r="K9" s="28"/>
      <c r="L9" s="28"/>
      <c r="M9" s="28"/>
      <c r="N9" s="28"/>
      <c r="O9" s="28"/>
      <c r="P9" s="28"/>
      <c r="Q9" s="28"/>
      <c r="R9" s="28"/>
      <c r="S9" s="28"/>
      <c r="T9" s="28"/>
      <c r="U9" s="28"/>
    </row>
    <row r="10" spans="2:21" s="24" customFormat="1" ht="12" customHeight="1" x14ac:dyDescent="0.2">
      <c r="B10" s="27" t="s">
        <v>1172</v>
      </c>
    </row>
    <row r="11" spans="2:21" s="24" customFormat="1" ht="12" customHeight="1" x14ac:dyDescent="0.2">
      <c r="B11" s="24" t="s">
        <v>550</v>
      </c>
    </row>
    <row r="12" spans="2:21" s="24" customFormat="1" ht="12" customHeight="1" x14ac:dyDescent="0.2">
      <c r="B12" s="24" t="s">
        <v>1008</v>
      </c>
    </row>
    <row r="13" spans="2:21" s="24" customFormat="1" ht="12" customHeight="1" x14ac:dyDescent="0.2">
      <c r="B13" s="24" t="s">
        <v>1021</v>
      </c>
    </row>
    <row r="14" spans="2:21" s="24" customFormat="1" ht="6" customHeight="1" x14ac:dyDescent="0.2"/>
    <row r="15" spans="2:21" s="24" customFormat="1" ht="12" customHeight="1" x14ac:dyDescent="0.2">
      <c r="B15" s="27" t="s">
        <v>1022</v>
      </c>
    </row>
    <row r="16" spans="2:21" s="24" customFormat="1" ht="12" customHeight="1" x14ac:dyDescent="0.2">
      <c r="B16" s="24" t="s">
        <v>566</v>
      </c>
    </row>
    <row r="17" spans="2:20" s="24" customFormat="1" ht="12" customHeight="1" x14ac:dyDescent="0.2">
      <c r="B17" s="24" t="s">
        <v>567</v>
      </c>
    </row>
    <row r="18" spans="2:20" s="24" customFormat="1" ht="12" customHeight="1" x14ac:dyDescent="0.2">
      <c r="B18" s="24" t="s">
        <v>568</v>
      </c>
    </row>
    <row r="19" spans="2:20" s="24" customFormat="1" ht="12" customHeight="1" x14ac:dyDescent="0.2">
      <c r="B19" s="27" t="s">
        <v>602</v>
      </c>
    </row>
    <row r="20" spans="2:20" s="24" customFormat="1" ht="12" customHeight="1" x14ac:dyDescent="0.2">
      <c r="C20" s="3213"/>
      <c r="D20" s="3214"/>
      <c r="E20" s="3214"/>
      <c r="F20" s="3214"/>
      <c r="G20" s="3214"/>
      <c r="H20" s="3214"/>
      <c r="I20" s="3214"/>
      <c r="J20" s="3214"/>
      <c r="K20" s="3214"/>
      <c r="L20" s="3214"/>
      <c r="M20" s="3214"/>
      <c r="N20" s="3214"/>
      <c r="O20" s="3214"/>
    </row>
    <row r="21" spans="2:20" s="24" customFormat="1" ht="12" customHeight="1" x14ac:dyDescent="0.2">
      <c r="C21" s="3215"/>
      <c r="D21" s="3215"/>
      <c r="E21" s="3215"/>
      <c r="F21" s="3215"/>
      <c r="G21" s="3215"/>
      <c r="H21" s="3215"/>
      <c r="I21" s="3215"/>
      <c r="J21" s="3215"/>
      <c r="K21" s="3215"/>
      <c r="L21" s="3215"/>
      <c r="M21" s="3215"/>
      <c r="N21" s="3215"/>
      <c r="O21" s="3215"/>
    </row>
    <row r="22" spans="2:20" s="24" customFormat="1" ht="6" customHeight="1" x14ac:dyDescent="0.2"/>
    <row r="23" spans="2:20" s="24" customFormat="1" ht="12" x14ac:dyDescent="0.2">
      <c r="B23" s="665" t="s">
        <v>3892</v>
      </c>
    </row>
    <row r="24" spans="2:20" s="44" customFormat="1" ht="12" customHeight="1" x14ac:dyDescent="0.2">
      <c r="C24" s="44" t="s">
        <v>1162</v>
      </c>
    </row>
    <row r="25" spans="2:20" s="44" customFormat="1" ht="10.35" customHeight="1" x14ac:dyDescent="0.2">
      <c r="D25" s="3208" t="s">
        <v>930</v>
      </c>
      <c r="E25" s="3208"/>
      <c r="F25" s="3208"/>
      <c r="G25" s="3208"/>
      <c r="H25" s="3208"/>
      <c r="I25" s="3208"/>
      <c r="J25" s="3208"/>
      <c r="K25" s="3208"/>
      <c r="L25" s="1353"/>
    </row>
    <row r="26" spans="2:20" s="44" customFormat="1" ht="10.35" customHeight="1" x14ac:dyDescent="0.2">
      <c r="D26" s="3208" t="s">
        <v>115</v>
      </c>
      <c r="E26" s="3209"/>
      <c r="F26" s="3209"/>
      <c r="G26" s="3209"/>
      <c r="H26" s="3209"/>
      <c r="I26" s="3209"/>
      <c r="J26" s="3209"/>
      <c r="K26" s="3209"/>
      <c r="L26" s="1353"/>
    </row>
    <row r="27" spans="2:20" s="44" customFormat="1" ht="10.35" customHeight="1" x14ac:dyDescent="0.2">
      <c r="D27" s="3208" t="s">
        <v>116</v>
      </c>
      <c r="E27" s="3209"/>
      <c r="F27" s="3209"/>
      <c r="G27" s="3209"/>
      <c r="H27" s="3209"/>
      <c r="I27" s="3209"/>
      <c r="J27" s="3209"/>
      <c r="K27" s="3209"/>
      <c r="L27" s="1353"/>
    </row>
    <row r="28" spans="2:20" s="44" customFormat="1" ht="10.35" customHeight="1" x14ac:dyDescent="0.2">
      <c r="D28" s="3208" t="s">
        <v>117</v>
      </c>
      <c r="E28" s="3209"/>
      <c r="F28" s="3209"/>
      <c r="G28" s="3209"/>
      <c r="H28" s="3209"/>
      <c r="I28" s="3209"/>
      <c r="J28" s="3209"/>
      <c r="K28" s="3209"/>
      <c r="L28" s="1353"/>
    </row>
    <row r="29" spans="2:20" s="44" customFormat="1" ht="10.35" customHeight="1" x14ac:dyDescent="0.2">
      <c r="D29" s="3208" t="s">
        <v>943</v>
      </c>
      <c r="E29" s="3209"/>
      <c r="F29" s="3209"/>
      <c r="G29" s="3209"/>
      <c r="H29" s="3209"/>
      <c r="I29" s="3209"/>
      <c r="J29" s="3209"/>
      <c r="K29" s="3209"/>
      <c r="L29" s="1353"/>
    </row>
    <row r="30" spans="2:20" s="44" customFormat="1" ht="10.5" customHeight="1" x14ac:dyDescent="0.2">
      <c r="D30" s="140"/>
      <c r="E30" s="3208" t="s">
        <v>764</v>
      </c>
      <c r="F30" s="3209"/>
      <c r="G30" s="3209"/>
      <c r="H30" s="3209"/>
      <c r="I30" s="3209"/>
      <c r="J30" s="3209"/>
      <c r="K30" s="3209"/>
      <c r="L30" s="1356">
        <f>SUM(L25:L29)</f>
        <v>0</v>
      </c>
    </row>
    <row r="31" spans="2:20" s="44" customFormat="1" ht="10.35" customHeight="1" x14ac:dyDescent="0.2">
      <c r="D31" s="140"/>
      <c r="E31" s="1320"/>
      <c r="F31" s="1319"/>
      <c r="G31" s="1319"/>
      <c r="H31" s="1319"/>
      <c r="I31" s="1319"/>
      <c r="J31" s="1319"/>
      <c r="K31" s="1319"/>
      <c r="L31" s="249"/>
    </row>
    <row r="32" spans="2:20" s="44" customFormat="1" ht="10.35" customHeight="1" x14ac:dyDescent="0.2">
      <c r="C32" s="335" t="s">
        <v>3431</v>
      </c>
      <c r="T32" s="783"/>
    </row>
    <row r="33" spans="3:23" s="44" customFormat="1" ht="10.35" customHeight="1" x14ac:dyDescent="0.2">
      <c r="D33" s="3207" t="s">
        <v>3440</v>
      </c>
      <c r="E33" s="3208"/>
      <c r="F33" s="3208"/>
      <c r="G33" s="3208"/>
      <c r="H33" s="3208"/>
      <c r="I33" s="3208"/>
      <c r="J33" s="3208"/>
      <c r="K33" s="3208"/>
      <c r="L33" s="1353"/>
      <c r="T33" s="3206"/>
      <c r="U33" s="3206"/>
      <c r="V33" s="3206"/>
      <c r="W33" s="3206"/>
    </row>
    <row r="34" spans="3:23" s="44" customFormat="1" ht="10.35" customHeight="1" x14ac:dyDescent="0.2">
      <c r="D34" s="3207" t="s">
        <v>3585</v>
      </c>
      <c r="E34" s="3208"/>
      <c r="F34" s="3208"/>
      <c r="G34" s="3208"/>
      <c r="H34" s="3208"/>
      <c r="I34" s="3208"/>
      <c r="J34" s="3208"/>
      <c r="K34" s="3208"/>
      <c r="L34" s="1353"/>
      <c r="T34" s="398"/>
      <c r="U34" s="398"/>
      <c r="V34" s="398"/>
      <c r="W34" s="398"/>
    </row>
    <row r="35" spans="3:23" s="44" customFormat="1" ht="10.35" customHeight="1" x14ac:dyDescent="0.2">
      <c r="D35" s="3207" t="s">
        <v>3870</v>
      </c>
      <c r="E35" s="3208"/>
      <c r="F35" s="3208"/>
      <c r="G35" s="3208"/>
      <c r="H35" s="3208"/>
      <c r="I35" s="3208"/>
      <c r="J35" s="3208"/>
      <c r="K35" s="3208"/>
      <c r="L35" s="1353"/>
      <c r="T35" s="398"/>
      <c r="U35" s="398"/>
      <c r="V35" s="398"/>
      <c r="W35" s="398"/>
    </row>
    <row r="36" spans="3:23" s="44" customFormat="1" ht="10.35" customHeight="1" x14ac:dyDescent="0.2">
      <c r="D36" s="3207" t="s">
        <v>4452</v>
      </c>
      <c r="E36" s="3208"/>
      <c r="F36" s="3208"/>
      <c r="G36" s="3208"/>
      <c r="H36" s="3208"/>
      <c r="I36" s="3208"/>
      <c r="J36" s="3208"/>
      <c r="K36" s="3208"/>
      <c r="L36" s="1353"/>
      <c r="T36" s="398"/>
      <c r="U36" s="398"/>
      <c r="V36" s="398"/>
      <c r="W36" s="398"/>
    </row>
    <row r="37" spans="3:23" s="44" customFormat="1" ht="10.35" customHeight="1" x14ac:dyDescent="0.2">
      <c r="D37" s="3207" t="s">
        <v>3877</v>
      </c>
      <c r="E37" s="3208"/>
      <c r="F37" s="3208"/>
      <c r="G37" s="3208"/>
      <c r="H37" s="3208"/>
      <c r="I37" s="3208"/>
      <c r="J37" s="3208"/>
      <c r="K37" s="3208"/>
      <c r="L37" s="1353"/>
      <c r="T37" s="398"/>
      <c r="U37" s="398"/>
      <c r="V37" s="398"/>
      <c r="W37" s="398"/>
    </row>
    <row r="38" spans="3:23" s="44" customFormat="1" ht="10.35" customHeight="1" x14ac:dyDescent="0.2">
      <c r="D38" s="3207" t="s">
        <v>3953</v>
      </c>
      <c r="E38" s="3208"/>
      <c r="F38" s="3208"/>
      <c r="G38" s="3208"/>
      <c r="H38" s="3208"/>
      <c r="I38" s="3208"/>
      <c r="J38" s="3208"/>
      <c r="K38" s="3208"/>
      <c r="L38" s="1353"/>
      <c r="T38" s="398"/>
      <c r="U38" s="398"/>
      <c r="V38" s="398"/>
      <c r="W38" s="398"/>
    </row>
    <row r="39" spans="3:23" s="44" customFormat="1" ht="10.35" customHeight="1" x14ac:dyDescent="0.2">
      <c r="D39" s="1321"/>
      <c r="E39" s="3207" t="s">
        <v>3436</v>
      </c>
      <c r="F39" s="3209"/>
      <c r="G39" s="3209"/>
      <c r="H39" s="3209"/>
      <c r="I39" s="3209"/>
      <c r="J39" s="3209"/>
      <c r="K39" s="3209"/>
      <c r="L39" s="1358">
        <f>SUM(L33:L38)</f>
        <v>0</v>
      </c>
      <c r="T39" s="398"/>
      <c r="U39" s="398"/>
      <c r="V39" s="398"/>
      <c r="W39" s="398"/>
    </row>
    <row r="40" spans="3:23" s="44" customFormat="1" ht="9" customHeight="1" x14ac:dyDescent="0.2">
      <c r="D40" s="1320"/>
      <c r="E40" s="1321"/>
      <c r="F40" s="1319"/>
      <c r="G40" s="1319"/>
      <c r="H40" s="1319"/>
      <c r="I40" s="1319"/>
      <c r="J40" s="1319"/>
      <c r="K40" s="1319"/>
      <c r="L40" s="249"/>
      <c r="T40" s="3206"/>
      <c r="U40" s="3206"/>
      <c r="V40" s="3206"/>
      <c r="W40" s="3206"/>
    </row>
    <row r="41" spans="3:23" s="44" customFormat="1" ht="10.35" customHeight="1" x14ac:dyDescent="0.2">
      <c r="C41" s="44" t="s">
        <v>1163</v>
      </c>
      <c r="L41" s="249"/>
      <c r="T41" s="3206"/>
      <c r="U41" s="3206"/>
      <c r="V41" s="3206"/>
      <c r="W41" s="3206"/>
    </row>
    <row r="42" spans="3:23" s="44" customFormat="1" ht="10.35" customHeight="1" x14ac:dyDescent="0.2">
      <c r="D42" s="3208" t="s">
        <v>373</v>
      </c>
      <c r="E42" s="3209"/>
      <c r="F42" s="3209"/>
      <c r="G42" s="3209"/>
      <c r="H42" s="3209"/>
      <c r="I42" s="3209"/>
      <c r="J42" s="3209"/>
      <c r="K42" s="3209"/>
      <c r="L42" s="1353"/>
      <c r="T42" s="3206"/>
      <c r="U42" s="3206"/>
      <c r="V42" s="3206"/>
      <c r="W42" s="3206"/>
    </row>
    <row r="43" spans="3:23" s="44" customFormat="1" ht="10.35" customHeight="1" x14ac:dyDescent="0.2">
      <c r="D43" s="3208" t="s">
        <v>374</v>
      </c>
      <c r="E43" s="3209"/>
      <c r="F43" s="3209"/>
      <c r="G43" s="3209"/>
      <c r="H43" s="3209"/>
      <c r="I43" s="3209"/>
      <c r="J43" s="3209"/>
      <c r="K43" s="3209"/>
      <c r="L43" s="1353"/>
      <c r="T43" s="3206"/>
      <c r="U43" s="3206"/>
      <c r="V43" s="3206"/>
      <c r="W43" s="3206"/>
    </row>
    <row r="44" spans="3:23" s="44" customFormat="1" ht="10.35" customHeight="1" x14ac:dyDescent="0.2">
      <c r="D44" s="3208" t="s">
        <v>375</v>
      </c>
      <c r="E44" s="3209"/>
      <c r="F44" s="3209"/>
      <c r="G44" s="3209"/>
      <c r="H44" s="3209"/>
      <c r="I44" s="3209"/>
      <c r="J44" s="3209"/>
      <c r="K44" s="3209"/>
      <c r="L44" s="1353"/>
    </row>
    <row r="45" spans="3:23" s="44" customFormat="1" ht="10.35" customHeight="1" x14ac:dyDescent="0.2">
      <c r="D45" s="3208" t="s">
        <v>376</v>
      </c>
      <c r="E45" s="3209"/>
      <c r="F45" s="3209"/>
      <c r="G45" s="3209"/>
      <c r="H45" s="3209"/>
      <c r="I45" s="3209"/>
      <c r="J45" s="3209"/>
      <c r="K45" s="3209"/>
      <c r="L45" s="1353"/>
    </row>
    <row r="46" spans="3:23" s="44" customFormat="1" ht="11.25" customHeight="1" x14ac:dyDescent="0.2">
      <c r="D46" s="140"/>
      <c r="E46" s="3208" t="s">
        <v>377</v>
      </c>
      <c r="F46" s="3209"/>
      <c r="G46" s="3209"/>
      <c r="H46" s="3209"/>
      <c r="I46" s="3209"/>
      <c r="J46" s="3209"/>
      <c r="K46" s="3209"/>
      <c r="L46" s="1356">
        <f>SUM(L42:L45)</f>
        <v>0</v>
      </c>
    </row>
    <row r="47" spans="3:23" s="44" customFormat="1" ht="10.35" customHeight="1" x14ac:dyDescent="0.2">
      <c r="D47" s="140"/>
      <c r="E47" s="1320"/>
      <c r="F47" s="1319"/>
      <c r="G47" s="1319"/>
      <c r="H47" s="1319"/>
      <c r="I47" s="1319"/>
      <c r="J47" s="1319"/>
      <c r="K47" s="1319"/>
      <c r="L47" s="249"/>
    </row>
    <row r="48" spans="3:23" s="44" customFormat="1" ht="10.35" customHeight="1" x14ac:dyDescent="0.2">
      <c r="C48" s="335" t="s">
        <v>3437</v>
      </c>
      <c r="T48" s="394"/>
      <c r="U48"/>
      <c r="V48"/>
      <c r="W48"/>
    </row>
    <row r="49" spans="3:23" s="44" customFormat="1" ht="10.35" customHeight="1" x14ac:dyDescent="0.2">
      <c r="D49" s="3207" t="s">
        <v>3439</v>
      </c>
      <c r="E49" s="3208"/>
      <c r="F49" s="3208"/>
      <c r="G49" s="3208"/>
      <c r="H49" s="3208"/>
      <c r="I49" s="3208"/>
      <c r="J49" s="3208"/>
      <c r="K49" s="3208"/>
      <c r="L49" s="1353"/>
      <c r="T49" s="3206"/>
      <c r="U49" s="3206"/>
      <c r="V49" s="3206"/>
      <c r="W49" s="3206"/>
    </row>
    <row r="50" spans="3:23" s="44" customFormat="1" ht="10.35" customHeight="1" x14ac:dyDescent="0.2">
      <c r="D50" s="3207" t="s">
        <v>3438</v>
      </c>
      <c r="E50" s="3208"/>
      <c r="F50" s="3208"/>
      <c r="G50" s="3208"/>
      <c r="H50" s="3208"/>
      <c r="I50" s="3208"/>
      <c r="J50" s="3208"/>
      <c r="K50" s="3208"/>
      <c r="L50" s="1353"/>
      <c r="T50" s="3206"/>
      <c r="U50" s="3206"/>
      <c r="V50" s="3206"/>
      <c r="W50" s="3206"/>
    </row>
    <row r="51" spans="3:23" s="44" customFormat="1" ht="10.35" customHeight="1" x14ac:dyDescent="0.2">
      <c r="D51" s="3207" t="s">
        <v>3802</v>
      </c>
      <c r="E51" s="3208"/>
      <c r="F51" s="3208"/>
      <c r="G51" s="3208"/>
      <c r="H51" s="3208"/>
      <c r="I51" s="3208"/>
      <c r="J51" s="3208"/>
      <c r="K51" s="3208"/>
      <c r="L51" s="1353"/>
      <c r="T51" s="398"/>
      <c r="U51" s="398"/>
      <c r="V51" s="398"/>
      <c r="W51" s="398"/>
    </row>
    <row r="52" spans="3:23" s="44" customFormat="1" ht="10.35" customHeight="1" x14ac:dyDescent="0.2">
      <c r="D52" s="3207" t="s">
        <v>3577</v>
      </c>
      <c r="E52" s="3208"/>
      <c r="F52" s="3208"/>
      <c r="G52" s="3208"/>
      <c r="H52" s="3208"/>
      <c r="I52" s="3208"/>
      <c r="J52" s="3208"/>
      <c r="K52" s="3208"/>
      <c r="L52" s="1353"/>
      <c r="T52" s="398"/>
      <c r="U52" s="398"/>
      <c r="V52" s="398"/>
      <c r="W52" s="398"/>
    </row>
    <row r="53" spans="3:23" s="44" customFormat="1" ht="10.35" customHeight="1" x14ac:dyDescent="0.2">
      <c r="D53" s="3207" t="s">
        <v>3876</v>
      </c>
      <c r="E53" s="3208"/>
      <c r="F53" s="3208"/>
      <c r="G53" s="3208"/>
      <c r="H53" s="3208"/>
      <c r="I53" s="3208"/>
      <c r="J53" s="3208"/>
      <c r="K53" s="3208"/>
      <c r="L53" s="1353"/>
      <c r="T53" s="398"/>
      <c r="U53" s="398"/>
      <c r="V53" s="398"/>
      <c r="W53" s="398"/>
    </row>
    <row r="54" spans="3:23" s="44" customFormat="1" ht="10.35" customHeight="1" x14ac:dyDescent="0.2">
      <c r="D54" s="3207" t="s">
        <v>3875</v>
      </c>
      <c r="E54" s="3208"/>
      <c r="F54" s="3208"/>
      <c r="G54" s="3208"/>
      <c r="H54" s="3208"/>
      <c r="I54" s="3208"/>
      <c r="J54" s="3208"/>
      <c r="K54" s="3208"/>
      <c r="L54" s="1353"/>
      <c r="T54" s="398"/>
      <c r="U54" s="398"/>
      <c r="V54" s="398"/>
      <c r="W54" s="398"/>
    </row>
    <row r="55" spans="3:23" s="44" customFormat="1" ht="10.35" customHeight="1" x14ac:dyDescent="0.2">
      <c r="D55" s="3207" t="s">
        <v>4457</v>
      </c>
      <c r="E55" s="3208"/>
      <c r="F55" s="3208"/>
      <c r="G55" s="3208"/>
      <c r="H55" s="3208"/>
      <c r="I55" s="3208"/>
      <c r="J55" s="3208"/>
      <c r="K55" s="3208"/>
      <c r="L55" s="1353"/>
      <c r="T55" s="398"/>
      <c r="U55" s="398"/>
      <c r="V55" s="398"/>
      <c r="W55" s="398"/>
    </row>
    <row r="56" spans="3:23" s="44" customFormat="1" ht="10.35" customHeight="1" x14ac:dyDescent="0.2">
      <c r="D56" s="3207" t="s">
        <v>5374</v>
      </c>
      <c r="E56" s="3208"/>
      <c r="F56" s="3208"/>
      <c r="G56" s="3208"/>
      <c r="H56" s="3208"/>
      <c r="I56" s="3208"/>
      <c r="J56" s="3208"/>
      <c r="K56" s="3208"/>
      <c r="L56" s="1353"/>
      <c r="T56" s="2628"/>
      <c r="U56" s="2628"/>
      <c r="V56" s="2628"/>
      <c r="W56" s="2628"/>
    </row>
    <row r="57" spans="3:23" s="44" customFormat="1" ht="10.35" customHeight="1" x14ac:dyDescent="0.2">
      <c r="D57" s="3207" t="s">
        <v>3954</v>
      </c>
      <c r="E57" s="3208"/>
      <c r="F57" s="3208"/>
      <c r="G57" s="3208"/>
      <c r="H57" s="3208"/>
      <c r="I57" s="3208"/>
      <c r="J57" s="3208"/>
      <c r="K57" s="3208"/>
      <c r="L57" s="1353"/>
      <c r="T57" s="398"/>
      <c r="U57" s="398"/>
      <c r="V57" s="398"/>
      <c r="W57" s="398"/>
    </row>
    <row r="58" spans="3:23" s="44" customFormat="1" ht="11.25" customHeight="1" x14ac:dyDescent="0.2">
      <c r="D58" s="140"/>
      <c r="E58" s="3207" t="s">
        <v>3893</v>
      </c>
      <c r="F58" s="3209"/>
      <c r="G58" s="3209"/>
      <c r="H58" s="3209"/>
      <c r="I58" s="3209"/>
      <c r="J58" s="3209"/>
      <c r="K58" s="3209"/>
      <c r="L58" s="1358">
        <f>SUM(L49:L57)</f>
        <v>0</v>
      </c>
      <c r="T58" s="3206"/>
      <c r="U58" s="3206"/>
      <c r="V58" s="3206"/>
      <c r="W58" s="3206"/>
    </row>
    <row r="59" spans="3:23" s="44" customFormat="1" ht="10.35" customHeight="1" x14ac:dyDescent="0.2">
      <c r="D59" s="140"/>
      <c r="E59" s="1320"/>
      <c r="F59" s="1319"/>
      <c r="G59" s="1319"/>
      <c r="H59" s="1319"/>
      <c r="I59" s="1319"/>
      <c r="J59" s="1319"/>
      <c r="K59" s="1319"/>
      <c r="L59" s="1355"/>
      <c r="T59" s="3206"/>
      <c r="U59" s="3206"/>
      <c r="V59" s="3206"/>
      <c r="W59" s="3206"/>
    </row>
    <row r="60" spans="3:23" s="44" customFormat="1" ht="10.35" customHeight="1" x14ac:dyDescent="0.2">
      <c r="C60" s="335" t="s">
        <v>1892</v>
      </c>
      <c r="L60" s="1355"/>
      <c r="T60" s="3206"/>
      <c r="U60" s="3206"/>
      <c r="V60" s="3206"/>
      <c r="W60" s="3206"/>
    </row>
    <row r="61" spans="3:23" s="44" customFormat="1" ht="10.35" customHeight="1" x14ac:dyDescent="0.2">
      <c r="D61" s="3207" t="s">
        <v>1937</v>
      </c>
      <c r="E61" s="3209"/>
      <c r="F61" s="3209"/>
      <c r="G61" s="3209"/>
      <c r="H61" s="3209"/>
      <c r="I61" s="3209"/>
      <c r="J61" s="3209"/>
      <c r="K61" s="3209"/>
      <c r="L61" s="1353"/>
      <c r="T61" s="3206"/>
      <c r="U61" s="3206"/>
      <c r="V61" s="3206"/>
      <c r="W61" s="3206"/>
    </row>
    <row r="62" spans="3:23" s="44" customFormat="1" ht="10.35" customHeight="1" x14ac:dyDescent="0.2">
      <c r="D62" s="3208" t="s">
        <v>378</v>
      </c>
      <c r="E62" s="3209"/>
      <c r="F62" s="3209"/>
      <c r="G62" s="3209"/>
      <c r="H62" s="3209"/>
      <c r="I62" s="3209"/>
      <c r="J62" s="3209"/>
      <c r="K62" s="3209"/>
      <c r="L62" s="1353"/>
      <c r="T62" s="3206"/>
      <c r="U62" s="3206"/>
      <c r="V62" s="3206"/>
      <c r="W62" s="3206"/>
    </row>
    <row r="63" spans="3:23" s="44" customFormat="1" ht="10.35" customHeight="1" x14ac:dyDescent="0.2">
      <c r="D63" s="3208" t="s">
        <v>923</v>
      </c>
      <c r="E63" s="3209"/>
      <c r="F63" s="3209"/>
      <c r="G63" s="3209"/>
      <c r="H63" s="3209"/>
      <c r="I63" s="3209"/>
      <c r="J63" s="3209"/>
      <c r="K63" s="3209"/>
      <c r="L63" s="1353"/>
    </row>
    <row r="64" spans="3:23" s="44" customFormat="1" ht="12" customHeight="1" thickBot="1" x14ac:dyDescent="0.25">
      <c r="C64" s="3211" t="s">
        <v>3475</v>
      </c>
      <c r="D64" s="3212"/>
      <c r="E64" s="3212"/>
      <c r="F64" s="3212"/>
      <c r="G64" s="3212"/>
      <c r="H64" s="3212"/>
      <c r="I64" s="3212"/>
      <c r="J64" s="3212"/>
      <c r="L64" s="1357">
        <f>SUM(L61:L63)</f>
        <v>0</v>
      </c>
    </row>
    <row r="65" spans="2:12" s="44" customFormat="1" ht="10.35" customHeight="1" thickTop="1" x14ac:dyDescent="0.2">
      <c r="C65" s="140"/>
      <c r="D65" s="140"/>
      <c r="E65" s="140"/>
      <c r="F65" s="140"/>
      <c r="G65" s="140"/>
      <c r="H65" s="140"/>
      <c r="I65" s="140"/>
      <c r="J65" s="140"/>
      <c r="L65" s="249"/>
    </row>
    <row r="66" spans="2:12" s="44" customFormat="1" ht="10.35" customHeight="1" x14ac:dyDescent="0.2">
      <c r="B66" s="335" t="s">
        <v>3474</v>
      </c>
      <c r="C66" s="140"/>
      <c r="D66" s="140"/>
      <c r="E66" s="140"/>
      <c r="F66" s="140"/>
      <c r="G66" s="140"/>
      <c r="H66" s="140"/>
      <c r="I66" s="140"/>
      <c r="J66" s="140"/>
      <c r="L66" s="1354" t="str">
        <f>IF(ROUND(L30+L39-L46-L58=L64,2),"In bal.","Out of bal.")</f>
        <v>In bal.</v>
      </c>
    </row>
    <row r="67" spans="2:12" s="24" customFormat="1" ht="6" customHeight="1" x14ac:dyDescent="0.2">
      <c r="C67" s="37"/>
      <c r="L67" s="250"/>
    </row>
    <row r="68" spans="2:12" s="24" customFormat="1" ht="12" x14ac:dyDescent="0.2">
      <c r="B68" s="665" t="s">
        <v>3432</v>
      </c>
      <c r="L68" s="250"/>
    </row>
    <row r="69" spans="2:12" s="44" customFormat="1" ht="11.25" customHeight="1" x14ac:dyDescent="0.2">
      <c r="C69" s="3209" t="s">
        <v>1164</v>
      </c>
      <c r="D69" s="3209"/>
      <c r="E69" s="3209"/>
      <c r="F69" s="3209"/>
      <c r="G69" s="3209"/>
      <c r="H69" s="3209"/>
      <c r="I69" s="3209"/>
      <c r="J69" s="3209"/>
      <c r="K69" s="3209"/>
      <c r="L69" s="1353"/>
    </row>
    <row r="70" spans="2:12" s="44" customFormat="1" ht="10.35" customHeight="1" x14ac:dyDescent="0.2">
      <c r="C70" s="3209" t="s">
        <v>301</v>
      </c>
      <c r="D70" s="3209"/>
      <c r="E70" s="3209"/>
      <c r="F70" s="3209"/>
      <c r="G70" s="3209"/>
      <c r="H70" s="3209"/>
      <c r="I70" s="3209"/>
      <c r="J70" s="3209"/>
      <c r="K70" s="3209"/>
      <c r="L70" s="1353"/>
    </row>
    <row r="71" spans="2:12" s="44" customFormat="1" ht="10.35" customHeight="1" x14ac:dyDescent="0.2">
      <c r="C71" s="3209" t="s">
        <v>1103</v>
      </c>
      <c r="D71" s="3209"/>
      <c r="E71" s="3209"/>
      <c r="F71" s="3209"/>
      <c r="G71" s="3209"/>
      <c r="H71" s="3209"/>
      <c r="I71" s="3209"/>
      <c r="J71" s="3209"/>
      <c r="K71" s="3209"/>
      <c r="L71" s="1353"/>
    </row>
    <row r="72" spans="2:12" s="44" customFormat="1" ht="10.35" customHeight="1" x14ac:dyDescent="0.2">
      <c r="C72" s="3209" t="s">
        <v>1104</v>
      </c>
      <c r="D72" s="3209"/>
      <c r="E72" s="3209"/>
      <c r="F72" s="3209"/>
      <c r="G72" s="3209"/>
      <c r="H72" s="3209"/>
      <c r="I72" s="3209"/>
      <c r="J72" s="3209"/>
      <c r="K72" s="3209"/>
      <c r="L72" s="1353"/>
    </row>
    <row r="73" spans="2:12" s="44" customFormat="1" ht="10.35" customHeight="1" x14ac:dyDescent="0.2">
      <c r="D73" s="3208" t="s">
        <v>473</v>
      </c>
      <c r="E73" s="3208"/>
      <c r="F73" s="3208"/>
      <c r="G73" s="3208"/>
      <c r="H73" s="3208"/>
      <c r="I73" s="3208"/>
      <c r="J73" s="3208"/>
      <c r="K73" s="3208"/>
      <c r="L73" s="1356">
        <f>SUM(L69:L72)</f>
        <v>0</v>
      </c>
    </row>
    <row r="74" spans="2:12" s="44" customFormat="1" ht="10.35" customHeight="1" x14ac:dyDescent="0.2">
      <c r="C74" s="44" t="s">
        <v>1105</v>
      </c>
      <c r="L74" s="249"/>
    </row>
    <row r="75" spans="2:12" s="44" customFormat="1" ht="10.35" customHeight="1" x14ac:dyDescent="0.2">
      <c r="D75" s="3209" t="s">
        <v>1106</v>
      </c>
      <c r="E75" s="3209"/>
      <c r="F75" s="3209"/>
      <c r="G75" s="3209"/>
      <c r="H75" s="3209"/>
      <c r="I75" s="3209"/>
      <c r="J75" s="3209"/>
      <c r="K75" s="3209"/>
      <c r="L75" s="1353"/>
    </row>
    <row r="76" spans="2:12" s="44" customFormat="1" ht="10.35" customHeight="1" x14ac:dyDescent="0.2">
      <c r="D76" s="3209" t="s">
        <v>1107</v>
      </c>
      <c r="E76" s="3209"/>
      <c r="F76" s="3209"/>
      <c r="G76" s="3209"/>
      <c r="H76" s="3209"/>
      <c r="I76" s="3209"/>
      <c r="J76" s="3209"/>
      <c r="K76" s="3209"/>
      <c r="L76" s="1353"/>
    </row>
    <row r="77" spans="2:12" s="44" customFormat="1" ht="10.35" customHeight="1" x14ac:dyDescent="0.2">
      <c r="D77" s="3209" t="s">
        <v>1108</v>
      </c>
      <c r="E77" s="3209"/>
      <c r="F77" s="3209"/>
      <c r="G77" s="3209"/>
      <c r="H77" s="3209"/>
      <c r="I77" s="3209"/>
      <c r="J77" s="3209"/>
      <c r="K77" s="3209"/>
      <c r="L77" s="1353"/>
    </row>
    <row r="78" spans="2:12" s="44" customFormat="1" ht="10.35" customHeight="1" x14ac:dyDescent="0.2">
      <c r="C78" s="3209" t="s">
        <v>1109</v>
      </c>
      <c r="D78" s="3209"/>
      <c r="E78" s="3209"/>
      <c r="F78" s="3209"/>
      <c r="G78" s="3209"/>
      <c r="H78" s="3209"/>
      <c r="I78" s="3209"/>
      <c r="J78" s="3209"/>
      <c r="K78" s="3209"/>
      <c r="L78" s="1353"/>
    </row>
    <row r="79" spans="2:12" s="44" customFormat="1" ht="10.35" customHeight="1" x14ac:dyDescent="0.2">
      <c r="C79" s="3209" t="s">
        <v>1110</v>
      </c>
      <c r="D79" s="3209"/>
      <c r="E79" s="3209"/>
      <c r="F79" s="3209"/>
      <c r="G79" s="3209"/>
      <c r="H79" s="3209"/>
      <c r="I79" s="3209"/>
      <c r="J79" s="3209"/>
      <c r="K79" s="3209"/>
      <c r="L79" s="1353"/>
    </row>
    <row r="80" spans="2:12" s="44" customFormat="1" ht="10.35" customHeight="1" x14ac:dyDescent="0.2">
      <c r="C80" s="3209" t="s">
        <v>1111</v>
      </c>
      <c r="D80" s="3209"/>
      <c r="E80" s="3209"/>
      <c r="F80" s="3209"/>
      <c r="G80" s="3209"/>
      <c r="H80" s="3209"/>
      <c r="I80" s="3209"/>
      <c r="J80" s="3209"/>
      <c r="K80" s="3209"/>
      <c r="L80" s="1353"/>
    </row>
    <row r="81" spans="1:12" s="44" customFormat="1" ht="10.35" customHeight="1" x14ac:dyDescent="0.2">
      <c r="C81" s="3209" t="s">
        <v>1112</v>
      </c>
      <c r="D81" s="3209"/>
      <c r="E81" s="3209"/>
      <c r="F81" s="3209"/>
      <c r="G81" s="3209"/>
      <c r="H81" s="3209"/>
      <c r="I81" s="3209"/>
      <c r="J81" s="3209"/>
      <c r="K81" s="3209"/>
      <c r="L81" s="1353"/>
    </row>
    <row r="82" spans="1:12" s="44" customFormat="1" ht="10.35" customHeight="1" x14ac:dyDescent="0.2">
      <c r="C82" s="3209" t="s">
        <v>1113</v>
      </c>
      <c r="D82" s="3209"/>
      <c r="E82" s="3209"/>
      <c r="F82" s="3209"/>
      <c r="G82" s="3209"/>
      <c r="H82" s="3209"/>
      <c r="I82" s="3209"/>
      <c r="J82" s="3209"/>
      <c r="K82" s="3209"/>
      <c r="L82" s="1353"/>
    </row>
    <row r="83" spans="1:12" s="44" customFormat="1" ht="10.35" customHeight="1" x14ac:dyDescent="0.2">
      <c r="C83" s="3207" t="s">
        <v>3433</v>
      </c>
      <c r="D83" s="3208"/>
      <c r="E83" s="3208"/>
      <c r="F83" s="3208"/>
      <c r="G83" s="3208"/>
      <c r="H83" s="3208"/>
      <c r="I83" s="3208"/>
      <c r="J83" s="3208"/>
      <c r="K83" s="3208"/>
      <c r="L83" s="1356">
        <f>SUM(L73:L82)</f>
        <v>0</v>
      </c>
    </row>
    <row r="84" spans="1:12" s="44" customFormat="1" ht="10.35" customHeight="1" x14ac:dyDescent="0.2">
      <c r="C84" s="3210" t="s">
        <v>3434</v>
      </c>
      <c r="D84" s="3209"/>
      <c r="E84" s="3209"/>
      <c r="F84" s="3209"/>
      <c r="G84" s="3209"/>
      <c r="H84" s="3209"/>
      <c r="I84" s="3209"/>
      <c r="J84" s="3209"/>
      <c r="K84" s="3209"/>
      <c r="L84" s="1353"/>
    </row>
    <row r="85" spans="1:12" s="44" customFormat="1" ht="14.25" customHeight="1" thickBot="1" x14ac:dyDescent="0.25">
      <c r="C85" s="3210" t="s">
        <v>3435</v>
      </c>
      <c r="D85" s="3209"/>
      <c r="E85" s="3209"/>
      <c r="F85" s="3209"/>
      <c r="G85" s="3209"/>
      <c r="H85" s="3209"/>
      <c r="I85" s="3209"/>
      <c r="J85" s="3209"/>
      <c r="K85" s="3209"/>
      <c r="L85" s="1357">
        <f>SUM(L83:L84)</f>
        <v>0</v>
      </c>
    </row>
    <row r="86" spans="1:12" s="24" customFormat="1" ht="6" customHeight="1" thickTop="1" x14ac:dyDescent="0.2">
      <c r="L86" s="250"/>
    </row>
    <row r="87" spans="1:12" x14ac:dyDescent="0.2">
      <c r="B87" s="272" t="s">
        <v>3476</v>
      </c>
      <c r="L87" s="1354" t="str">
        <f>IF(ROUND(L64-L85=0,2),"OK","Error")</f>
        <v>OK</v>
      </c>
    </row>
    <row r="89" spans="1:12" ht="15" x14ac:dyDescent="0.2">
      <c r="A89" s="443" t="str">
        <f ca="1">MID(CELL("filename",A68),FIND("]",CELL("filename",A68))+1,256)</f>
        <v>635</v>
      </c>
      <c r="B89" s="443" t="s">
        <v>449</v>
      </c>
    </row>
    <row r="90" spans="1:12" ht="15" x14ac:dyDescent="0.2">
      <c r="A90" s="443" t="s">
        <v>446</v>
      </c>
      <c r="B90" s="443" t="str">
        <f t="shared" ref="B90:B99" ca="1" si="0">IF(ISNA(INDEX(ErrorTable,MATCH($A$89&amp;$A90&amp;FALSE,ErrorKey,0),6)),"",INDEX(ErrorTable,MATCH($A$89&amp;$A90&amp;FALSE,ErrorKey,0),6))</f>
        <v>GASB number is blank.</v>
      </c>
    </row>
    <row r="91" spans="1:12" ht="15" x14ac:dyDescent="0.2">
      <c r="A91" s="443" t="s">
        <v>447</v>
      </c>
      <c r="B91" s="443" t="str">
        <f t="shared" ca="1" si="0"/>
        <v/>
      </c>
    </row>
    <row r="92" spans="1:12" ht="15" x14ac:dyDescent="0.2">
      <c r="A92" s="443" t="s">
        <v>448</v>
      </c>
      <c r="B92" s="443" t="str">
        <f t="shared" ca="1" si="0"/>
        <v/>
      </c>
    </row>
    <row r="93" spans="1:12" ht="15" x14ac:dyDescent="0.2">
      <c r="A93" s="443" t="s">
        <v>450</v>
      </c>
      <c r="B93" s="443" t="str">
        <f t="shared" ca="1" si="0"/>
        <v/>
      </c>
    </row>
    <row r="94" spans="1:12" ht="15" x14ac:dyDescent="0.2">
      <c r="A94" s="443" t="s">
        <v>451</v>
      </c>
      <c r="B94" s="443" t="str">
        <f t="shared" ca="1" si="0"/>
        <v/>
      </c>
    </row>
    <row r="95" spans="1:12" ht="15" x14ac:dyDescent="0.2">
      <c r="A95" s="443" t="s">
        <v>452</v>
      </c>
      <c r="B95" s="443" t="str">
        <f t="shared" ca="1" si="0"/>
        <v/>
      </c>
    </row>
    <row r="96" spans="1:12" ht="15" x14ac:dyDescent="0.2">
      <c r="A96" s="443" t="s">
        <v>453</v>
      </c>
      <c r="B96" s="443" t="str">
        <f t="shared" ca="1" si="0"/>
        <v/>
      </c>
    </row>
    <row r="97" spans="1:2" ht="15" x14ac:dyDescent="0.2">
      <c r="A97" s="443" t="s">
        <v>454</v>
      </c>
      <c r="B97" s="443" t="str">
        <f t="shared" ca="1" si="0"/>
        <v/>
      </c>
    </row>
    <row r="98" spans="1:2" ht="15" x14ac:dyDescent="0.2">
      <c r="A98" s="443" t="s">
        <v>455</v>
      </c>
      <c r="B98" s="443" t="str">
        <f t="shared" ca="1" si="0"/>
        <v/>
      </c>
    </row>
    <row r="99" spans="1:2" ht="15" x14ac:dyDescent="0.2">
      <c r="A99" s="443" t="s">
        <v>456</v>
      </c>
      <c r="B99" s="443" t="str">
        <f t="shared" ca="1" si="0"/>
        <v/>
      </c>
    </row>
  </sheetData>
  <sheetProtection algorithmName="SHA-512" hashValue="yaW4bK+zFeEqmkTqTfwJtJiS6gVDDdzedQx6ngeWF8atULHAFn+5UqeAWFdOLGMJv276MHPr9Dvys2JMqe6yRw==" saltValue="nNdCunW9osLcPOulr8cD4Q=="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N1"/>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N1"/>
      <pageMargins left="0.75" right="0.5" top="0.5" bottom="0.5" header="0.5" footer="0.5"/>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orientation="portrait" r:id="rId4"/>
      <headerFooter alignWithMargins="0">
        <oddFooter>&amp;R&amp;A</oddFooter>
      </headerFooter>
    </customSheetView>
  </customSheetViews>
  <mergeCells count="71">
    <mergeCell ref="D75:K75"/>
    <mergeCell ref="D76:K76"/>
    <mergeCell ref="D77:K77"/>
    <mergeCell ref="C80:K80"/>
    <mergeCell ref="D50:K50"/>
    <mergeCell ref="D52:K52"/>
    <mergeCell ref="D53:K53"/>
    <mergeCell ref="D57:K57"/>
    <mergeCell ref="D55:K55"/>
    <mergeCell ref="D56:K5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29:K29"/>
    <mergeCell ref="D43:K43"/>
    <mergeCell ref="D44:K44"/>
    <mergeCell ref="D45:K45"/>
    <mergeCell ref="D42:K42"/>
    <mergeCell ref="E30:K30"/>
    <mergeCell ref="D33:K33"/>
    <mergeCell ref="D36:K36"/>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T33:W33"/>
    <mergeCell ref="T40:W40"/>
    <mergeCell ref="T41:W41"/>
    <mergeCell ref="T42:W42"/>
    <mergeCell ref="T43:W43"/>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s>
  <phoneticPr fontId="15" type="noConversion"/>
  <conditionalFormatting sqref="P1:P3">
    <cfRule type="cellIs" dxfId="38"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75" right="0.5" top="0.5" bottom="0.5" header="0.5" footer="0.5"/>
  <pageSetup scale="78" orientation="portrait" r:id="rId5"/>
  <headerFooter alignWithMargins="0">
    <oddFooter>&amp;R&amp;A</oddFooter>
  </headerFooter>
  <legacy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workbookViewId="0">
      <selection activeCell="A22" sqref="A22:L22"/>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3225" t="str">
        <f>+Index!A1</f>
        <v xml:space="preserve">                                                               Office of the State Controller                                                                </v>
      </c>
      <c r="B1" s="3225"/>
      <c r="C1" s="3225"/>
      <c r="D1" s="3225"/>
      <c r="E1" s="3225"/>
      <c r="F1" s="3225"/>
      <c r="G1" s="3225"/>
      <c r="H1" s="3225"/>
      <c r="I1" s="3225"/>
      <c r="J1" s="3225"/>
      <c r="K1" s="3225"/>
      <c r="L1" s="3225"/>
      <c r="M1" s="2768" t="str">
        <f>IF(Index!$B$86="na","NA","")</f>
        <v/>
      </c>
    </row>
    <row r="2" spans="1:13" ht="15.75" x14ac:dyDescent="0.25">
      <c r="A2" s="2749" t="str">
        <f>Index!A2</f>
        <v>2022 ACFR Worksheets</v>
      </c>
      <c r="B2" s="2749"/>
      <c r="C2" s="2749"/>
      <c r="D2" s="2749"/>
      <c r="E2" s="2749"/>
      <c r="F2" s="2749"/>
      <c r="G2" s="2749"/>
      <c r="H2" s="2749"/>
      <c r="I2" s="2749"/>
      <c r="J2" s="2749"/>
      <c r="K2" s="2749"/>
      <c r="L2" s="2749"/>
      <c r="M2" s="2768"/>
    </row>
    <row r="3" spans="1:13" ht="15" customHeight="1" x14ac:dyDescent="0.25">
      <c r="A3" s="3226" t="s">
        <v>4292</v>
      </c>
      <c r="B3" s="3226"/>
      <c r="C3" s="3226"/>
      <c r="D3" s="3226"/>
      <c r="E3" s="3226"/>
      <c r="F3" s="3226"/>
      <c r="G3" s="3226"/>
      <c r="H3" s="3226"/>
      <c r="I3" s="3226"/>
      <c r="J3" s="3226"/>
      <c r="K3" s="3226"/>
      <c r="L3" s="3226"/>
      <c r="M3" s="2768"/>
    </row>
    <row r="4" spans="1:13" x14ac:dyDescent="0.2">
      <c r="A4" s="1691"/>
    </row>
    <row r="5" spans="1:13" x14ac:dyDescent="0.2">
      <c r="H5" s="1692" t="s">
        <v>327</v>
      </c>
      <c r="I5" s="2882" t="str">
        <f>+Index!E10</f>
        <v>01</v>
      </c>
      <c r="J5" s="2882"/>
      <c r="K5" s="2882"/>
      <c r="L5" s="2882"/>
    </row>
    <row r="6" spans="1:13" x14ac:dyDescent="0.2">
      <c r="H6" s="1692" t="s">
        <v>1154</v>
      </c>
      <c r="I6" s="3224" t="str">
        <f>Index!E11</f>
        <v>North Carolina General Assembly</v>
      </c>
      <c r="J6" s="3224"/>
      <c r="K6" s="3224"/>
      <c r="L6" s="3224"/>
    </row>
    <row r="7" spans="1:13" x14ac:dyDescent="0.2">
      <c r="H7" s="1692" t="s">
        <v>4245</v>
      </c>
      <c r="I7" s="3224" t="str">
        <f>CONCATENATE(Index!$E$12," ",Index!$E$14)</f>
        <v xml:space="preserve"> </v>
      </c>
      <c r="J7" s="3224"/>
      <c r="K7" s="3224"/>
      <c r="L7" s="3224"/>
    </row>
    <row r="8" spans="1:13" x14ac:dyDescent="0.2">
      <c r="H8" s="1692" t="s">
        <v>348</v>
      </c>
      <c r="I8" s="3224">
        <f>Index!$E$13</f>
        <v>0</v>
      </c>
      <c r="J8" s="3224"/>
      <c r="K8" s="3224"/>
      <c r="L8" s="3224"/>
    </row>
    <row r="9" spans="1:13" ht="13.5" thickBot="1" x14ac:dyDescent="0.25">
      <c r="A9" s="838"/>
      <c r="B9" s="838"/>
      <c r="C9" s="838"/>
      <c r="D9" s="838"/>
      <c r="E9" s="838"/>
      <c r="F9" s="838"/>
      <c r="G9" s="838"/>
      <c r="H9" s="838"/>
      <c r="I9" s="838"/>
      <c r="J9" s="838"/>
      <c r="K9" s="838"/>
      <c r="L9" s="838"/>
    </row>
    <row r="21" spans="1:12" ht="23.25" customHeight="1" x14ac:dyDescent="0.2">
      <c r="A21" t="s">
        <v>4276</v>
      </c>
    </row>
    <row r="22" spans="1:12" x14ac:dyDescent="0.2">
      <c r="A22" s="3228" t="s">
        <v>4275</v>
      </c>
      <c r="B22" s="3228"/>
      <c r="C22" s="3228"/>
      <c r="D22" s="3228"/>
      <c r="E22" s="3228"/>
      <c r="F22" s="3228"/>
      <c r="G22" s="3228"/>
      <c r="H22" s="3228"/>
      <c r="I22" s="3228"/>
      <c r="J22" s="3228"/>
      <c r="K22" s="3228"/>
      <c r="L22" s="3228"/>
    </row>
    <row r="24" spans="1:12" x14ac:dyDescent="0.2">
      <c r="A24" t="s">
        <v>4331</v>
      </c>
    </row>
    <row r="26" spans="1:12" ht="20.100000000000001" customHeight="1" x14ac:dyDescent="0.2">
      <c r="A26" s="2" t="s">
        <v>4251</v>
      </c>
      <c r="C26" s="1696" t="s">
        <v>213</v>
      </c>
      <c r="D26" s="3023"/>
      <c r="E26" s="3023"/>
      <c r="F26" s="3023"/>
      <c r="G26" s="3023"/>
      <c r="H26" s="3023"/>
      <c r="I26" s="3023"/>
      <c r="J26" s="3023"/>
      <c r="K26" s="3023"/>
      <c r="L26" s="3023"/>
    </row>
    <row r="27" spans="1:12" ht="20.100000000000001" customHeight="1" x14ac:dyDescent="0.2">
      <c r="A27" s="665" t="s">
        <v>4754</v>
      </c>
      <c r="C27" s="1696" t="s">
        <v>214</v>
      </c>
      <c r="D27" s="3230"/>
      <c r="E27" s="3230"/>
      <c r="F27" s="3230"/>
      <c r="G27" s="3230"/>
      <c r="H27" s="3230"/>
      <c r="I27" s="3230"/>
      <c r="J27" s="3230"/>
      <c r="K27" s="3230"/>
      <c r="L27" s="3230"/>
    </row>
    <row r="28" spans="1:12" ht="20.100000000000001" customHeight="1" x14ac:dyDescent="0.2">
      <c r="A28" s="3"/>
      <c r="C28" s="1696" t="s">
        <v>143</v>
      </c>
      <c r="D28" s="3230"/>
      <c r="E28" s="3230"/>
      <c r="F28" s="3230"/>
      <c r="G28" s="3230"/>
      <c r="H28" s="3230"/>
      <c r="I28" s="3230"/>
      <c r="J28" s="3230"/>
      <c r="K28" s="3230"/>
      <c r="L28" s="3230"/>
    </row>
    <row r="29" spans="1:12" ht="20.100000000000001" customHeight="1" x14ac:dyDescent="0.2"/>
    <row r="30" spans="1:12" ht="20.100000000000001" customHeight="1" x14ac:dyDescent="0.2">
      <c r="A30" s="2" t="s">
        <v>4263</v>
      </c>
      <c r="C30" s="1696" t="s">
        <v>213</v>
      </c>
      <c r="D30" s="3023"/>
      <c r="E30" s="3023"/>
      <c r="F30" s="3023"/>
      <c r="G30" s="3023"/>
      <c r="H30" s="3023"/>
      <c r="I30" s="3023"/>
      <c r="J30" s="3023"/>
      <c r="K30" s="3023"/>
      <c r="L30" s="3023"/>
    </row>
    <row r="31" spans="1:12" ht="20.100000000000001" customHeight="1" x14ac:dyDescent="0.2">
      <c r="A31" s="364" t="s">
        <v>4755</v>
      </c>
      <c r="C31" s="1696" t="s">
        <v>214</v>
      </c>
      <c r="D31" s="3230"/>
      <c r="E31" s="3230"/>
      <c r="F31" s="3230"/>
      <c r="G31" s="3230"/>
      <c r="H31" s="3230"/>
      <c r="I31" s="3230"/>
      <c r="J31" s="3230"/>
      <c r="K31" s="3230"/>
      <c r="L31" s="3230"/>
    </row>
    <row r="32" spans="1:12" ht="20.100000000000001" customHeight="1" x14ac:dyDescent="0.2">
      <c r="A32" s="3"/>
      <c r="C32" s="1696" t="s">
        <v>143</v>
      </c>
      <c r="D32" s="3230"/>
      <c r="E32" s="3230"/>
      <c r="F32" s="3230"/>
      <c r="G32" s="3230"/>
      <c r="H32" s="3230"/>
      <c r="I32" s="3230"/>
      <c r="J32" s="3230"/>
      <c r="K32" s="3230"/>
      <c r="L32" s="3230"/>
    </row>
    <row r="33" spans="1:13" ht="8.25" customHeight="1" x14ac:dyDescent="0.2">
      <c r="A33" s="272"/>
    </row>
    <row r="34" spans="1:13" ht="20.100000000000001" customHeight="1" x14ac:dyDescent="0.2">
      <c r="A34" s="2" t="s">
        <v>4264</v>
      </c>
      <c r="C34" s="1696" t="s">
        <v>213</v>
      </c>
      <c r="D34" s="3023"/>
      <c r="E34" s="3023"/>
      <c r="F34" s="3023"/>
      <c r="G34" s="3023"/>
      <c r="H34" s="3023"/>
      <c r="I34" s="3023"/>
      <c r="J34" s="3023"/>
      <c r="K34" s="3023"/>
      <c r="L34" s="3023"/>
    </row>
    <row r="35" spans="1:13" ht="20.100000000000001" customHeight="1" x14ac:dyDescent="0.2">
      <c r="A35" s="665" t="s">
        <v>4756</v>
      </c>
      <c r="C35" s="1696" t="s">
        <v>214</v>
      </c>
      <c r="D35" s="3230"/>
      <c r="E35" s="3230"/>
      <c r="F35" s="3230"/>
      <c r="G35" s="3230"/>
      <c r="H35" s="3230"/>
      <c r="I35" s="3230"/>
      <c r="J35" s="3230"/>
      <c r="K35" s="3230"/>
      <c r="L35" s="3230"/>
    </row>
    <row r="36" spans="1:13" ht="20.100000000000001" customHeight="1" x14ac:dyDescent="0.2">
      <c r="A36" s="3"/>
      <c r="C36" s="1696" t="s">
        <v>143</v>
      </c>
      <c r="D36" s="3229"/>
      <c r="E36" s="3229"/>
      <c r="F36" s="3229"/>
      <c r="G36" s="3229"/>
      <c r="H36" s="3229"/>
      <c r="I36" s="3229"/>
      <c r="J36" s="3229"/>
      <c r="K36" s="3229"/>
      <c r="L36" s="3229"/>
    </row>
    <row r="37" spans="1:13" ht="20.100000000000001" customHeight="1" x14ac:dyDescent="0.2">
      <c r="A37" s="3"/>
      <c r="D37" s="203"/>
      <c r="E37" s="203"/>
      <c r="F37" s="203"/>
      <c r="G37" s="203"/>
      <c r="H37" s="203"/>
      <c r="I37" s="203"/>
      <c r="J37" s="203"/>
      <c r="K37" s="203"/>
      <c r="L37" s="203"/>
    </row>
    <row r="38" spans="1:13" x14ac:dyDescent="0.2">
      <c r="A38" s="2" t="s">
        <v>4471</v>
      </c>
      <c r="K38" s="1695"/>
      <c r="L38" s="1695"/>
      <c r="M38" s="1693"/>
    </row>
    <row r="39" spans="1:13" ht="20.100000000000001" customHeight="1" x14ac:dyDescent="0.2">
      <c r="A39" s="665" t="s">
        <v>4757</v>
      </c>
      <c r="B39" s="272"/>
      <c r="C39" s="1696" t="s">
        <v>213</v>
      </c>
      <c r="D39" s="3227"/>
      <c r="E39" s="3227"/>
      <c r="F39" s="3227"/>
      <c r="G39" s="3227"/>
      <c r="H39" s="3227"/>
      <c r="I39" s="3227"/>
      <c r="J39" s="3227"/>
      <c r="K39" s="3227"/>
      <c r="L39" s="3227"/>
      <c r="M39" s="1693"/>
    </row>
    <row r="40" spans="1:13" ht="20.100000000000001" customHeight="1" x14ac:dyDescent="0.2">
      <c r="A40" s="2"/>
      <c r="B40" s="272"/>
      <c r="C40" s="1696" t="s">
        <v>214</v>
      </c>
      <c r="D40" s="3223"/>
      <c r="E40" s="3223"/>
      <c r="F40" s="3223"/>
      <c r="G40" s="3223"/>
      <c r="H40" s="3223"/>
      <c r="I40" s="3223"/>
      <c r="J40" s="3223"/>
      <c r="K40" s="3223"/>
      <c r="L40" s="3223"/>
      <c r="M40" s="1693"/>
    </row>
    <row r="41" spans="1:13" ht="20.100000000000001" customHeight="1" x14ac:dyDescent="0.2">
      <c r="A41" s="2"/>
      <c r="B41" s="272"/>
      <c r="C41" s="1696" t="s">
        <v>143</v>
      </c>
      <c r="D41" s="3223"/>
      <c r="E41" s="3223"/>
      <c r="F41" s="3223"/>
      <c r="G41" s="3223"/>
      <c r="H41" s="3223"/>
      <c r="I41" s="3223"/>
      <c r="J41" s="3223"/>
      <c r="K41" s="3223"/>
      <c r="L41" s="3223"/>
      <c r="M41" s="1693"/>
    </row>
    <row r="42" spans="1:13" x14ac:dyDescent="0.2">
      <c r="K42" s="1695"/>
      <c r="L42" s="1695"/>
      <c r="M42" s="1693"/>
    </row>
    <row r="43" spans="1:13" ht="24" customHeight="1" x14ac:dyDescent="0.2">
      <c r="A43" s="2" t="s">
        <v>4291</v>
      </c>
      <c r="I43" s="2961"/>
      <c r="J43" s="2961"/>
      <c r="K43" s="2961"/>
      <c r="L43" s="2961"/>
    </row>
    <row r="44" spans="1:13" ht="20.100000000000001" customHeight="1" x14ac:dyDescent="0.2">
      <c r="A44" s="665" t="s">
        <v>4758</v>
      </c>
      <c r="C44" s="1696" t="s">
        <v>213</v>
      </c>
      <c r="D44" s="3023"/>
      <c r="E44" s="3023"/>
      <c r="F44" s="3023"/>
      <c r="G44" s="3023"/>
      <c r="H44" s="3023"/>
      <c r="I44" s="3023"/>
      <c r="J44" s="3023"/>
      <c r="K44" s="3023"/>
      <c r="L44" s="3023"/>
    </row>
    <row r="45" spans="1:13" ht="20.100000000000001" customHeight="1" x14ac:dyDescent="0.2">
      <c r="A45" s="2"/>
      <c r="C45" s="1696" t="s">
        <v>214</v>
      </c>
      <c r="D45" s="3230"/>
      <c r="E45" s="3230"/>
      <c r="F45" s="3230"/>
      <c r="G45" s="3230"/>
      <c r="H45" s="3230"/>
      <c r="I45" s="3230"/>
      <c r="J45" s="3230"/>
      <c r="K45" s="3230"/>
      <c r="L45" s="3230"/>
    </row>
    <row r="46" spans="1:13" ht="20.100000000000001" customHeight="1" x14ac:dyDescent="0.2">
      <c r="A46" s="2"/>
      <c r="C46" s="1696" t="s">
        <v>143</v>
      </c>
      <c r="D46" s="3230"/>
      <c r="E46" s="3230"/>
      <c r="F46" s="3230"/>
      <c r="G46" s="3230"/>
      <c r="H46" s="3230"/>
      <c r="I46" s="3230"/>
      <c r="J46" s="3230"/>
      <c r="K46" s="3230"/>
      <c r="L46" s="3230"/>
    </row>
    <row r="47" spans="1:13" ht="15.75" customHeight="1" x14ac:dyDescent="0.2">
      <c r="A47" s="2"/>
      <c r="I47" s="290"/>
      <c r="J47" s="290"/>
      <c r="K47" s="290"/>
      <c r="L47" s="290"/>
    </row>
    <row r="48" spans="1:13" x14ac:dyDescent="0.2">
      <c r="A48" s="2" t="s">
        <v>4767</v>
      </c>
    </row>
    <row r="49" spans="1:1" x14ac:dyDescent="0.2">
      <c r="A49" s="2" t="s">
        <v>4909</v>
      </c>
    </row>
    <row r="50" spans="1:1" x14ac:dyDescent="0.2">
      <c r="A50" s="2"/>
    </row>
  </sheetData>
  <sheetProtection algorithmName="SHA-512" hashValue="ibOUAcJ8iWRGVlExGFXiZUdN9E9rwIVW+yfzOZQpeiK98pgivygFDDrnqUxe4bFMzjFTIRKq2i9NG7j83lzADw==" saltValue="hYDTRFNRcHeJ0W48SIl5AQ==" spinCount="100000" sheet="1" objects="1" scenarios="1" autoFilter="0"/>
  <mergeCells count="25">
    <mergeCell ref="D36:L36"/>
    <mergeCell ref="D44:L44"/>
    <mergeCell ref="D45:L45"/>
    <mergeCell ref="D46:L46"/>
    <mergeCell ref="D27:L27"/>
    <mergeCell ref="D28:L28"/>
    <mergeCell ref="D31:L31"/>
    <mergeCell ref="D32:L32"/>
    <mergeCell ref="D35:L3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s>
  <conditionalFormatting sqref="M1:M3">
    <cfRule type="cellIs" dxfId="37" priority="1" stopIfTrue="1" operator="equal">
      <formula>"na"</formula>
    </cfRule>
  </conditionalFormatting>
  <hyperlinks>
    <hyperlink ref="A22" r:id="rId1" display="http://ncosc.s3.amazonaws.com/s3fs-public/documents/GASB_Resources/Financial_Reporting_Updates/gasb_standard_77.pdf" xr:uid="{00000000-0004-0000-3C00-000000000000}"/>
    <hyperlink ref="A22:L22" r:id="rId2" display="Financial Reporting Update GASB 77" xr:uid="{00000000-0004-0000-3C00-000001000000}"/>
    <hyperlink ref="A1:L1" location="Index!A1" display="Index!A1" xr:uid="{DC4C6F33-8261-4198-BD7C-CD47816F6ED1}"/>
  </hyperlinks>
  <pageMargins left="0.5" right="0.5" top="0.25" bottom="0.25" header="0.3" footer="0.3"/>
  <pageSetup scale="85" orientation="portrait" r:id="rId3"/>
  <headerFooter>
    <oddFooter>&amp;R&amp;A</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M88"/>
  <sheetViews>
    <sheetView showGridLines="0" topLeftCell="B1" zoomScaleNormal="100" workbookViewId="0">
      <selection activeCell="R17" sqref="R17"/>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8.5703125" style="61" customWidth="1"/>
    <col min="6" max="6" width="22.5703125" style="61" customWidth="1"/>
    <col min="7" max="7" width="7.5703125" style="61" customWidth="1"/>
    <col min="8" max="8" width="8.5703125" style="61" customWidth="1"/>
    <col min="9" max="9" width="7.42578125" style="61" customWidth="1"/>
    <col min="10" max="10" width="21.5703125" style="61" customWidth="1"/>
    <col min="11" max="11" width="4.5703125" style="61" customWidth="1"/>
    <col min="12" max="16384" width="9.42578125" style="61"/>
  </cols>
  <sheetData>
    <row r="1" spans="1:12" ht="15.75" x14ac:dyDescent="0.25">
      <c r="A1" s="61" t="str">
        <f t="shared" ref="A1:A10" si="0">AgyIdx</f>
        <v>01</v>
      </c>
      <c r="B1" s="2697" t="str">
        <f>+Index!$A$1</f>
        <v xml:space="preserve">                                                               Office of the State Controller                                                                </v>
      </c>
      <c r="C1" s="2697"/>
      <c r="D1" s="2697"/>
      <c r="E1" s="2697"/>
      <c r="F1" s="2697"/>
      <c r="G1" s="2697"/>
      <c r="H1" s="2697"/>
      <c r="I1" s="2697"/>
      <c r="J1" s="2697"/>
      <c r="K1" s="2750"/>
    </row>
    <row r="2" spans="1:12" ht="15.75" x14ac:dyDescent="0.25">
      <c r="A2" s="61" t="str">
        <f t="shared" si="0"/>
        <v>01</v>
      </c>
      <c r="B2" s="2753" t="str">
        <f>+Index!$A$2</f>
        <v>2022 ACFR Worksheets</v>
      </c>
      <c r="C2" s="2753"/>
      <c r="D2" s="2753"/>
      <c r="E2" s="2753"/>
      <c r="F2" s="2753"/>
      <c r="G2" s="2753"/>
      <c r="H2" s="2753"/>
      <c r="I2" s="2753"/>
      <c r="J2" s="2753"/>
      <c r="K2" s="2750"/>
    </row>
    <row r="3" spans="1:12" ht="15.75" x14ac:dyDescent="0.25">
      <c r="A3" s="61" t="str">
        <f t="shared" si="0"/>
        <v>01</v>
      </c>
      <c r="B3" s="2754" t="s">
        <v>3818</v>
      </c>
      <c r="C3" s="2754"/>
      <c r="D3" s="2754"/>
      <c r="E3" s="2754"/>
      <c r="F3" s="2754"/>
      <c r="G3" s="2754"/>
      <c r="H3" s="2754"/>
      <c r="I3" s="2754"/>
      <c r="J3" s="2754"/>
      <c r="K3" s="2750"/>
    </row>
    <row r="4" spans="1:12" ht="12.75" customHeight="1" x14ac:dyDescent="0.2">
      <c r="A4" s="61" t="str">
        <f t="shared" si="0"/>
        <v>01</v>
      </c>
      <c r="B4" s="454"/>
      <c r="C4" s="454"/>
      <c r="D4" s="454"/>
      <c r="E4" s="454"/>
      <c r="F4" s="454"/>
      <c r="G4" s="454"/>
      <c r="H4" s="454"/>
      <c r="I4" s="454"/>
      <c r="J4" s="447"/>
      <c r="K4" s="448"/>
    </row>
    <row r="5" spans="1:12" x14ac:dyDescent="0.2">
      <c r="A5" s="61" t="str">
        <f t="shared" si="0"/>
        <v>01</v>
      </c>
      <c r="B5" s="1089"/>
      <c r="C5" s="1089"/>
      <c r="D5" s="1089"/>
      <c r="E5" s="451"/>
      <c r="F5" s="1345"/>
      <c r="G5" s="1335" t="s">
        <v>327</v>
      </c>
      <c r="H5" s="1336" t="str">
        <f>+Index!$E$10</f>
        <v>01</v>
      </c>
      <c r="I5" s="1337"/>
      <c r="J5" s="1337"/>
    </row>
    <row r="6" spans="1:12" x14ac:dyDescent="0.2">
      <c r="A6" s="61" t="str">
        <f t="shared" si="0"/>
        <v>01</v>
      </c>
      <c r="B6" s="1089"/>
      <c r="C6" s="1089"/>
      <c r="D6" s="1089"/>
      <c r="E6" s="1089"/>
      <c r="F6" s="1333"/>
      <c r="G6" s="1335" t="s">
        <v>1154</v>
      </c>
      <c r="H6" s="1338" t="str">
        <f>AgyName</f>
        <v>North Carolina General Assembly</v>
      </c>
      <c r="I6" s="1339"/>
      <c r="J6" s="1339"/>
    </row>
    <row r="7" spans="1:12" x14ac:dyDescent="0.2">
      <c r="A7" s="61" t="str">
        <f t="shared" si="0"/>
        <v>01</v>
      </c>
      <c r="B7" s="2770" t="s">
        <v>3447</v>
      </c>
      <c r="C7" s="2739"/>
      <c r="D7" s="2739"/>
      <c r="E7" s="1334" t="s">
        <v>805</v>
      </c>
      <c r="F7" s="454"/>
      <c r="G7" s="1335" t="s">
        <v>972</v>
      </c>
      <c r="H7" s="1340" t="str">
        <f>CONCATENATE(Index!$E$12," ",Index!$E$14)</f>
        <v xml:space="preserve"> </v>
      </c>
      <c r="I7" s="1370"/>
      <c r="J7" s="1370"/>
    </row>
    <row r="8" spans="1:12" x14ac:dyDescent="0.2">
      <c r="A8" s="61" t="str">
        <f t="shared" si="0"/>
        <v>01</v>
      </c>
      <c r="B8" s="1333"/>
      <c r="C8" s="1333"/>
      <c r="D8" s="1345"/>
      <c r="E8" s="454"/>
      <c r="F8" s="454"/>
      <c r="G8" s="1335" t="s">
        <v>348</v>
      </c>
      <c r="H8" s="1340">
        <f>+Index!$E$13</f>
        <v>0</v>
      </c>
      <c r="I8" s="1370"/>
      <c r="J8" s="1370"/>
    </row>
    <row r="9" spans="1:12" ht="10.35" customHeight="1" thickBot="1" x14ac:dyDescent="0.25">
      <c r="A9" s="61" t="str">
        <f t="shared" si="0"/>
        <v>01</v>
      </c>
      <c r="B9" s="1346"/>
      <c r="C9" s="1346"/>
      <c r="D9" s="1346"/>
      <c r="E9" s="1346"/>
      <c r="F9" s="1346"/>
      <c r="G9" s="1346"/>
      <c r="H9" s="1346"/>
      <c r="I9" s="1346"/>
      <c r="J9" s="1346"/>
    </row>
    <row r="10" spans="1:12" ht="9" customHeight="1" x14ac:dyDescent="0.25">
      <c r="A10" s="61" t="str">
        <f t="shared" si="0"/>
        <v>01</v>
      </c>
      <c r="B10" s="1341"/>
      <c r="C10" s="1341"/>
      <c r="D10" s="1341"/>
      <c r="E10" s="1341"/>
      <c r="F10" s="1341"/>
      <c r="G10" s="1341"/>
      <c r="H10" s="1341"/>
      <c r="I10" s="1341"/>
      <c r="J10" s="1341"/>
    </row>
    <row r="11" spans="1:12" ht="15.75" customHeight="1" x14ac:dyDescent="0.2">
      <c r="B11" s="1204" t="s">
        <v>3448</v>
      </c>
      <c r="C11" s="1204"/>
      <c r="D11" s="1204"/>
      <c r="E11" s="1204"/>
      <c r="F11" s="1204"/>
      <c r="G11" s="1204"/>
      <c r="H11" s="1204"/>
      <c r="I11" s="1204"/>
      <c r="J11" s="1204"/>
      <c r="K11" s="1342"/>
      <c r="L11" s="1306"/>
    </row>
    <row r="12" spans="1:12" ht="12.75" customHeight="1" x14ac:dyDescent="0.2">
      <c r="B12" s="1204" t="s">
        <v>3463</v>
      </c>
      <c r="C12" s="1204"/>
      <c r="D12" s="1204"/>
      <c r="E12" s="1204"/>
      <c r="F12" s="1204"/>
      <c r="G12" s="1204"/>
      <c r="H12" s="1204"/>
      <c r="I12" s="1204"/>
      <c r="J12" s="1204"/>
      <c r="K12" s="1342"/>
      <c r="L12" s="1306"/>
    </row>
    <row r="13" spans="1:12" ht="12.75" customHeight="1" x14ac:dyDescent="0.2">
      <c r="B13" s="1204"/>
      <c r="C13" s="1204"/>
      <c r="D13" s="1204"/>
      <c r="E13" s="1204"/>
      <c r="F13" s="1204"/>
      <c r="G13" s="1204"/>
      <c r="H13" s="1204"/>
      <c r="I13" s="1204"/>
      <c r="J13" s="1204"/>
      <c r="K13" s="1342"/>
      <c r="L13" s="1306"/>
    </row>
    <row r="14" spans="1:12" s="63" customFormat="1" ht="12.75" customHeight="1" x14ac:dyDescent="0.25">
      <c r="B14" s="1204" t="s">
        <v>3461</v>
      </c>
      <c r="C14" s="1088"/>
      <c r="D14" s="1089"/>
      <c r="E14" s="1089"/>
      <c r="F14" s="1089"/>
      <c r="G14" s="1089"/>
      <c r="H14" s="1089"/>
      <c r="I14" s="1089"/>
      <c r="J14" s="1089"/>
      <c r="K14" s="61"/>
    </row>
    <row r="15" spans="1:12" s="63" customFormat="1" ht="12.75" customHeight="1" x14ac:dyDescent="0.25">
      <c r="B15" s="1204" t="s">
        <v>3462</v>
      </c>
      <c r="C15" s="1088"/>
      <c r="D15" s="1089"/>
      <c r="E15" s="1089"/>
      <c r="F15" s="1089"/>
      <c r="G15" s="1089"/>
      <c r="H15" s="1089"/>
      <c r="I15" s="1089"/>
      <c r="J15" s="1089"/>
      <c r="K15" s="61"/>
    </row>
    <row r="16" spans="1:12" s="63" customFormat="1" ht="8.1" customHeight="1" x14ac:dyDescent="0.25">
      <c r="B16" s="1204"/>
      <c r="C16" s="1088"/>
      <c r="D16" s="1089"/>
      <c r="E16" s="1089"/>
      <c r="F16" s="1089"/>
      <c r="G16" s="1089"/>
      <c r="H16" s="1089"/>
      <c r="I16" s="1089"/>
      <c r="J16" s="1089"/>
      <c r="K16" s="61"/>
    </row>
    <row r="17" spans="2:13" s="63" customFormat="1" ht="12.75" customHeight="1" x14ac:dyDescent="0.25">
      <c r="B17" s="1089"/>
      <c r="C17" s="1204" t="s">
        <v>213</v>
      </c>
      <c r="D17" s="2771" t="s">
        <v>3445</v>
      </c>
      <c r="E17" s="2739"/>
      <c r="F17" s="2739"/>
      <c r="G17" s="2739"/>
      <c r="H17" s="2739"/>
      <c r="I17" s="2739"/>
      <c r="J17" s="2739"/>
      <c r="K17" s="61"/>
    </row>
    <row r="18" spans="2:13" s="63" customFormat="1" ht="12.75" customHeight="1" x14ac:dyDescent="0.25">
      <c r="B18" s="1089"/>
      <c r="C18" s="1204"/>
      <c r="D18" s="2771" t="s">
        <v>3456</v>
      </c>
      <c r="E18" s="2739"/>
      <c r="F18" s="2739"/>
      <c r="G18" s="2739"/>
      <c r="H18" s="2739"/>
      <c r="I18" s="2739"/>
      <c r="J18" s="2739"/>
      <c r="K18" s="61"/>
    </row>
    <row r="19" spans="2:13" s="63" customFormat="1" ht="12.75" customHeight="1" x14ac:dyDescent="0.25">
      <c r="B19" s="1089"/>
      <c r="C19" s="1204"/>
      <c r="D19" s="2771" t="s">
        <v>3449</v>
      </c>
      <c r="E19" s="2739"/>
      <c r="F19" s="2739"/>
      <c r="G19" s="2739"/>
      <c r="H19" s="2739"/>
      <c r="I19" s="2739"/>
      <c r="J19" s="2739"/>
      <c r="K19" s="61"/>
    </row>
    <row r="20" spans="2:13" s="63" customFormat="1" ht="12.75" customHeight="1" x14ac:dyDescent="0.25">
      <c r="B20" s="1089"/>
      <c r="C20" s="1204"/>
      <c r="D20" s="2771" t="s">
        <v>3450</v>
      </c>
      <c r="E20" s="2739"/>
      <c r="F20" s="2739"/>
      <c r="G20" s="2739"/>
      <c r="H20" s="2739"/>
      <c r="I20" s="2739"/>
      <c r="J20" s="2739"/>
      <c r="K20" s="61"/>
    </row>
    <row r="21" spans="2:13" s="63" customFormat="1" ht="12.75" customHeight="1" x14ac:dyDescent="0.25">
      <c r="B21" s="1089"/>
      <c r="C21" s="1204"/>
      <c r="D21" s="1347" t="s">
        <v>3457</v>
      </c>
      <c r="E21" s="272"/>
      <c r="F21" s="272"/>
      <c r="G21" s="272"/>
      <c r="H21" s="272"/>
      <c r="I21" s="272"/>
      <c r="J21" s="272"/>
      <c r="K21" s="61"/>
    </row>
    <row r="22" spans="2:13" s="63" customFormat="1" ht="12.75" customHeight="1" x14ac:dyDescent="0.25">
      <c r="B22" s="1089"/>
      <c r="C22" s="1204"/>
      <c r="D22" s="1347" t="s">
        <v>3455</v>
      </c>
      <c r="E22" s="272"/>
      <c r="F22" s="272"/>
      <c r="G22" s="272"/>
      <c r="H22" s="272"/>
      <c r="I22" s="272"/>
      <c r="J22" s="272"/>
      <c r="K22" s="61"/>
    </row>
    <row r="23" spans="2:13" s="63" customFormat="1" ht="12.75" customHeight="1" x14ac:dyDescent="0.25">
      <c r="B23" s="1089"/>
      <c r="C23" s="1204"/>
      <c r="D23" s="1347" t="s">
        <v>3464</v>
      </c>
      <c r="E23" s="272"/>
      <c r="F23" s="272"/>
      <c r="G23" s="272"/>
      <c r="H23" s="272"/>
      <c r="I23" s="272"/>
      <c r="J23" s="272"/>
      <c r="K23" s="61"/>
    </row>
    <row r="24" spans="2:13" s="63" customFormat="1" ht="4.3499999999999996" customHeight="1" x14ac:dyDescent="0.25">
      <c r="B24" s="1089"/>
      <c r="C24" s="1204"/>
      <c r="D24" s="1347"/>
      <c r="E24" s="272"/>
      <c r="F24" s="272"/>
      <c r="G24" s="272"/>
      <c r="H24" s="272"/>
      <c r="I24" s="272"/>
      <c r="J24" s="272"/>
      <c r="K24" s="61"/>
    </row>
    <row r="25" spans="2:13" s="63" customFormat="1" ht="12.75" customHeight="1" x14ac:dyDescent="0.25">
      <c r="B25" s="1089"/>
      <c r="C25" s="1204" t="s">
        <v>214</v>
      </c>
      <c r="D25" s="2771" t="s">
        <v>3458</v>
      </c>
      <c r="E25" s="2739"/>
      <c r="F25" s="2739"/>
      <c r="G25" s="2739"/>
      <c r="H25" s="2739"/>
      <c r="I25" s="2739"/>
      <c r="J25" s="2739"/>
      <c r="K25" s="61"/>
    </row>
    <row r="26" spans="2:13" s="63" customFormat="1" ht="4.3499999999999996" customHeight="1" x14ac:dyDescent="0.25">
      <c r="B26" s="1089"/>
      <c r="C26" s="1204"/>
      <c r="D26" s="1343"/>
      <c r="E26" s="272"/>
      <c r="F26" s="272"/>
      <c r="G26" s="272"/>
      <c r="H26" s="272"/>
      <c r="I26" s="272"/>
      <c r="J26" s="272"/>
      <c r="K26" s="61"/>
    </row>
    <row r="27" spans="2:13" s="63" customFormat="1" ht="12.75" customHeight="1" x14ac:dyDescent="0.25">
      <c r="B27" s="1089"/>
      <c r="C27" s="1204" t="s">
        <v>143</v>
      </c>
      <c r="D27" s="2771" t="s">
        <v>3452</v>
      </c>
      <c r="E27" s="2739"/>
      <c r="F27" s="2739"/>
      <c r="G27" s="2739"/>
      <c r="H27" s="2739"/>
      <c r="I27" s="2739"/>
      <c r="J27" s="2739"/>
      <c r="K27" s="61"/>
    </row>
    <row r="28" spans="2:13" s="63" customFormat="1" ht="12.75" customHeight="1" x14ac:dyDescent="0.25">
      <c r="B28" s="1089"/>
      <c r="C28" s="1204"/>
      <c r="D28" s="2771" t="s">
        <v>3453</v>
      </c>
      <c r="E28" s="2739"/>
      <c r="F28" s="2739"/>
      <c r="G28" s="2739"/>
      <c r="H28" s="2739"/>
      <c r="I28" s="2739"/>
      <c r="J28" s="2739"/>
      <c r="K28" s="61"/>
    </row>
    <row r="29" spans="2:13" s="63" customFormat="1" ht="12.75" customHeight="1" x14ac:dyDescent="0.25">
      <c r="B29" s="1089"/>
      <c r="C29" s="1204"/>
      <c r="D29" s="2771" t="s">
        <v>3454</v>
      </c>
      <c r="E29" s="2739"/>
      <c r="F29" s="2739"/>
      <c r="G29" s="2739"/>
      <c r="H29" s="2739"/>
      <c r="I29" s="2739"/>
      <c r="J29" s="2739"/>
      <c r="K29" s="61"/>
    </row>
    <row r="30" spans="2:13" s="63" customFormat="1" ht="4.3499999999999996" customHeight="1" x14ac:dyDescent="0.25">
      <c r="B30" s="1089"/>
      <c r="C30" s="1204"/>
      <c r="D30" s="1343"/>
      <c r="E30" s="272"/>
      <c r="F30" s="272"/>
      <c r="G30" s="272"/>
      <c r="H30" s="272"/>
      <c r="I30" s="272"/>
      <c r="J30" s="272"/>
      <c r="K30" s="61"/>
    </row>
    <row r="31" spans="2:13" s="63" customFormat="1" ht="12.75" customHeight="1" x14ac:dyDescent="0.25">
      <c r="B31" s="1089"/>
      <c r="C31" s="1204" t="s">
        <v>1231</v>
      </c>
      <c r="D31" s="2771" t="s">
        <v>3446</v>
      </c>
      <c r="E31" s="2739"/>
      <c r="F31" s="2739"/>
      <c r="G31" s="2739"/>
      <c r="H31" s="2739"/>
      <c r="I31" s="2739"/>
      <c r="J31" s="2739"/>
      <c r="K31" s="61"/>
      <c r="L31" s="1307"/>
      <c r="M31" s="908"/>
    </row>
    <row r="32" spans="2:13" s="63" customFormat="1" ht="12.75" customHeight="1" x14ac:dyDescent="0.25">
      <c r="B32" s="1204"/>
      <c r="C32" s="1089"/>
      <c r="D32" s="2771" t="s">
        <v>1959</v>
      </c>
      <c r="E32" s="2739"/>
      <c r="F32" s="2739"/>
      <c r="G32" s="2739"/>
      <c r="H32" s="2739"/>
      <c r="I32" s="2739"/>
      <c r="J32" s="2739"/>
      <c r="K32" s="1089"/>
      <c r="L32" s="1307"/>
      <c r="M32" s="908"/>
    </row>
    <row r="33" spans="2:12" s="63" customFormat="1" ht="15.75" customHeight="1" x14ac:dyDescent="0.25">
      <c r="B33" s="1088"/>
      <c r="C33" s="1088"/>
      <c r="D33" s="1089"/>
      <c r="E33" s="1089"/>
      <c r="F33" s="1089"/>
      <c r="G33" s="1089"/>
      <c r="H33" s="1089"/>
      <c r="I33" s="1089"/>
      <c r="J33" s="1089"/>
      <c r="K33" s="61"/>
    </row>
    <row r="34" spans="2:12" s="63" customFormat="1" ht="12.75" customHeight="1" x14ac:dyDescent="0.25">
      <c r="B34" s="1204" t="s">
        <v>3460</v>
      </c>
      <c r="C34" s="1088"/>
      <c r="D34" s="1089"/>
      <c r="E34" s="1089"/>
      <c r="F34" s="1089"/>
      <c r="G34" s="1089"/>
      <c r="H34" s="1089"/>
      <c r="I34" s="1089"/>
      <c r="J34" s="1089"/>
      <c r="K34" s="61"/>
    </row>
    <row r="35" spans="2:12" s="63" customFormat="1" ht="12.75" customHeight="1" x14ac:dyDescent="0.25">
      <c r="B35" s="1204" t="s">
        <v>3459</v>
      </c>
      <c r="C35" s="1088"/>
      <c r="D35" s="1089"/>
      <c r="E35" s="1089"/>
      <c r="F35" s="1089"/>
      <c r="G35" s="1089"/>
      <c r="H35" s="1089"/>
      <c r="I35" s="1089"/>
      <c r="J35" s="1089"/>
      <c r="K35" s="61"/>
    </row>
    <row r="36" spans="2:12" s="63" customFormat="1" ht="12.75" customHeight="1" x14ac:dyDescent="0.25">
      <c r="B36" s="1088"/>
      <c r="C36" s="1088"/>
      <c r="D36" s="1089"/>
      <c r="E36" s="1089"/>
      <c r="F36" s="1089"/>
      <c r="G36" s="1089"/>
      <c r="H36" s="1089"/>
      <c r="I36" s="1089"/>
      <c r="J36" s="1089"/>
      <c r="K36" s="61"/>
    </row>
    <row r="37" spans="2:12" s="63" customFormat="1" ht="12.75" customHeight="1" x14ac:dyDescent="0.25">
      <c r="B37" s="1088"/>
      <c r="C37" s="1088"/>
      <c r="D37" s="1090" t="s">
        <v>969</v>
      </c>
      <c r="E37" s="1369"/>
      <c r="F37" s="1420" t="str">
        <f>IF(AND(ISBLANK(E37),ISBLANK(E38))=TRUE,"Answer Missing"," ")</f>
        <v>Answer Missing</v>
      </c>
      <c r="G37" s="1089"/>
      <c r="H37" s="1089"/>
      <c r="I37" s="1089"/>
      <c r="J37" s="1089"/>
      <c r="K37" s="61"/>
    </row>
    <row r="38" spans="2:12" s="63" customFormat="1" ht="12.75" customHeight="1" x14ac:dyDescent="0.25">
      <c r="B38" s="1088"/>
      <c r="C38" s="1088"/>
      <c r="D38" s="1090" t="s">
        <v>970</v>
      </c>
      <c r="E38" s="1369"/>
      <c r="F38" s="1089"/>
      <c r="G38" s="1089"/>
      <c r="H38" s="1089"/>
      <c r="I38" s="1089"/>
      <c r="J38" s="1089"/>
      <c r="K38" s="61"/>
    </row>
    <row r="39" spans="2:12" s="63" customFormat="1" ht="12.75" customHeight="1" x14ac:dyDescent="0.25">
      <c r="B39" s="1088"/>
      <c r="C39" s="1088"/>
      <c r="D39" s="1089"/>
      <c r="E39" s="1089"/>
      <c r="F39" s="1089"/>
      <c r="G39" s="1089"/>
      <c r="H39" s="1089"/>
      <c r="I39" s="1089"/>
      <c r="J39" s="1089"/>
      <c r="K39" s="61"/>
    </row>
    <row r="40" spans="2:12" s="63" customFormat="1" ht="12.75" customHeight="1" x14ac:dyDescent="0.25">
      <c r="B40" s="1089"/>
      <c r="C40" s="1089"/>
      <c r="D40" s="1089"/>
      <c r="E40" s="1089"/>
      <c r="F40" s="1089"/>
      <c r="G40" s="1089"/>
      <c r="H40" s="1089"/>
      <c r="I40" s="1089"/>
      <c r="J40" s="1089"/>
      <c r="K40" s="61"/>
    </row>
    <row r="41" spans="2:12" s="63" customFormat="1" ht="12.75" customHeight="1" x14ac:dyDescent="0.25">
      <c r="B41" s="1344" t="s">
        <v>1955</v>
      </c>
      <c r="C41" s="1088"/>
      <c r="D41" s="1089"/>
      <c r="E41" s="1089"/>
      <c r="F41" s="1089"/>
      <c r="G41" s="1089"/>
      <c r="H41" s="1089"/>
      <c r="I41" s="1089"/>
      <c r="J41" s="1089"/>
      <c r="K41" s="61"/>
    </row>
    <row r="42" spans="2:12" ht="12.75" customHeight="1" x14ac:dyDescent="0.2">
      <c r="B42" s="1204" t="s">
        <v>3451</v>
      </c>
      <c r="C42" s="273"/>
      <c r="D42" s="273"/>
      <c r="E42" s="273"/>
      <c r="F42" s="273"/>
      <c r="G42" s="273"/>
      <c r="H42" s="273"/>
      <c r="I42" s="273"/>
      <c r="J42" s="1089"/>
    </row>
    <row r="43" spans="2:12" ht="12.75" customHeight="1" x14ac:dyDescent="0.2">
      <c r="B43" s="1204" t="s">
        <v>4921</v>
      </c>
      <c r="C43" s="273"/>
      <c r="D43" s="273"/>
      <c r="E43" s="273"/>
      <c r="F43" s="273"/>
      <c r="G43" s="273"/>
      <c r="H43" s="273"/>
      <c r="I43" s="273"/>
      <c r="J43" s="1089"/>
    </row>
    <row r="44" spans="2:12" ht="12" customHeight="1" x14ac:dyDescent="0.2">
      <c r="B44" s="1088"/>
      <c r="C44" s="1088"/>
      <c r="D44" s="1089"/>
      <c r="E44" s="1089"/>
      <c r="F44" s="1089"/>
      <c r="G44" s="1089"/>
      <c r="H44" s="1089"/>
      <c r="I44" s="1089"/>
      <c r="J44" s="1089"/>
    </row>
    <row r="45" spans="2:12" ht="5.0999999999999996" customHeight="1" x14ac:dyDescent="0.2">
      <c r="B45" s="1088"/>
      <c r="C45" s="1088"/>
      <c r="D45" s="1089"/>
      <c r="E45" s="1089"/>
      <c r="F45" s="1089"/>
      <c r="G45" s="1089"/>
      <c r="H45" s="1089"/>
      <c r="I45" s="1089"/>
      <c r="J45" s="1089"/>
    </row>
    <row r="46" spans="2:12" ht="15.75" customHeight="1" x14ac:dyDescent="0.2">
      <c r="B46" s="1089"/>
      <c r="C46" s="1089"/>
      <c r="D46" s="1089"/>
      <c r="E46" s="1089"/>
      <c r="F46" s="1089"/>
      <c r="G46" s="1089"/>
      <c r="H46" s="1089"/>
      <c r="I46" s="1089"/>
      <c r="J46" s="1089"/>
    </row>
    <row r="47" spans="2:12" ht="15.75" customHeight="1" x14ac:dyDescent="0.2">
      <c r="B47" s="1089"/>
      <c r="C47" s="1089"/>
      <c r="D47" s="1089"/>
      <c r="E47" s="1089"/>
      <c r="F47" s="1089"/>
      <c r="G47" s="1089"/>
      <c r="H47" s="1089"/>
      <c r="I47" s="1089"/>
      <c r="J47" s="273"/>
      <c r="K47" s="273"/>
      <c r="L47" s="40"/>
    </row>
    <row r="48" spans="2:12" ht="15.75" customHeight="1" x14ac:dyDescent="0.2">
      <c r="B48" s="1089"/>
      <c r="C48" s="1089"/>
      <c r="D48" s="1089"/>
      <c r="E48" s="1089"/>
      <c r="F48" s="1089"/>
      <c r="G48" s="1089"/>
      <c r="H48" s="1089"/>
      <c r="I48" s="1089"/>
      <c r="J48" s="273"/>
      <c r="K48" s="273"/>
      <c r="L48" s="273"/>
    </row>
    <row r="49" spans="2:10" ht="15.75" customHeight="1" x14ac:dyDescent="0.2">
      <c r="B49" s="1088"/>
      <c r="C49" s="1088"/>
      <c r="D49" s="1089"/>
      <c r="E49" s="1089"/>
      <c r="F49" s="1089"/>
      <c r="G49" s="1089"/>
      <c r="H49" s="1089"/>
      <c r="I49" s="1089"/>
      <c r="J49" s="1089"/>
    </row>
    <row r="50" spans="2:10" ht="12" customHeight="1" x14ac:dyDescent="0.2">
      <c r="B50" s="1088"/>
      <c r="C50" s="1088"/>
      <c r="D50" s="1089"/>
      <c r="E50" s="1089"/>
      <c r="F50" s="1089"/>
      <c r="G50" s="1089"/>
      <c r="H50" s="1089"/>
      <c r="I50" s="1089"/>
      <c r="J50" s="1089"/>
    </row>
    <row r="51" spans="2:10" ht="12" customHeight="1" x14ac:dyDescent="0.2">
      <c r="B51" s="1088"/>
      <c r="C51" s="1088"/>
      <c r="D51" s="1089"/>
      <c r="E51" s="1089"/>
      <c r="F51" s="1089"/>
      <c r="G51" s="1089"/>
      <c r="H51" s="1089"/>
      <c r="I51" s="1089"/>
      <c r="J51" s="1089"/>
    </row>
    <row r="52" spans="2:10" ht="12" customHeight="1" x14ac:dyDescent="0.2">
      <c r="B52" s="1088"/>
      <c r="C52" s="1088"/>
      <c r="D52" s="1089"/>
      <c r="E52" s="1089"/>
      <c r="F52" s="1089"/>
      <c r="G52" s="1089"/>
      <c r="H52" s="1089"/>
      <c r="I52" s="1089"/>
      <c r="J52" s="1089"/>
    </row>
    <row r="53" spans="2:10" ht="12" customHeight="1" x14ac:dyDescent="0.2">
      <c r="B53" s="1088"/>
      <c r="C53" s="1088"/>
      <c r="D53" s="1089"/>
      <c r="E53" s="1089"/>
      <c r="F53" s="1089"/>
      <c r="G53" s="1089"/>
      <c r="H53" s="1089"/>
      <c r="I53" s="1089"/>
      <c r="J53" s="1089"/>
    </row>
    <row r="54" spans="2:10" ht="5.0999999999999996" customHeight="1" x14ac:dyDescent="0.2">
      <c r="B54" s="1088"/>
      <c r="C54" s="1088"/>
      <c r="D54" s="1089"/>
      <c r="E54" s="1089"/>
      <c r="F54" s="1089"/>
      <c r="G54" s="1089"/>
      <c r="H54" s="1089"/>
      <c r="I54" s="1089"/>
      <c r="J54" s="1089"/>
    </row>
    <row r="55" spans="2:10" ht="12" customHeight="1" x14ac:dyDescent="0.2">
      <c r="B55" s="1088"/>
      <c r="C55" s="1088"/>
      <c r="D55" s="1089"/>
      <c r="E55" s="1089"/>
      <c r="F55" s="1089"/>
      <c r="G55" s="1089"/>
      <c r="H55" s="1089"/>
      <c r="I55" s="1089"/>
      <c r="J55" s="1089"/>
    </row>
    <row r="56" spans="2:10" ht="12" customHeight="1" x14ac:dyDescent="0.2">
      <c r="B56" s="1088"/>
      <c r="C56" s="1088"/>
      <c r="D56" s="1089"/>
      <c r="E56" s="1089"/>
      <c r="F56" s="1089"/>
      <c r="G56" s="1089"/>
      <c r="H56" s="1089"/>
      <c r="I56" s="1089"/>
      <c r="J56" s="1089"/>
    </row>
    <row r="57" spans="2:10" ht="12" customHeight="1" x14ac:dyDescent="0.2">
      <c r="B57" s="1088"/>
      <c r="C57" s="1088"/>
      <c r="D57" s="1089"/>
      <c r="E57" s="1089"/>
      <c r="F57" s="1089"/>
      <c r="G57" s="1089"/>
      <c r="H57" s="1089"/>
      <c r="I57" s="1089"/>
      <c r="J57" s="1089"/>
    </row>
    <row r="58" spans="2:10" ht="12" customHeight="1" x14ac:dyDescent="0.2">
      <c r="B58" s="1088"/>
      <c r="C58" s="1088"/>
      <c r="D58" s="1089"/>
      <c r="E58" s="1089"/>
      <c r="F58" s="1089"/>
      <c r="G58" s="1089"/>
      <c r="H58" s="1089"/>
      <c r="I58" s="1089"/>
      <c r="J58" s="1089"/>
    </row>
    <row r="59" spans="2:10" ht="12" customHeight="1" x14ac:dyDescent="0.2">
      <c r="B59" s="456"/>
      <c r="C59" s="456"/>
      <c r="D59" s="457"/>
      <c r="E59" s="457"/>
      <c r="F59" s="457"/>
      <c r="G59" s="457"/>
      <c r="H59" s="457"/>
      <c r="I59" s="457"/>
      <c r="J59" s="457"/>
    </row>
    <row r="60" spans="2:10" ht="12" customHeight="1" x14ac:dyDescent="0.2">
      <c r="B60" s="456"/>
      <c r="C60" s="456"/>
      <c r="D60" s="457"/>
      <c r="E60" s="457"/>
      <c r="F60" s="457"/>
      <c r="G60" s="457"/>
      <c r="H60" s="457"/>
      <c r="I60" s="457"/>
      <c r="J60" s="457"/>
    </row>
    <row r="61" spans="2:10" ht="5.0999999999999996" customHeight="1" x14ac:dyDescent="0.2">
      <c r="B61" s="456"/>
      <c r="C61" s="456"/>
      <c r="D61" s="457"/>
      <c r="E61" s="457"/>
      <c r="F61" s="457"/>
      <c r="G61" s="457"/>
      <c r="H61" s="457"/>
      <c r="I61" s="457"/>
      <c r="J61" s="457"/>
    </row>
    <row r="65" spans="1:12" ht="14.1" customHeight="1" x14ac:dyDescent="0.2">
      <c r="B65" s="456"/>
      <c r="C65" s="273"/>
      <c r="D65" s="273"/>
      <c r="E65" s="273"/>
      <c r="F65" s="273"/>
      <c r="G65" s="273"/>
      <c r="H65" s="273"/>
      <c r="I65" s="273"/>
      <c r="J65" s="273"/>
      <c r="K65" s="273"/>
      <c r="L65" s="273"/>
    </row>
    <row r="66" spans="1:12" ht="5.0999999999999996" customHeight="1" x14ac:dyDescent="0.2">
      <c r="B66" s="456"/>
      <c r="C66" s="456"/>
      <c r="D66" s="457"/>
      <c r="E66" s="457"/>
      <c r="F66" s="457"/>
      <c r="G66" s="457"/>
      <c r="H66" s="457"/>
      <c r="I66" s="457"/>
      <c r="J66" s="457"/>
    </row>
    <row r="67" spans="1:12" ht="12" customHeight="1" x14ac:dyDescent="0.2">
      <c r="B67" s="456"/>
      <c r="C67" s="456"/>
      <c r="D67" s="457"/>
      <c r="E67" s="457"/>
      <c r="F67" s="457"/>
      <c r="G67" s="457"/>
      <c r="H67" s="457"/>
      <c r="I67" s="457"/>
      <c r="J67" s="457"/>
    </row>
    <row r="68" spans="1:12" x14ac:dyDescent="0.2">
      <c r="B68" s="456"/>
      <c r="C68" s="456"/>
      <c r="D68" s="457"/>
      <c r="E68" s="457"/>
      <c r="F68" s="457"/>
      <c r="G68" s="457"/>
      <c r="H68" s="457"/>
      <c r="I68" s="457"/>
      <c r="J68" s="457"/>
    </row>
    <row r="69" spans="1:12" x14ac:dyDescent="0.2">
      <c r="B69" s="456"/>
      <c r="C69" s="456"/>
      <c r="D69" s="457"/>
      <c r="E69" s="457"/>
      <c r="F69" s="457"/>
      <c r="G69" s="457"/>
      <c r="H69" s="457"/>
      <c r="I69" s="457"/>
      <c r="J69" s="457"/>
    </row>
    <row r="70" spans="1:12" ht="16.5" customHeight="1" x14ac:dyDescent="0.2">
      <c r="B70" s="456"/>
      <c r="C70" s="456"/>
      <c r="D70" s="457"/>
      <c r="E70" s="457"/>
      <c r="F70" s="457"/>
      <c r="G70" s="457"/>
      <c r="H70" s="457"/>
      <c r="I70" s="457"/>
      <c r="J70" s="457"/>
    </row>
    <row r="71" spans="1:12" ht="5.0999999999999996" customHeight="1" x14ac:dyDescent="0.2">
      <c r="B71" s="456"/>
      <c r="C71" s="456"/>
      <c r="D71" s="457"/>
      <c r="E71" s="457"/>
      <c r="F71" s="457"/>
      <c r="G71" s="457"/>
      <c r="H71" s="457"/>
      <c r="I71" s="457"/>
      <c r="J71" s="457"/>
    </row>
    <row r="72" spans="1:12" x14ac:dyDescent="0.2">
      <c r="B72" s="456"/>
      <c r="C72" s="456"/>
      <c r="D72" s="457"/>
      <c r="E72" s="457"/>
      <c r="F72" s="457"/>
      <c r="G72" s="457"/>
      <c r="H72" s="457"/>
      <c r="I72" s="457"/>
      <c r="J72" s="457"/>
    </row>
    <row r="73" spans="1:12" x14ac:dyDescent="0.2">
      <c r="B73" s="456"/>
      <c r="C73" s="456"/>
      <c r="D73" s="457"/>
      <c r="E73" s="457"/>
      <c r="F73" s="457"/>
      <c r="G73" s="457"/>
      <c r="H73" s="457"/>
      <c r="I73" s="457"/>
      <c r="J73" s="457"/>
    </row>
    <row r="74" spans="1:12" x14ac:dyDescent="0.2">
      <c r="B74" s="456"/>
      <c r="C74" s="456"/>
      <c r="D74" s="457"/>
      <c r="E74" s="457"/>
      <c r="F74" s="457"/>
      <c r="G74" s="457"/>
      <c r="H74" s="457"/>
      <c r="I74" s="457"/>
      <c r="J74" s="457"/>
    </row>
    <row r="75" spans="1:12" ht="16.5" customHeight="1" x14ac:dyDescent="0.2">
      <c r="B75" s="456"/>
      <c r="C75" s="456"/>
      <c r="D75" s="457"/>
      <c r="E75" s="457"/>
      <c r="F75" s="457"/>
      <c r="G75" s="457"/>
      <c r="H75" s="457"/>
      <c r="I75" s="457"/>
      <c r="J75" s="457"/>
    </row>
    <row r="76" spans="1:12" ht="11.1" customHeight="1" x14ac:dyDescent="0.2">
      <c r="B76" s="456"/>
      <c r="C76" s="456"/>
      <c r="D76" s="457"/>
      <c r="E76" s="457"/>
      <c r="F76" s="457"/>
      <c r="G76" s="457"/>
      <c r="H76" s="457"/>
      <c r="I76" s="457"/>
      <c r="J76" s="457"/>
    </row>
    <row r="77" spans="1:12" x14ac:dyDescent="0.2">
      <c r="A77" s="61" t="str">
        <f>AgyIdx</f>
        <v>01</v>
      </c>
      <c r="B77" s="456"/>
      <c r="C77" s="456"/>
      <c r="D77" s="457"/>
      <c r="E77" s="457"/>
      <c r="F77" s="457"/>
      <c r="G77" s="457"/>
      <c r="H77" s="457"/>
      <c r="I77" s="457"/>
      <c r="J77" s="457"/>
    </row>
    <row r="78" spans="1:12" ht="15" x14ac:dyDescent="0.2">
      <c r="A78" s="443" t="str">
        <f ca="1">MID(CELL("filename",A1),FIND("]",CELL("filename",A1))+1,256)</f>
        <v>110</v>
      </c>
      <c r="B78" s="456" t="str">
        <f t="shared" ref="B78:B87" ca="1" si="1">IF(ISNA(INDEX(ErrorTable,MATCH($A$78&amp;$A79&amp;FALSE,ErrorKey,0),6)),"",INDEX(ErrorTable,MATCH($A$78&amp;$A79&amp;FALSE,ErrorKey,0),6))</f>
        <v/>
      </c>
      <c r="C78" s="456"/>
      <c r="D78" s="457"/>
      <c r="E78" s="457"/>
      <c r="F78" s="457"/>
      <c r="G78" s="457"/>
      <c r="H78" s="457"/>
      <c r="I78" s="457"/>
      <c r="J78" s="457"/>
    </row>
    <row r="79" spans="1:12" ht="15" x14ac:dyDescent="0.2">
      <c r="A79" s="443" t="s">
        <v>446</v>
      </c>
      <c r="B79" s="456" t="str">
        <f t="shared" ca="1" si="1"/>
        <v/>
      </c>
      <c r="C79" s="456"/>
      <c r="D79" s="457"/>
      <c r="E79" s="457"/>
      <c r="F79" s="457"/>
      <c r="G79" s="457"/>
      <c r="H79" s="457"/>
      <c r="I79" s="457"/>
      <c r="J79" s="457"/>
    </row>
    <row r="80" spans="1:12" ht="15" x14ac:dyDescent="0.2">
      <c r="A80" s="443" t="s">
        <v>447</v>
      </c>
      <c r="B80" s="456" t="str">
        <f t="shared" ca="1" si="1"/>
        <v/>
      </c>
      <c r="C80" s="456"/>
      <c r="D80" s="457"/>
      <c r="E80" s="457"/>
      <c r="F80" s="457"/>
      <c r="G80" s="457"/>
      <c r="H80" s="457"/>
      <c r="I80" s="457"/>
      <c r="J80" s="457"/>
    </row>
    <row r="81" spans="1:10" ht="15" x14ac:dyDescent="0.2">
      <c r="A81" s="443" t="s">
        <v>448</v>
      </c>
      <c r="B81" s="443" t="str">
        <f t="shared" ca="1" si="1"/>
        <v/>
      </c>
      <c r="C81" s="456"/>
      <c r="D81" s="457"/>
      <c r="E81" s="457"/>
      <c r="F81" s="457"/>
      <c r="G81" s="457"/>
      <c r="H81" s="457"/>
      <c r="I81" s="457"/>
      <c r="J81" s="457"/>
    </row>
    <row r="82" spans="1:10" ht="15" x14ac:dyDescent="0.2">
      <c r="A82" s="443" t="s">
        <v>450</v>
      </c>
      <c r="B82" s="443" t="str">
        <f t="shared" ca="1" si="1"/>
        <v/>
      </c>
      <c r="C82" s="443"/>
    </row>
    <row r="83" spans="1:10" ht="15" x14ac:dyDescent="0.2">
      <c r="A83" s="443" t="s">
        <v>451</v>
      </c>
      <c r="B83" s="443" t="str">
        <f t="shared" ca="1" si="1"/>
        <v/>
      </c>
      <c r="C83" s="443"/>
    </row>
    <row r="84" spans="1:10" ht="15" x14ac:dyDescent="0.2">
      <c r="A84" s="443" t="s">
        <v>452</v>
      </c>
      <c r="B84" s="443" t="str">
        <f t="shared" ca="1" si="1"/>
        <v/>
      </c>
      <c r="C84" s="443"/>
    </row>
    <row r="85" spans="1:10" ht="15" x14ac:dyDescent="0.2">
      <c r="A85" s="443" t="s">
        <v>453</v>
      </c>
      <c r="B85" s="443" t="str">
        <f t="shared" ca="1" si="1"/>
        <v/>
      </c>
      <c r="C85" s="443"/>
    </row>
    <row r="86" spans="1:10" ht="15" x14ac:dyDescent="0.2">
      <c r="A86" s="443" t="s">
        <v>454</v>
      </c>
      <c r="B86" s="443" t="str">
        <f t="shared" ca="1" si="1"/>
        <v/>
      </c>
      <c r="C86" s="443"/>
    </row>
    <row r="87" spans="1:10" ht="15" x14ac:dyDescent="0.2">
      <c r="A87" s="443" t="s">
        <v>455</v>
      </c>
      <c r="B87" s="443" t="str">
        <f t="shared" ca="1" si="1"/>
        <v/>
      </c>
      <c r="C87" s="443"/>
    </row>
    <row r="88" spans="1:10" ht="15" x14ac:dyDescent="0.2">
      <c r="A88" s="443" t="s">
        <v>456</v>
      </c>
      <c r="C88" s="443"/>
    </row>
  </sheetData>
  <sheetProtection algorithmName="SHA-512" hashValue="2xOllbiVhN5u72PmwOHkzvnYtAFLParMj7KmNRQdf2VRI480iBtyonUtlsEWEN0TcyNwx21OaTCmiIBjeyXITg==" saltValue="/VwwR/YEUxMW6cywwuZZeQ==" spinCount="100000" sheet="1" objects="1" scenarios="1" autoFilter="0"/>
  <mergeCells count="15">
    <mergeCell ref="D29:J29"/>
    <mergeCell ref="D31:J31"/>
    <mergeCell ref="D32:J32"/>
    <mergeCell ref="D17:J17"/>
    <mergeCell ref="D18:J18"/>
    <mergeCell ref="D19:J19"/>
    <mergeCell ref="D20:J20"/>
    <mergeCell ref="D25:J25"/>
    <mergeCell ref="D27:J27"/>
    <mergeCell ref="D28:J28"/>
    <mergeCell ref="B7:D7"/>
    <mergeCell ref="B1:J1"/>
    <mergeCell ref="K1:K3"/>
    <mergeCell ref="B2:J2"/>
    <mergeCell ref="B3:J3"/>
  </mergeCells>
  <conditionalFormatting sqref="K1:K3">
    <cfRule type="cellIs" dxfId="173" priority="2" stopIfTrue="1" operator="equal">
      <formula>"na"</formula>
    </cfRule>
  </conditionalFormatting>
  <conditionalFormatting sqref="F37">
    <cfRule type="containsText" dxfId="172" priority="1" stopIfTrue="1" operator="containsText" text="Answer Missing">
      <formula>NOT(ISERROR(SEARCH("Answer Missing",F37)))</formula>
    </cfRule>
  </conditionalFormatting>
  <hyperlinks>
    <hyperlink ref="B1:J1" location="Index!A1" display="Index!A1" xr:uid="{00000000-0004-0000-0500-000000000000}"/>
  </hyperlinks>
  <pageMargins left="0.5" right="0.5" top="0.5" bottom="0.5" header="0.43" footer="0.25"/>
  <pageSetup orientation="portrait" r:id="rId1"/>
  <headerFooter alignWithMargins="0">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fitToPage="1"/>
  </sheetPr>
  <dimension ref="A1:S71"/>
  <sheetViews>
    <sheetView showGridLines="0" topLeftCell="C1" zoomScaleNormal="100" workbookViewId="0">
      <selection activeCell="C4" sqref="C4:Q4"/>
    </sheetView>
  </sheetViews>
  <sheetFormatPr defaultColWidth="9.42578125" defaultRowHeight="12.75" x14ac:dyDescent="0.2"/>
  <cols>
    <col min="1" max="1" width="0" style="1130" hidden="1" customWidth="1"/>
    <col min="2" max="2" width="9.42578125" style="11" hidden="1" customWidth="1"/>
    <col min="3" max="3" width="12.5703125" style="11" customWidth="1"/>
    <col min="4" max="4" width="4.5703125" style="11" customWidth="1"/>
    <col min="5" max="5" width="8.42578125" style="11" customWidth="1"/>
    <col min="6" max="6" width="1.5703125" style="11" customWidth="1"/>
    <col min="7" max="7" width="15.42578125" style="11" customWidth="1"/>
    <col min="8" max="8" width="1.5703125" style="11" customWidth="1"/>
    <col min="9" max="9" width="15.42578125" style="11" customWidth="1"/>
    <col min="10" max="10" width="1.5703125" style="11" customWidth="1"/>
    <col min="11" max="11" width="15.42578125" style="11" customWidth="1"/>
    <col min="12" max="12" width="1.5703125" style="11" customWidth="1"/>
    <col min="13" max="13" width="15.42578125" style="11" customWidth="1"/>
    <col min="14" max="14" width="1.5703125" style="11" customWidth="1"/>
    <col min="15" max="15" width="15.42578125" style="11" customWidth="1"/>
    <col min="16" max="16" width="1.5703125" style="11" customWidth="1"/>
    <col min="17" max="17" width="15.42578125" style="11" customWidth="1"/>
    <col min="18" max="18" width="4.5703125" style="11" customWidth="1"/>
    <col min="19" max="19" width="7" style="11" hidden="1" customWidth="1"/>
    <col min="20" max="16384" width="9.42578125" style="11"/>
  </cols>
  <sheetData>
    <row r="1" spans="1:18" s="145" customFormat="1" ht="15" customHeight="1" x14ac:dyDescent="0.25">
      <c r="A1" s="1130" t="str">
        <f t="shared" ref="A1:A36" si="0">AgyIdx</f>
        <v>01</v>
      </c>
      <c r="C1" s="2767" t="str">
        <f>+Index!$A$1</f>
        <v xml:space="preserve">                                                               Office of the State Controller                                                                </v>
      </c>
      <c r="D1" s="2767"/>
      <c r="E1" s="2767"/>
      <c r="F1" s="2767"/>
      <c r="G1" s="2767"/>
      <c r="H1" s="2767"/>
      <c r="I1" s="2767"/>
      <c r="J1" s="2767"/>
      <c r="K1" s="2767"/>
      <c r="L1" s="2767"/>
      <c r="M1" s="2767"/>
      <c r="N1" s="2767"/>
      <c r="O1" s="2767"/>
      <c r="P1" s="2767"/>
      <c r="Q1" s="2767"/>
      <c r="R1" s="2829" t="str">
        <f>IF(Index!$B$87="na","NA","")</f>
        <v/>
      </c>
    </row>
    <row r="2" spans="1:18" s="145" customFormat="1" ht="15" customHeight="1" x14ac:dyDescent="0.25">
      <c r="A2" s="1130" t="str">
        <f t="shared" si="0"/>
        <v>01</v>
      </c>
      <c r="C2" s="3235" t="str">
        <f>+Index!$A$2</f>
        <v>2022 ACFR Worksheets</v>
      </c>
      <c r="D2" s="3235"/>
      <c r="E2" s="3235"/>
      <c r="F2" s="3235"/>
      <c r="G2" s="3235"/>
      <c r="H2" s="3235"/>
      <c r="I2" s="3235"/>
      <c r="J2" s="3235"/>
      <c r="K2" s="3235"/>
      <c r="L2" s="3235"/>
      <c r="M2" s="3235"/>
      <c r="N2" s="3235"/>
      <c r="O2" s="3235"/>
      <c r="P2" s="3235"/>
      <c r="Q2" s="3235"/>
      <c r="R2" s="2829"/>
    </row>
    <row r="3" spans="1:18" s="145" customFormat="1" ht="15" customHeight="1" x14ac:dyDescent="0.25">
      <c r="A3" s="1130" t="str">
        <f t="shared" si="0"/>
        <v>01</v>
      </c>
      <c r="C3" s="3235" t="s">
        <v>349</v>
      </c>
      <c r="D3" s="3235"/>
      <c r="E3" s="3235"/>
      <c r="F3" s="3235"/>
      <c r="G3" s="3235"/>
      <c r="H3" s="3235"/>
      <c r="I3" s="3235"/>
      <c r="J3" s="3235"/>
      <c r="K3" s="3235"/>
      <c r="L3" s="3235"/>
      <c r="M3" s="3235"/>
      <c r="N3" s="3235"/>
      <c r="O3" s="3235"/>
      <c r="P3" s="3235"/>
      <c r="Q3" s="3235"/>
      <c r="R3" s="2829"/>
    </row>
    <row r="4" spans="1:18" s="145" customFormat="1" ht="15" customHeight="1" x14ac:dyDescent="0.25">
      <c r="A4" s="1130" t="str">
        <f t="shared" si="0"/>
        <v>01</v>
      </c>
      <c r="C4" s="3235" t="s">
        <v>3599</v>
      </c>
      <c r="D4" s="3235"/>
      <c r="E4" s="3235"/>
      <c r="F4" s="3235"/>
      <c r="G4" s="3235"/>
      <c r="H4" s="3235"/>
      <c r="I4" s="3235"/>
      <c r="J4" s="3235"/>
      <c r="K4" s="3235"/>
      <c r="L4" s="3235"/>
      <c r="M4" s="3235"/>
      <c r="N4" s="3235"/>
      <c r="O4" s="3235"/>
      <c r="P4" s="3235"/>
      <c r="Q4" s="3235"/>
    </row>
    <row r="5" spans="1:18" s="146" customFormat="1" ht="15" customHeight="1" x14ac:dyDescent="0.2">
      <c r="A5" s="1130" t="str">
        <f t="shared" si="0"/>
        <v>01</v>
      </c>
      <c r="M5" s="430"/>
    </row>
    <row r="6" spans="1:18" s="146" customFormat="1" ht="15" customHeight="1" x14ac:dyDescent="0.2">
      <c r="A6" s="1130" t="str">
        <f t="shared" si="0"/>
        <v>01</v>
      </c>
      <c r="C6" s="365" t="s">
        <v>327</v>
      </c>
      <c r="E6" s="3234" t="str">
        <f>+Index!$E$10</f>
        <v>01</v>
      </c>
      <c r="F6" s="3234"/>
      <c r="G6" s="3234"/>
      <c r="J6" s="365"/>
      <c r="K6" s="365" t="s">
        <v>687</v>
      </c>
      <c r="L6" s="3231" t="str">
        <f>+Index!$E$11</f>
        <v>North Carolina General Assembly</v>
      </c>
      <c r="M6" s="3231"/>
      <c r="N6" s="3231"/>
      <c r="O6" s="3231"/>
      <c r="P6" s="3231"/>
      <c r="Q6" s="3231"/>
    </row>
    <row r="7" spans="1:18" s="146" customFormat="1" ht="15" customHeight="1" x14ac:dyDescent="0.2">
      <c r="A7" s="1130" t="str">
        <f t="shared" si="0"/>
        <v>01</v>
      </c>
      <c r="E7" s="258"/>
      <c r="F7" s="258"/>
      <c r="G7" s="258"/>
      <c r="J7" s="365"/>
      <c r="K7" s="365" t="s">
        <v>972</v>
      </c>
      <c r="L7" s="3232" t="str">
        <f>CONCATENATE(Index!$E$12," ",Index!$E$14)</f>
        <v xml:space="preserve"> </v>
      </c>
      <c r="M7" s="3232"/>
      <c r="N7" s="3232"/>
      <c r="O7" s="3232"/>
      <c r="P7" s="3232"/>
      <c r="Q7" s="3232"/>
    </row>
    <row r="8" spans="1:18" s="146" customFormat="1" ht="15" customHeight="1" x14ac:dyDescent="0.2">
      <c r="A8" s="1130" t="str">
        <f t="shared" si="0"/>
        <v>01</v>
      </c>
      <c r="C8" s="146" t="s">
        <v>477</v>
      </c>
      <c r="E8" s="3234" t="s">
        <v>971</v>
      </c>
      <c r="F8" s="3234"/>
      <c r="G8" s="3234"/>
      <c r="J8" s="365"/>
      <c r="K8" s="365" t="s">
        <v>348</v>
      </c>
      <c r="L8" s="3233">
        <f>+Index!$E$13</f>
        <v>0</v>
      </c>
      <c r="M8" s="3233"/>
      <c r="N8" s="3233"/>
      <c r="O8" s="3233"/>
      <c r="P8" s="3233"/>
      <c r="Q8" s="3233"/>
    </row>
    <row r="9" spans="1:18" s="146" customFormat="1" ht="12" customHeight="1" thickBot="1" x14ac:dyDescent="0.25">
      <c r="A9" s="1130" t="str">
        <f t="shared" si="0"/>
        <v>01</v>
      </c>
      <c r="C9" s="282"/>
      <c r="D9" s="282"/>
      <c r="E9" s="282"/>
      <c r="F9" s="282"/>
      <c r="G9" s="282"/>
      <c r="H9" s="282"/>
      <c r="I9" s="282"/>
      <c r="J9" s="282"/>
      <c r="K9" s="282"/>
      <c r="L9" s="282"/>
      <c r="M9" s="282"/>
      <c r="N9" s="282"/>
      <c r="O9" s="282"/>
      <c r="P9" s="282"/>
      <c r="Q9" s="282"/>
    </row>
    <row r="10" spans="1:18" s="146" customFormat="1" ht="12" customHeight="1" x14ac:dyDescent="0.2">
      <c r="A10" s="1130" t="str">
        <f t="shared" si="0"/>
        <v>01</v>
      </c>
    </row>
    <row r="11" spans="1:18" s="146" customFormat="1" ht="12.75" customHeight="1" x14ac:dyDescent="0.25">
      <c r="A11" s="1130" t="str">
        <f t="shared" si="0"/>
        <v>01</v>
      </c>
      <c r="C11" s="283"/>
      <c r="D11" s="283"/>
      <c r="E11" s="283"/>
      <c r="F11" s="283"/>
      <c r="G11" s="284"/>
      <c r="H11" s="283"/>
      <c r="I11" s="3239" t="s">
        <v>177</v>
      </c>
      <c r="J11" s="3239"/>
      <c r="K11" s="3239"/>
      <c r="L11" s="3239"/>
      <c r="M11" s="3239"/>
      <c r="N11" s="286"/>
      <c r="O11" s="286"/>
      <c r="P11" s="286"/>
      <c r="Q11" s="286"/>
    </row>
    <row r="12" spans="1:18" s="146" customFormat="1" ht="12.75" customHeight="1" x14ac:dyDescent="0.25">
      <c r="A12" s="1130" t="str">
        <f t="shared" si="0"/>
        <v>01</v>
      </c>
      <c r="C12" s="283"/>
      <c r="D12" s="283"/>
      <c r="E12" s="283"/>
      <c r="F12" s="283"/>
      <c r="G12" s="287"/>
      <c r="H12" s="283"/>
      <c r="I12" s="367"/>
      <c r="J12" s="294"/>
      <c r="K12" s="368"/>
      <c r="L12" s="370"/>
      <c r="M12" s="288" t="s">
        <v>175</v>
      </c>
      <c r="N12" s="294"/>
      <c r="O12" s="289"/>
      <c r="P12" s="283"/>
      <c r="Q12" s="283"/>
    </row>
    <row r="13" spans="1:18" s="146" customFormat="1" ht="12.75" customHeight="1" x14ac:dyDescent="0.25">
      <c r="A13" s="1130" t="str">
        <f t="shared" si="0"/>
        <v>01</v>
      </c>
      <c r="C13" s="283"/>
      <c r="D13" s="283"/>
      <c r="E13" s="283"/>
      <c r="F13" s="283"/>
      <c r="G13" s="288" t="s">
        <v>84</v>
      </c>
      <c r="H13" s="283"/>
      <c r="I13" s="288"/>
      <c r="J13" s="294"/>
      <c r="K13" s="369"/>
      <c r="L13" s="370"/>
      <c r="M13" s="288" t="s">
        <v>619</v>
      </c>
      <c r="N13" s="294"/>
      <c r="O13" s="289"/>
      <c r="P13" s="283"/>
      <c r="Q13" s="283"/>
    </row>
    <row r="14" spans="1:18" s="146" customFormat="1" ht="12.75" customHeight="1" x14ac:dyDescent="0.25">
      <c r="A14" s="1130" t="str">
        <f t="shared" si="0"/>
        <v>01</v>
      </c>
      <c r="C14" s="3240"/>
      <c r="D14" s="2961"/>
      <c r="E14" s="2961"/>
      <c r="F14" s="283"/>
      <c r="G14" s="288" t="s">
        <v>688</v>
      </c>
      <c r="H14" s="283"/>
      <c r="I14" s="288" t="s">
        <v>620</v>
      </c>
      <c r="J14" s="294"/>
      <c r="K14" s="288" t="s">
        <v>175</v>
      </c>
      <c r="L14" s="371"/>
      <c r="M14" s="288" t="s">
        <v>102</v>
      </c>
      <c r="N14" s="294"/>
      <c r="O14" s="288" t="s">
        <v>103</v>
      </c>
      <c r="P14" s="283"/>
      <c r="Q14" s="283"/>
    </row>
    <row r="15" spans="1:18" s="146" customFormat="1" ht="12.75" customHeight="1" x14ac:dyDescent="0.25">
      <c r="A15" s="1130" t="str">
        <f t="shared" si="0"/>
        <v>01</v>
      </c>
      <c r="C15" s="3239" t="s">
        <v>9</v>
      </c>
      <c r="D15" s="2882"/>
      <c r="E15" s="2882"/>
      <c r="F15" s="283"/>
      <c r="G15" s="285" t="s">
        <v>1159</v>
      </c>
      <c r="H15" s="283"/>
      <c r="I15" s="285" t="s">
        <v>10</v>
      </c>
      <c r="J15" s="294"/>
      <c r="K15" s="285" t="s">
        <v>11</v>
      </c>
      <c r="L15" s="370"/>
      <c r="M15" s="285" t="s">
        <v>596</v>
      </c>
      <c r="N15" s="294"/>
      <c r="O15" s="285" t="s">
        <v>12</v>
      </c>
      <c r="P15" s="283"/>
      <c r="Q15" s="366" t="s">
        <v>84</v>
      </c>
    </row>
    <row r="16" spans="1:18" s="147" customFormat="1" ht="12" customHeight="1" x14ac:dyDescent="0.2">
      <c r="A16" s="1130" t="str">
        <f t="shared" si="0"/>
        <v>01</v>
      </c>
      <c r="D16" s="291"/>
      <c r="E16" s="291"/>
      <c r="F16" s="291"/>
      <c r="G16" s="1131" t="s">
        <v>118</v>
      </c>
      <c r="H16" s="1132"/>
      <c r="I16" s="1131" t="s">
        <v>119</v>
      </c>
      <c r="J16" s="1132"/>
      <c r="K16" s="1131" t="s">
        <v>996</v>
      </c>
      <c r="L16" s="1132"/>
      <c r="M16" s="1131" t="s">
        <v>997</v>
      </c>
      <c r="N16" s="1132"/>
      <c r="O16" s="1131" t="s">
        <v>998</v>
      </c>
      <c r="P16" s="1132"/>
      <c r="Q16" s="1131" t="s">
        <v>999</v>
      </c>
    </row>
    <row r="17" spans="1:19" s="147" customFormat="1" ht="13.5" customHeight="1" x14ac:dyDescent="0.2">
      <c r="A17" s="1130" t="str">
        <f t="shared" si="0"/>
        <v>01</v>
      </c>
      <c r="C17" s="293" t="s">
        <v>1190</v>
      </c>
      <c r="D17" s="291"/>
      <c r="E17" s="291"/>
      <c r="F17" s="291"/>
      <c r="G17" s="292"/>
      <c r="H17" s="291"/>
      <c r="I17" s="292"/>
      <c r="J17" s="291"/>
      <c r="K17" s="292"/>
      <c r="L17" s="291"/>
      <c r="M17" s="292"/>
      <c r="N17" s="291"/>
      <c r="O17" s="292"/>
      <c r="P17" s="291"/>
      <c r="Q17" s="292"/>
    </row>
    <row r="18" spans="1:19" s="146" customFormat="1" ht="12" customHeight="1" x14ac:dyDescent="0.25">
      <c r="A18" s="1130" t="str">
        <f t="shared" si="0"/>
        <v>01</v>
      </c>
      <c r="C18" s="294" t="s">
        <v>3720</v>
      </c>
      <c r="D18" s="283"/>
      <c r="E18" s="283"/>
      <c r="F18" s="283"/>
      <c r="G18" s="283"/>
      <c r="H18" s="283"/>
      <c r="I18" s="283"/>
      <c r="J18" s="283"/>
      <c r="K18" s="283"/>
      <c r="L18" s="283"/>
      <c r="M18" s="283"/>
      <c r="N18" s="283"/>
      <c r="O18" s="283"/>
      <c r="P18" s="283"/>
      <c r="Q18" s="283"/>
      <c r="R18" s="283"/>
    </row>
    <row r="19" spans="1:19" s="146" customFormat="1" ht="12" customHeight="1" x14ac:dyDescent="0.2">
      <c r="A19" s="1130" t="str">
        <f t="shared" si="0"/>
        <v>01</v>
      </c>
      <c r="B19" s="146" t="s">
        <v>1568</v>
      </c>
      <c r="C19" s="3236"/>
      <c r="D19" s="3236"/>
      <c r="E19" s="3236"/>
      <c r="F19" s="283"/>
      <c r="G19" s="605"/>
      <c r="H19" s="373"/>
      <c r="I19" s="605"/>
      <c r="J19" s="373"/>
      <c r="K19" s="605"/>
      <c r="L19" s="373"/>
      <c r="M19" s="605"/>
      <c r="N19" s="373"/>
      <c r="O19" s="605"/>
      <c r="P19" s="373"/>
      <c r="Q19" s="372">
        <f>SUM(I19:P19)</f>
        <v>0</v>
      </c>
      <c r="R19" s="609" t="str">
        <f>IF(S19=FALSE,"*","")</f>
        <v/>
      </c>
      <c r="S19" s="610" t="b">
        <f t="shared" ref="S19:S29" si="1">+G19=Q19</f>
        <v>1</v>
      </c>
    </row>
    <row r="20" spans="1:19" s="146" customFormat="1" ht="12" customHeight="1" x14ac:dyDescent="0.2">
      <c r="A20" s="1130" t="str">
        <f t="shared" si="0"/>
        <v>01</v>
      </c>
      <c r="B20" s="146" t="s">
        <v>1569</v>
      </c>
      <c r="C20" s="3236"/>
      <c r="D20" s="3236"/>
      <c r="E20" s="3236"/>
      <c r="F20" s="283"/>
      <c r="G20" s="605"/>
      <c r="H20" s="373"/>
      <c r="I20" s="605"/>
      <c r="J20" s="373"/>
      <c r="K20" s="606"/>
      <c r="L20" s="373"/>
      <c r="M20" s="606"/>
      <c r="N20" s="373"/>
      <c r="O20" s="606"/>
      <c r="P20" s="373"/>
      <c r="Q20" s="372">
        <f t="shared" ref="Q20:Q34" si="2">SUM(I20:P20)</f>
        <v>0</v>
      </c>
      <c r="R20" s="609" t="str">
        <f t="shared" ref="R20:R34" si="3">IF(S20=FALSE,"*","")</f>
        <v/>
      </c>
      <c r="S20" s="610" t="b">
        <f t="shared" si="1"/>
        <v>1</v>
      </c>
    </row>
    <row r="21" spans="1:19" s="146" customFormat="1" ht="12" customHeight="1" x14ac:dyDescent="0.2">
      <c r="A21" s="1130" t="str">
        <f t="shared" si="0"/>
        <v>01</v>
      </c>
      <c r="B21" s="146" t="s">
        <v>1570</v>
      </c>
      <c r="C21" s="3236"/>
      <c r="D21" s="3236"/>
      <c r="E21" s="3236"/>
      <c r="F21" s="283"/>
      <c r="G21" s="606"/>
      <c r="H21" s="373"/>
      <c r="I21" s="606"/>
      <c r="J21" s="373"/>
      <c r="K21" s="606"/>
      <c r="L21" s="373"/>
      <c r="M21" s="606"/>
      <c r="N21" s="373"/>
      <c r="O21" s="606"/>
      <c r="P21" s="373"/>
      <c r="Q21" s="372">
        <f t="shared" si="2"/>
        <v>0</v>
      </c>
      <c r="R21" s="609" t="str">
        <f t="shared" si="3"/>
        <v/>
      </c>
      <c r="S21" s="610" t="b">
        <f t="shared" si="1"/>
        <v>1</v>
      </c>
    </row>
    <row r="22" spans="1:19" s="146" customFormat="1" ht="12" customHeight="1" x14ac:dyDescent="0.2">
      <c r="A22" s="1130" t="str">
        <f t="shared" si="0"/>
        <v>01</v>
      </c>
      <c r="B22" s="146" t="s">
        <v>1571</v>
      </c>
      <c r="C22" s="3237"/>
      <c r="D22" s="3237"/>
      <c r="E22" s="3237"/>
      <c r="F22" s="283"/>
      <c r="G22" s="605"/>
      <c r="H22" s="373"/>
      <c r="I22" s="606"/>
      <c r="J22" s="373"/>
      <c r="K22" s="606"/>
      <c r="L22" s="373"/>
      <c r="M22" s="606"/>
      <c r="N22" s="373"/>
      <c r="O22" s="606"/>
      <c r="P22" s="373"/>
      <c r="Q22" s="372">
        <f t="shared" si="2"/>
        <v>0</v>
      </c>
      <c r="R22" s="609" t="str">
        <f t="shared" si="3"/>
        <v/>
      </c>
      <c r="S22" s="610" t="b">
        <f t="shared" si="1"/>
        <v>1</v>
      </c>
    </row>
    <row r="23" spans="1:19" s="146" customFormat="1" ht="12" customHeight="1" x14ac:dyDescent="0.2">
      <c r="A23" s="1130" t="str">
        <f t="shared" si="0"/>
        <v>01</v>
      </c>
      <c r="B23" s="146" t="s">
        <v>1572</v>
      </c>
      <c r="C23" s="3236"/>
      <c r="D23" s="3236"/>
      <c r="E23" s="3236"/>
      <c r="F23" s="283"/>
      <c r="G23" s="605"/>
      <c r="H23" s="373"/>
      <c r="I23" s="605"/>
      <c r="J23" s="373"/>
      <c r="K23" s="606"/>
      <c r="L23" s="373"/>
      <c r="M23" s="606"/>
      <c r="N23" s="373"/>
      <c r="O23" s="606"/>
      <c r="P23" s="373"/>
      <c r="Q23" s="372">
        <f t="shared" si="2"/>
        <v>0</v>
      </c>
      <c r="R23" s="609" t="str">
        <f t="shared" si="3"/>
        <v/>
      </c>
      <c r="S23" s="610" t="b">
        <f t="shared" si="1"/>
        <v>1</v>
      </c>
    </row>
    <row r="24" spans="1:19" s="146" customFormat="1" ht="12" customHeight="1" x14ac:dyDescent="0.2">
      <c r="A24" s="1130" t="str">
        <f t="shared" si="0"/>
        <v>01</v>
      </c>
      <c r="B24" s="146" t="s">
        <v>1573</v>
      </c>
      <c r="C24" s="3236"/>
      <c r="D24" s="3236"/>
      <c r="E24" s="3236"/>
      <c r="F24" s="283"/>
      <c r="G24" s="606"/>
      <c r="H24" s="373"/>
      <c r="I24" s="605"/>
      <c r="J24" s="373"/>
      <c r="K24" s="606"/>
      <c r="L24" s="373"/>
      <c r="M24" s="606"/>
      <c r="N24" s="373"/>
      <c r="O24" s="606"/>
      <c r="P24" s="373"/>
      <c r="Q24" s="372">
        <f t="shared" ref="Q24:Q29" si="4">SUM(I24:P24)</f>
        <v>0</v>
      </c>
      <c r="R24" s="609" t="str">
        <f t="shared" si="3"/>
        <v/>
      </c>
      <c r="S24" s="610" t="b">
        <f t="shared" si="1"/>
        <v>1</v>
      </c>
    </row>
    <row r="25" spans="1:19" s="146" customFormat="1" ht="15" customHeight="1" x14ac:dyDescent="0.2">
      <c r="A25" s="1130" t="str">
        <f t="shared" si="0"/>
        <v>01</v>
      </c>
      <c r="B25" s="146" t="s">
        <v>1573</v>
      </c>
      <c r="C25" s="3236"/>
      <c r="D25" s="3236"/>
      <c r="E25" s="3236"/>
      <c r="F25" s="283"/>
      <c r="G25" s="606"/>
      <c r="H25" s="373"/>
      <c r="I25" s="605"/>
      <c r="J25" s="373"/>
      <c r="K25" s="606"/>
      <c r="L25" s="373"/>
      <c r="M25" s="606"/>
      <c r="N25" s="373"/>
      <c r="O25" s="606"/>
      <c r="P25" s="373"/>
      <c r="Q25" s="372">
        <f t="shared" si="4"/>
        <v>0</v>
      </c>
      <c r="R25" s="609" t="str">
        <f t="shared" si="3"/>
        <v/>
      </c>
      <c r="S25" s="610" t="b">
        <f t="shared" si="1"/>
        <v>1</v>
      </c>
    </row>
    <row r="26" spans="1:19" s="146" customFormat="1" ht="15" customHeight="1" x14ac:dyDescent="0.2">
      <c r="A26" s="1130" t="str">
        <f t="shared" si="0"/>
        <v>01</v>
      </c>
      <c r="C26" s="3236"/>
      <c r="D26" s="3236"/>
      <c r="E26" s="3236"/>
      <c r="F26" s="283"/>
      <c r="G26" s="605"/>
      <c r="H26" s="373"/>
      <c r="I26" s="605"/>
      <c r="J26" s="373"/>
      <c r="K26" s="605"/>
      <c r="L26" s="373"/>
      <c r="M26" s="605"/>
      <c r="N26" s="373"/>
      <c r="O26" s="605"/>
      <c r="P26" s="373"/>
      <c r="Q26" s="372">
        <f t="shared" si="4"/>
        <v>0</v>
      </c>
      <c r="R26" s="609" t="str">
        <f t="shared" si="3"/>
        <v/>
      </c>
      <c r="S26" s="610" t="b">
        <f t="shared" si="1"/>
        <v>1</v>
      </c>
    </row>
    <row r="27" spans="1:19" s="146" customFormat="1" ht="14.25" customHeight="1" x14ac:dyDescent="0.2">
      <c r="A27" s="1130" t="str">
        <f t="shared" si="0"/>
        <v>01</v>
      </c>
      <c r="C27" s="3236"/>
      <c r="D27" s="3236"/>
      <c r="E27" s="3236"/>
      <c r="F27" s="283"/>
      <c r="G27" s="605"/>
      <c r="H27" s="373"/>
      <c r="I27" s="606"/>
      <c r="J27" s="373"/>
      <c r="K27" s="606"/>
      <c r="L27" s="373"/>
      <c r="M27" s="606"/>
      <c r="N27" s="373"/>
      <c r="O27" s="606"/>
      <c r="P27" s="373"/>
      <c r="Q27" s="372">
        <f t="shared" si="4"/>
        <v>0</v>
      </c>
      <c r="R27" s="609" t="str">
        <f t="shared" si="3"/>
        <v/>
      </c>
      <c r="S27" s="610" t="b">
        <f t="shared" si="1"/>
        <v>1</v>
      </c>
    </row>
    <row r="28" spans="1:19" s="146" customFormat="1" ht="14.25" customHeight="1" x14ac:dyDescent="0.2">
      <c r="A28" s="1130" t="str">
        <f t="shared" si="0"/>
        <v>01</v>
      </c>
      <c r="C28" s="3236"/>
      <c r="D28" s="3236"/>
      <c r="E28" s="3236"/>
      <c r="F28" s="283"/>
      <c r="G28" s="605"/>
      <c r="H28" s="373"/>
      <c r="I28" s="606"/>
      <c r="J28" s="373"/>
      <c r="K28" s="606"/>
      <c r="L28" s="373"/>
      <c r="M28" s="606"/>
      <c r="N28" s="373"/>
      <c r="O28" s="606"/>
      <c r="P28" s="373"/>
      <c r="Q28" s="372">
        <f t="shared" si="4"/>
        <v>0</v>
      </c>
      <c r="R28" s="609" t="str">
        <f t="shared" si="3"/>
        <v/>
      </c>
      <c r="S28" s="610" t="b">
        <f t="shared" si="1"/>
        <v>1</v>
      </c>
    </row>
    <row r="29" spans="1:19" s="146" customFormat="1" ht="14.25" customHeight="1" x14ac:dyDescent="0.2">
      <c r="A29" s="1130" t="str">
        <f t="shared" si="0"/>
        <v>01</v>
      </c>
      <c r="C29" s="3236"/>
      <c r="D29" s="3236"/>
      <c r="E29" s="3236"/>
      <c r="F29" s="283"/>
      <c r="G29" s="605"/>
      <c r="H29" s="373"/>
      <c r="I29" s="606"/>
      <c r="J29" s="373"/>
      <c r="K29" s="606"/>
      <c r="L29" s="373"/>
      <c r="M29" s="606"/>
      <c r="N29" s="373"/>
      <c r="O29" s="606"/>
      <c r="P29" s="373"/>
      <c r="Q29" s="372">
        <f t="shared" si="4"/>
        <v>0</v>
      </c>
      <c r="R29" s="609" t="str">
        <f t="shared" si="3"/>
        <v/>
      </c>
      <c r="S29" s="610" t="b">
        <f t="shared" si="1"/>
        <v>1</v>
      </c>
    </row>
    <row r="30" spans="1:19" s="146" customFormat="1" ht="15" customHeight="1" x14ac:dyDescent="0.25">
      <c r="A30" s="1130" t="str">
        <f t="shared" si="0"/>
        <v>01</v>
      </c>
      <c r="B30" s="146" t="s">
        <v>1617</v>
      </c>
      <c r="C30" s="294" t="s">
        <v>511</v>
      </c>
      <c r="D30" s="283"/>
      <c r="E30" s="283"/>
      <c r="F30" s="283"/>
      <c r="G30" s="373"/>
      <c r="H30" s="373"/>
      <c r="I30" s="373"/>
      <c r="J30" s="373"/>
      <c r="K30" s="373"/>
      <c r="L30" s="373"/>
      <c r="M30" s="373"/>
      <c r="N30" s="373"/>
      <c r="O30" s="373"/>
      <c r="P30" s="373"/>
      <c r="Q30" s="373"/>
      <c r="R30" s="612"/>
      <c r="S30" s="610"/>
    </row>
    <row r="31" spans="1:19" s="146" customFormat="1" ht="12" customHeight="1" x14ac:dyDescent="0.2">
      <c r="A31" s="1130" t="str">
        <f t="shared" si="0"/>
        <v>01</v>
      </c>
      <c r="B31" s="146" t="s">
        <v>1618</v>
      </c>
      <c r="C31" s="3236"/>
      <c r="D31" s="3236"/>
      <c r="E31" s="3236"/>
      <c r="F31" s="283"/>
      <c r="G31" s="605"/>
      <c r="H31" s="373"/>
      <c r="I31" s="605"/>
      <c r="J31" s="373"/>
      <c r="K31" s="605"/>
      <c r="L31" s="373"/>
      <c r="M31" s="605"/>
      <c r="N31" s="373"/>
      <c r="O31" s="605"/>
      <c r="P31" s="373"/>
      <c r="Q31" s="372">
        <f t="shared" si="2"/>
        <v>0</v>
      </c>
      <c r="R31" s="609" t="str">
        <f t="shared" si="3"/>
        <v/>
      </c>
      <c r="S31" s="610" t="b">
        <f>+G31=Q31</f>
        <v>1</v>
      </c>
    </row>
    <row r="32" spans="1:19" s="146" customFormat="1" ht="12" customHeight="1" x14ac:dyDescent="0.2">
      <c r="A32" s="1130" t="str">
        <f t="shared" si="0"/>
        <v>01</v>
      </c>
      <c r="B32" s="146" t="s">
        <v>1619</v>
      </c>
      <c r="C32" s="3237"/>
      <c r="D32" s="3237"/>
      <c r="E32" s="3237"/>
      <c r="F32" s="283"/>
      <c r="G32" s="605"/>
      <c r="H32" s="373"/>
      <c r="I32" s="606"/>
      <c r="J32" s="373"/>
      <c r="K32" s="606"/>
      <c r="L32" s="373"/>
      <c r="M32" s="606"/>
      <c r="N32" s="373"/>
      <c r="O32" s="606"/>
      <c r="P32" s="373"/>
      <c r="Q32" s="372">
        <f t="shared" si="2"/>
        <v>0</v>
      </c>
      <c r="R32" s="609" t="str">
        <f t="shared" si="3"/>
        <v/>
      </c>
      <c r="S32" s="610" t="b">
        <f>+G32=Q32</f>
        <v>1</v>
      </c>
    </row>
    <row r="33" spans="1:19" s="146" customFormat="1" ht="12" customHeight="1" x14ac:dyDescent="0.2">
      <c r="A33" s="1130" t="str">
        <f t="shared" si="0"/>
        <v>01</v>
      </c>
      <c r="C33" s="3238"/>
      <c r="D33" s="3238"/>
      <c r="E33" s="3238"/>
      <c r="F33" s="283"/>
      <c r="G33" s="605"/>
      <c r="H33" s="373"/>
      <c r="I33" s="1428"/>
      <c r="J33" s="373"/>
      <c r="K33" s="1428"/>
      <c r="L33" s="373"/>
      <c r="M33" s="1428"/>
      <c r="N33" s="373"/>
      <c r="O33" s="1428"/>
      <c r="P33" s="373"/>
      <c r="Q33" s="372">
        <f t="shared" si="2"/>
        <v>0</v>
      </c>
      <c r="R33" s="609" t="str">
        <f t="shared" si="3"/>
        <v/>
      </c>
      <c r="S33" s="610" t="b">
        <f>+G33=Q33</f>
        <v>1</v>
      </c>
    </row>
    <row r="34" spans="1:19" s="146" customFormat="1" ht="12" customHeight="1" thickBot="1" x14ac:dyDescent="0.25">
      <c r="A34" s="1130" t="str">
        <f t="shared" si="0"/>
        <v>01</v>
      </c>
      <c r="B34" s="146" t="s">
        <v>1620</v>
      </c>
      <c r="C34" s="3236"/>
      <c r="D34" s="3236"/>
      <c r="E34" s="3236"/>
      <c r="F34" s="283"/>
      <c r="G34" s="607"/>
      <c r="H34" s="373"/>
      <c r="I34" s="608"/>
      <c r="J34" s="373"/>
      <c r="K34" s="608"/>
      <c r="L34" s="373"/>
      <c r="M34" s="608"/>
      <c r="N34" s="373"/>
      <c r="O34" s="608"/>
      <c r="P34" s="373"/>
      <c r="Q34" s="375">
        <f t="shared" si="2"/>
        <v>0</v>
      </c>
      <c r="R34" s="609" t="str">
        <f t="shared" si="3"/>
        <v/>
      </c>
      <c r="S34" s="610" t="b">
        <f>+G34=Q34</f>
        <v>1</v>
      </c>
    </row>
    <row r="35" spans="1:19" s="146" customFormat="1" ht="15" customHeight="1" thickBot="1" x14ac:dyDescent="0.25">
      <c r="A35" s="1130" t="str">
        <f t="shared" si="0"/>
        <v>01</v>
      </c>
      <c r="B35" s="146" t="s">
        <v>1574</v>
      </c>
      <c r="C35" s="295" t="s">
        <v>512</v>
      </c>
      <c r="D35" s="283"/>
      <c r="E35" s="283"/>
      <c r="F35" s="283"/>
      <c r="G35" s="376">
        <f>SUM(G19:G34)</f>
        <v>0</v>
      </c>
      <c r="H35" s="373"/>
      <c r="I35" s="376">
        <f>SUM(I19:I34)</f>
        <v>0</v>
      </c>
      <c r="J35" s="373"/>
      <c r="K35" s="376">
        <f>SUM(K19:K34)</f>
        <v>0</v>
      </c>
      <c r="L35" s="373"/>
      <c r="M35" s="376">
        <f>SUM(M19:M34)</f>
        <v>0</v>
      </c>
      <c r="N35" s="373"/>
      <c r="O35" s="376">
        <f>SUM(O19:O34)</f>
        <v>0</v>
      </c>
      <c r="P35" s="373"/>
      <c r="Q35" s="376">
        <f>SUM(Q19:Q34)</f>
        <v>0</v>
      </c>
      <c r="R35" s="612"/>
      <c r="S35" s="610"/>
    </row>
    <row r="36" spans="1:19" s="146" customFormat="1" ht="12" customHeight="1" thickTop="1" x14ac:dyDescent="0.2">
      <c r="A36" s="1130" t="str">
        <f t="shared" si="0"/>
        <v>01</v>
      </c>
      <c r="C36" s="283"/>
      <c r="D36" s="283"/>
      <c r="E36" s="283"/>
      <c r="F36" s="283"/>
      <c r="G36" s="378"/>
      <c r="H36" s="373"/>
      <c r="I36" s="373"/>
      <c r="J36" s="373"/>
      <c r="K36" s="373"/>
      <c r="L36" s="373"/>
      <c r="M36" s="373"/>
      <c r="N36" s="373"/>
      <c r="O36" s="373"/>
      <c r="P36" s="373"/>
      <c r="Q36" s="373"/>
      <c r="R36" s="612"/>
      <c r="S36" s="610"/>
    </row>
    <row r="37" spans="1:19" s="146" customFormat="1" ht="12.75" customHeight="1" x14ac:dyDescent="0.2">
      <c r="A37" s="1130" t="str">
        <f t="shared" ref="A37:A64" si="5">AgyIdx</f>
        <v>01</v>
      </c>
      <c r="C37" s="293" t="s">
        <v>686</v>
      </c>
      <c r="D37" s="283"/>
      <c r="E37" s="283"/>
      <c r="F37" s="283"/>
      <c r="G37" s="373"/>
      <c r="H37" s="373"/>
      <c r="I37" s="373"/>
      <c r="J37" s="373"/>
      <c r="K37" s="373"/>
      <c r="L37" s="373"/>
      <c r="M37" s="373"/>
      <c r="N37" s="373"/>
      <c r="O37" s="373"/>
      <c r="P37" s="373"/>
      <c r="Q37" s="373"/>
      <c r="R37" s="612"/>
      <c r="S37" s="610"/>
    </row>
    <row r="38" spans="1:19" s="146" customFormat="1" ht="12" customHeight="1" x14ac:dyDescent="0.25">
      <c r="A38" s="1130" t="str">
        <f t="shared" si="5"/>
        <v>01</v>
      </c>
      <c r="C38" s="294" t="s">
        <v>3629</v>
      </c>
      <c r="D38" s="283"/>
      <c r="E38" s="283"/>
      <c r="F38" s="283"/>
      <c r="G38" s="373"/>
      <c r="H38" s="373"/>
      <c r="I38" s="373"/>
      <c r="J38" s="373"/>
      <c r="K38" s="373"/>
      <c r="L38" s="373"/>
      <c r="M38" s="373"/>
      <c r="N38" s="373"/>
      <c r="O38" s="373"/>
      <c r="P38" s="373"/>
      <c r="Q38" s="373"/>
      <c r="R38" s="612"/>
      <c r="S38" s="610"/>
    </row>
    <row r="39" spans="1:19" s="146" customFormat="1" ht="12" customHeight="1" x14ac:dyDescent="0.2">
      <c r="A39" s="1130" t="str">
        <f t="shared" si="5"/>
        <v>01</v>
      </c>
      <c r="B39" s="146" t="s">
        <v>1575</v>
      </c>
      <c r="C39" s="3236"/>
      <c r="D39" s="3236"/>
      <c r="E39" s="3236"/>
      <c r="F39" s="283"/>
      <c r="G39" s="605"/>
      <c r="H39" s="373"/>
      <c r="I39" s="605"/>
      <c r="J39" s="373"/>
      <c r="K39" s="605"/>
      <c r="L39" s="373"/>
      <c r="M39" s="605"/>
      <c r="N39" s="373"/>
      <c r="O39" s="605"/>
      <c r="P39" s="373"/>
      <c r="Q39" s="372">
        <f t="shared" ref="Q39:Q44" si="6">SUM(I39:P39)</f>
        <v>0</v>
      </c>
      <c r="R39" s="609" t="str">
        <f t="shared" ref="R39:R44" si="7">IF(S39=FALSE,"*","")</f>
        <v/>
      </c>
      <c r="S39" s="610" t="b">
        <f t="shared" ref="S39:S44" si="8">+G39=Q39</f>
        <v>1</v>
      </c>
    </row>
    <row r="40" spans="1:19" s="146" customFormat="1" ht="12" customHeight="1" x14ac:dyDescent="0.2">
      <c r="A40" s="1130" t="str">
        <f t="shared" si="5"/>
        <v>01</v>
      </c>
      <c r="B40" s="146" t="s">
        <v>1576</v>
      </c>
      <c r="C40" s="3236"/>
      <c r="D40" s="3236"/>
      <c r="E40" s="3236"/>
      <c r="F40" s="283"/>
      <c r="G40" s="605"/>
      <c r="H40" s="373"/>
      <c r="I40" s="605"/>
      <c r="J40" s="373"/>
      <c r="K40" s="605"/>
      <c r="L40" s="373"/>
      <c r="M40" s="605"/>
      <c r="N40" s="373"/>
      <c r="O40" s="605"/>
      <c r="P40" s="373"/>
      <c r="Q40" s="372">
        <f t="shared" si="6"/>
        <v>0</v>
      </c>
      <c r="R40" s="609" t="str">
        <f t="shared" si="7"/>
        <v/>
      </c>
      <c r="S40" s="610" t="b">
        <f t="shared" si="8"/>
        <v>1</v>
      </c>
    </row>
    <row r="41" spans="1:19" s="146" customFormat="1" ht="12" customHeight="1" x14ac:dyDescent="0.2">
      <c r="A41" s="1130" t="str">
        <f t="shared" si="5"/>
        <v>01</v>
      </c>
      <c r="B41" s="146" t="s">
        <v>1577</v>
      </c>
      <c r="C41" s="3236"/>
      <c r="D41" s="3236"/>
      <c r="E41" s="3236"/>
      <c r="F41" s="283"/>
      <c r="G41" s="605"/>
      <c r="H41" s="373"/>
      <c r="I41" s="605"/>
      <c r="J41" s="373"/>
      <c r="K41" s="605"/>
      <c r="L41" s="373"/>
      <c r="M41" s="605"/>
      <c r="N41" s="373"/>
      <c r="O41" s="605"/>
      <c r="P41" s="373"/>
      <c r="Q41" s="372">
        <f t="shared" si="6"/>
        <v>0</v>
      </c>
      <c r="R41" s="609" t="str">
        <f t="shared" si="7"/>
        <v/>
      </c>
      <c r="S41" s="610" t="b">
        <f t="shared" si="8"/>
        <v>1</v>
      </c>
    </row>
    <row r="42" spans="1:19" s="146" customFormat="1" ht="12" customHeight="1" x14ac:dyDescent="0.2">
      <c r="A42" s="1130" t="str">
        <f t="shared" si="5"/>
        <v>01</v>
      </c>
      <c r="B42" s="146" t="s">
        <v>1621</v>
      </c>
      <c r="C42" s="3236"/>
      <c r="D42" s="3236"/>
      <c r="E42" s="3236"/>
      <c r="F42" s="283"/>
      <c r="G42" s="605"/>
      <c r="H42" s="373"/>
      <c r="I42" s="605"/>
      <c r="J42" s="373"/>
      <c r="K42" s="605"/>
      <c r="L42" s="373"/>
      <c r="M42" s="605"/>
      <c r="N42" s="373"/>
      <c r="O42" s="605"/>
      <c r="P42" s="373"/>
      <c r="Q42" s="372">
        <f t="shared" si="6"/>
        <v>0</v>
      </c>
      <c r="R42" s="609" t="str">
        <f t="shared" si="7"/>
        <v/>
      </c>
      <c r="S42" s="610" t="b">
        <f t="shared" si="8"/>
        <v>1</v>
      </c>
    </row>
    <row r="43" spans="1:19" s="146" customFormat="1" ht="12" customHeight="1" x14ac:dyDescent="0.2">
      <c r="A43" s="1130" t="str">
        <f t="shared" si="5"/>
        <v>01</v>
      </c>
      <c r="B43" s="146" t="s">
        <v>1622</v>
      </c>
      <c r="C43" s="3236"/>
      <c r="D43" s="3236"/>
      <c r="E43" s="3236"/>
      <c r="F43" s="283"/>
      <c r="G43" s="605"/>
      <c r="H43" s="373"/>
      <c r="I43" s="605"/>
      <c r="J43" s="373"/>
      <c r="K43" s="605"/>
      <c r="L43" s="373"/>
      <c r="M43" s="605"/>
      <c r="N43" s="373"/>
      <c r="O43" s="605"/>
      <c r="P43" s="373"/>
      <c r="Q43" s="372">
        <f t="shared" si="6"/>
        <v>0</v>
      </c>
      <c r="R43" s="609" t="str">
        <f t="shared" si="7"/>
        <v/>
      </c>
      <c r="S43" s="610" t="b">
        <f t="shared" si="8"/>
        <v>1</v>
      </c>
    </row>
    <row r="44" spans="1:19" s="146" customFormat="1" ht="12" customHeight="1" thickBot="1" x14ac:dyDescent="0.25">
      <c r="A44" s="1130" t="str">
        <f t="shared" si="5"/>
        <v>01</v>
      </c>
      <c r="B44" s="146" t="s">
        <v>1623</v>
      </c>
      <c r="C44" s="3236"/>
      <c r="D44" s="3236"/>
      <c r="E44" s="3236"/>
      <c r="F44" s="283"/>
      <c r="G44" s="607"/>
      <c r="H44" s="373"/>
      <c r="I44" s="608"/>
      <c r="J44" s="373"/>
      <c r="K44" s="608"/>
      <c r="L44" s="373"/>
      <c r="M44" s="608"/>
      <c r="N44" s="373"/>
      <c r="O44" s="608"/>
      <c r="P44" s="373"/>
      <c r="Q44" s="372">
        <f t="shared" si="6"/>
        <v>0</v>
      </c>
      <c r="R44" s="609" t="str">
        <f t="shared" si="7"/>
        <v/>
      </c>
      <c r="S44" s="610" t="b">
        <f t="shared" si="8"/>
        <v>1</v>
      </c>
    </row>
    <row r="45" spans="1:19" s="146" customFormat="1" ht="15" customHeight="1" thickBot="1" x14ac:dyDescent="0.25">
      <c r="A45" s="1130" t="str">
        <f t="shared" si="5"/>
        <v>01</v>
      </c>
      <c r="B45" s="146" t="s">
        <v>1578</v>
      </c>
      <c r="C45" s="295" t="s">
        <v>260</v>
      </c>
      <c r="D45" s="283"/>
      <c r="E45" s="283"/>
      <c r="F45" s="283"/>
      <c r="G45" s="377">
        <f>SUM(G39:G44)</f>
        <v>0</v>
      </c>
      <c r="H45" s="373"/>
      <c r="I45" s="377">
        <f>SUM(I39:I44)</f>
        <v>0</v>
      </c>
      <c r="J45" s="373"/>
      <c r="K45" s="377">
        <f>SUM(K39:K44)</f>
        <v>0</v>
      </c>
      <c r="L45" s="373"/>
      <c r="M45" s="377">
        <f>SUM(M39:M44)</f>
        <v>0</v>
      </c>
      <c r="N45" s="373"/>
      <c r="O45" s="377">
        <f>SUM(O39:O44)</f>
        <v>0</v>
      </c>
      <c r="P45" s="373"/>
      <c r="Q45" s="377">
        <f>SUM(Q39:Q44)</f>
        <v>0</v>
      </c>
      <c r="R45" s="612"/>
      <c r="S45" s="553">
        <f>COUNTIF(S19:S44,FALSE)</f>
        <v>0</v>
      </c>
    </row>
    <row r="46" spans="1:19" ht="15" customHeight="1" thickTop="1" x14ac:dyDescent="0.2">
      <c r="A46" s="1130" t="str">
        <f t="shared" si="5"/>
        <v>01</v>
      </c>
      <c r="G46" s="12"/>
      <c r="H46" s="12"/>
      <c r="I46" s="12"/>
      <c r="J46" s="12"/>
      <c r="K46" s="12"/>
      <c r="L46" s="12"/>
      <c r="M46" s="12"/>
      <c r="N46" s="12"/>
      <c r="O46" s="12"/>
      <c r="P46" s="12"/>
      <c r="Q46" s="12"/>
    </row>
    <row r="47" spans="1:19" ht="15" customHeight="1" x14ac:dyDescent="0.2">
      <c r="A47" s="1130" t="str">
        <f t="shared" si="5"/>
        <v>01</v>
      </c>
      <c r="G47" s="12"/>
      <c r="H47" s="12"/>
      <c r="I47" s="12"/>
      <c r="J47" s="12"/>
      <c r="K47" s="12"/>
      <c r="L47" s="12"/>
      <c r="M47" s="12"/>
      <c r="N47" s="12"/>
      <c r="O47" s="12"/>
      <c r="P47" s="12"/>
      <c r="Q47" s="12"/>
    </row>
    <row r="48" spans="1:19" ht="15" customHeight="1" x14ac:dyDescent="0.2">
      <c r="A48" s="1130" t="str">
        <f t="shared" si="5"/>
        <v>01</v>
      </c>
      <c r="G48" s="12"/>
      <c r="H48" s="12"/>
      <c r="I48" s="12"/>
      <c r="J48" s="12"/>
      <c r="K48" s="12"/>
      <c r="L48" s="12"/>
      <c r="M48" s="12"/>
      <c r="N48" s="12"/>
      <c r="O48" s="12"/>
      <c r="P48" s="12"/>
      <c r="Q48" s="12"/>
    </row>
    <row r="49" spans="1:17" ht="15" customHeight="1" x14ac:dyDescent="0.2">
      <c r="A49" s="1130" t="str">
        <f t="shared" si="5"/>
        <v>01</v>
      </c>
      <c r="B49" s="443" t="str">
        <f ca="1">MID(CELL("filename",B15),FIND("]",CELL("filename",B15))+1,256)</f>
        <v>705</v>
      </c>
      <c r="C49" s="443" t="s">
        <v>449</v>
      </c>
      <c r="G49" s="12"/>
      <c r="H49" s="12"/>
      <c r="I49" s="12"/>
      <c r="J49" s="12"/>
      <c r="K49" s="12"/>
      <c r="L49" s="12"/>
      <c r="M49" s="12"/>
      <c r="N49" s="12"/>
      <c r="O49" s="12"/>
      <c r="P49" s="12"/>
      <c r="Q49" s="12"/>
    </row>
    <row r="50" spans="1:17" ht="15" customHeight="1" x14ac:dyDescent="0.2">
      <c r="A50" s="1130" t="str">
        <f t="shared" si="5"/>
        <v>01</v>
      </c>
      <c r="B50" s="443" t="s">
        <v>446</v>
      </c>
      <c r="C50" s="443" t="str">
        <f t="shared" ref="C50:C59" ca="1" si="9">IF(ISNA(INDEX(ErrorTable,MATCH($B$49&amp;$B50&amp;FALSE,ErrorKey,0),6)),"",INDEX(ErrorTable,MATCH($B$49&amp;$B50&amp;FALSE,ErrorKey,0),6))</f>
        <v/>
      </c>
      <c r="G50" s="12"/>
      <c r="H50" s="12"/>
      <c r="I50" s="12"/>
      <c r="J50" s="12"/>
      <c r="K50" s="12"/>
      <c r="L50" s="12"/>
      <c r="M50" s="12"/>
      <c r="N50" s="12"/>
      <c r="O50" s="12"/>
      <c r="P50" s="12"/>
      <c r="Q50" s="12"/>
    </row>
    <row r="51" spans="1:17" ht="15" customHeight="1" x14ac:dyDescent="0.2">
      <c r="A51" s="1130" t="str">
        <f t="shared" si="5"/>
        <v>01</v>
      </c>
      <c r="B51" s="443" t="s">
        <v>447</v>
      </c>
      <c r="C51" s="443" t="str">
        <f t="shared" ca="1" si="9"/>
        <v/>
      </c>
      <c r="G51" s="12"/>
      <c r="H51" s="12"/>
      <c r="I51" s="12"/>
      <c r="J51" s="12"/>
      <c r="K51" s="12"/>
      <c r="L51" s="12"/>
      <c r="M51" s="12"/>
      <c r="N51" s="12"/>
      <c r="O51" s="12"/>
      <c r="P51" s="12"/>
      <c r="Q51" s="12"/>
    </row>
    <row r="52" spans="1:17" ht="15" customHeight="1" x14ac:dyDescent="0.2">
      <c r="A52" s="1130" t="str">
        <f t="shared" si="5"/>
        <v>01</v>
      </c>
      <c r="B52" s="443" t="s">
        <v>448</v>
      </c>
      <c r="C52" s="443" t="str">
        <f t="shared" ca="1" si="9"/>
        <v/>
      </c>
      <c r="G52" s="12"/>
      <c r="H52" s="12"/>
      <c r="I52" s="12"/>
      <c r="J52" s="12"/>
      <c r="K52" s="12"/>
      <c r="L52" s="12"/>
      <c r="M52" s="12"/>
      <c r="N52" s="12"/>
      <c r="O52" s="12"/>
      <c r="P52" s="12"/>
      <c r="Q52" s="12"/>
    </row>
    <row r="53" spans="1:17" ht="15" customHeight="1" x14ac:dyDescent="0.2">
      <c r="A53" s="1130" t="str">
        <f t="shared" si="5"/>
        <v>01</v>
      </c>
      <c r="B53" s="443" t="s">
        <v>450</v>
      </c>
      <c r="C53" s="443" t="str">
        <f t="shared" ca="1" si="9"/>
        <v/>
      </c>
      <c r="G53" s="12"/>
      <c r="H53" s="12"/>
      <c r="I53" s="12"/>
      <c r="J53" s="12"/>
      <c r="K53" s="12"/>
      <c r="L53" s="12"/>
      <c r="M53" s="12"/>
      <c r="N53" s="12"/>
      <c r="O53" s="12"/>
      <c r="P53" s="12"/>
      <c r="Q53" s="12"/>
    </row>
    <row r="54" spans="1:17" ht="15" customHeight="1" x14ac:dyDescent="0.2">
      <c r="A54" s="1130" t="str">
        <f t="shared" si="5"/>
        <v>01</v>
      </c>
      <c r="B54" s="443" t="s">
        <v>451</v>
      </c>
      <c r="C54" s="443" t="str">
        <f t="shared" ca="1" si="9"/>
        <v/>
      </c>
      <c r="G54" s="12"/>
      <c r="H54" s="12"/>
      <c r="I54" s="12"/>
      <c r="J54" s="12"/>
      <c r="K54" s="12"/>
      <c r="L54" s="12"/>
      <c r="M54" s="12"/>
      <c r="N54" s="12"/>
      <c r="O54" s="12"/>
      <c r="P54" s="12"/>
      <c r="Q54" s="12"/>
    </row>
    <row r="55" spans="1:17" ht="15" customHeight="1" x14ac:dyDescent="0.2">
      <c r="A55" s="1130" t="str">
        <f t="shared" si="5"/>
        <v>01</v>
      </c>
      <c r="B55" s="443" t="s">
        <v>452</v>
      </c>
      <c r="C55" s="443" t="str">
        <f t="shared" ca="1" si="9"/>
        <v/>
      </c>
      <c r="G55" s="12"/>
      <c r="H55" s="12"/>
      <c r="I55" s="12"/>
      <c r="J55" s="12"/>
      <c r="K55" s="12"/>
      <c r="L55" s="12"/>
      <c r="M55" s="12"/>
      <c r="N55" s="12"/>
      <c r="O55" s="12"/>
      <c r="P55" s="12"/>
      <c r="Q55" s="12"/>
    </row>
    <row r="56" spans="1:17" ht="15" customHeight="1" x14ac:dyDescent="0.2">
      <c r="A56" s="1130" t="str">
        <f t="shared" si="5"/>
        <v>01</v>
      </c>
      <c r="B56" s="443" t="s">
        <v>453</v>
      </c>
      <c r="C56" s="443" t="str">
        <f t="shared" ca="1" si="9"/>
        <v/>
      </c>
      <c r="G56" s="12"/>
      <c r="H56" s="12"/>
      <c r="I56" s="12"/>
      <c r="J56" s="12"/>
      <c r="K56" s="12"/>
      <c r="L56" s="12"/>
      <c r="M56" s="12"/>
      <c r="N56" s="12"/>
      <c r="O56" s="12"/>
      <c r="P56" s="12"/>
      <c r="Q56" s="12"/>
    </row>
    <row r="57" spans="1:17" ht="15" customHeight="1" x14ac:dyDescent="0.2">
      <c r="A57" s="1130" t="str">
        <f t="shared" si="5"/>
        <v>01</v>
      </c>
      <c r="B57" s="443" t="s">
        <v>454</v>
      </c>
      <c r="C57" s="443" t="str">
        <f t="shared" ca="1" si="9"/>
        <v/>
      </c>
      <c r="G57" s="12"/>
      <c r="H57" s="12"/>
      <c r="I57" s="12"/>
      <c r="J57" s="12"/>
      <c r="K57" s="12"/>
      <c r="L57" s="12"/>
      <c r="M57" s="12"/>
      <c r="N57" s="12"/>
      <c r="O57" s="12"/>
      <c r="P57" s="12"/>
      <c r="Q57" s="12"/>
    </row>
    <row r="58" spans="1:17" ht="15" customHeight="1" x14ac:dyDescent="0.2">
      <c r="A58" s="1130" t="str">
        <f t="shared" si="5"/>
        <v>01</v>
      </c>
      <c r="B58" s="443" t="s">
        <v>455</v>
      </c>
      <c r="C58" s="443" t="str">
        <f t="shared" ca="1" si="9"/>
        <v/>
      </c>
    </row>
    <row r="59" spans="1:17" ht="15" customHeight="1" x14ac:dyDescent="0.2">
      <c r="A59" s="1130" t="str">
        <f t="shared" si="5"/>
        <v>01</v>
      </c>
      <c r="B59" s="443" t="s">
        <v>456</v>
      </c>
      <c r="C59" s="443" t="str">
        <f t="shared" ca="1" si="9"/>
        <v/>
      </c>
    </row>
    <row r="60" spans="1:17" ht="15" customHeight="1" x14ac:dyDescent="0.2">
      <c r="A60" s="1130" t="str">
        <f t="shared" si="5"/>
        <v>01</v>
      </c>
    </row>
    <row r="61" spans="1:17" ht="15" customHeight="1" x14ac:dyDescent="0.2">
      <c r="A61" s="1130" t="str">
        <f t="shared" si="5"/>
        <v>01</v>
      </c>
    </row>
    <row r="62" spans="1:17" ht="15" customHeight="1" x14ac:dyDescent="0.2">
      <c r="A62" s="1130" t="str">
        <f t="shared" si="5"/>
        <v>01</v>
      </c>
    </row>
    <row r="63" spans="1:17" ht="15" customHeight="1" x14ac:dyDescent="0.2">
      <c r="A63" s="1130" t="str">
        <f t="shared" si="5"/>
        <v>01</v>
      </c>
    </row>
    <row r="64" spans="1:17" ht="15" customHeight="1" x14ac:dyDescent="0.2">
      <c r="A64" s="1130"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uhhSj67+0nD/wxw2lk56Nu70itwlYfuvzfDBc0OjyO1CLU5q7ALlYzazyz6hF0DFUQpnvfokag4ziRwpbxAUrg==" saltValue="LzlyYL4gaEfkNvrMFu270Q==" spinCount="100000" sheet="1" objects="1" scenarios="1" autoFilter="0"/>
  <customSheetViews>
    <customSheetView guid="{B08879A4-635B-4C39-9937-AC7883D562FC}" showGridLines="0" fitToPage="1" hiddenColumns="1" topLeftCell="C1">
      <selection activeCell="B12" sqref="B12"/>
      <pageMargins left="0.5" right="0.5" top="0.5" bottom="0.5" header="0.5" footer="0.25"/>
      <printOptions horizontalCentered="1"/>
      <pageSetup scale="96"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5" right="0.5" top="0.5" bottom="0.5" header="0.5" footer="0.25"/>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5" right="0.5" top="0.5" bottom="0.5" header="0.5" footer="0.25"/>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rintOptions horizontalCentered="1"/>
      <pageSetup scale="96" orientation="landscape" horizontalDpi="1200" verticalDpi="1200" r:id="rId4"/>
      <headerFooter alignWithMargins="0">
        <oddFooter>&amp;R&amp;A</oddFooter>
      </headerFooter>
    </customSheetView>
  </customSheetViews>
  <mergeCells count="34">
    <mergeCell ref="C27:E27"/>
    <mergeCell ref="C20:E20"/>
    <mergeCell ref="I11:M11"/>
    <mergeCell ref="C19:E19"/>
    <mergeCell ref="C14:E14"/>
    <mergeCell ref="C26:E26"/>
    <mergeCell ref="C25:E25"/>
    <mergeCell ref="C24:E24"/>
    <mergeCell ref="C21:E21"/>
    <mergeCell ref="C22:E22"/>
    <mergeCell ref="C23:E23"/>
    <mergeCell ref="C15:E15"/>
    <mergeCell ref="C44:E44"/>
    <mergeCell ref="C39:E39"/>
    <mergeCell ref="C40:E40"/>
    <mergeCell ref="C41:E41"/>
    <mergeCell ref="C42:E42"/>
    <mergeCell ref="C43:E43"/>
    <mergeCell ref="C34:E34"/>
    <mergeCell ref="C31:E31"/>
    <mergeCell ref="C32:E32"/>
    <mergeCell ref="C28:E28"/>
    <mergeCell ref="C29:E29"/>
    <mergeCell ref="C33:E33"/>
    <mergeCell ref="R1:R3"/>
    <mergeCell ref="C1:Q1"/>
    <mergeCell ref="C2:Q2"/>
    <mergeCell ref="C3:Q3"/>
    <mergeCell ref="C4:Q4"/>
    <mergeCell ref="L6:Q6"/>
    <mergeCell ref="L7:Q7"/>
    <mergeCell ref="L8:Q8"/>
    <mergeCell ref="E6:G6"/>
    <mergeCell ref="E8:G8"/>
  </mergeCells>
  <phoneticPr fontId="15" type="noConversion"/>
  <conditionalFormatting sqref="R1:R3">
    <cfRule type="cellIs" dxfId="36" priority="1" stopIfTrue="1" operator="equal">
      <formula>"na"</formula>
    </cfRule>
  </conditionalFormatting>
  <hyperlinks>
    <hyperlink ref="C1" location="Index!A1" display="Index!A1" xr:uid="{00000000-0004-0000-3D00-000000000000}"/>
  </hyperlinks>
  <printOptions horizontalCentered="1"/>
  <pageMargins left="0.5" right="0.5" top="0.5" bottom="0.5" header="0.5" footer="0.25"/>
  <pageSetup scale="86" orientation="landscape" r:id="rId5"/>
  <headerFooter alignWithMargins="0">
    <oddFooter>&amp;R&amp;A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Normal="100" workbookViewId="0">
      <selection activeCell="B3" sqref="B3:R3"/>
    </sheetView>
  </sheetViews>
  <sheetFormatPr defaultColWidth="9.42578125" defaultRowHeight="12.75" x14ac:dyDescent="0.2"/>
  <cols>
    <col min="1" max="1" width="9.42578125" style="8" hidden="1" customWidth="1"/>
    <col min="2" max="2" width="6.5703125" style="8" customWidth="1"/>
    <col min="3" max="3" width="1.5703125" style="8" customWidth="1"/>
    <col min="4" max="4" width="9.42578125" style="8" customWidth="1"/>
    <col min="5" max="5" width="10.85546875" style="8" customWidth="1"/>
    <col min="6" max="6" width="1.5703125" style="8" customWidth="1"/>
    <col min="7" max="7" width="10.42578125" style="8" customWidth="1"/>
    <col min="8" max="8" width="0.5703125" style="8" customWidth="1"/>
    <col min="9" max="9" width="4.5703125" style="8" customWidth="1"/>
    <col min="10" max="10" width="0.5703125" style="8" customWidth="1"/>
    <col min="11" max="11" width="13.42578125" style="8" customWidth="1"/>
    <col min="12" max="12" width="2.5703125" style="8" customWidth="1"/>
    <col min="13" max="13" width="15.42578125" style="8" customWidth="1"/>
    <col min="14" max="14" width="1.42578125" style="8" customWidth="1"/>
    <col min="15" max="15" width="13.42578125" style="8" customWidth="1"/>
    <col min="16" max="16" width="1.42578125" style="8" customWidth="1"/>
    <col min="17" max="17" width="13.42578125" style="8" bestFit="1" customWidth="1"/>
    <col min="18" max="18" width="0.5703125" style="8" customWidth="1"/>
    <col min="19" max="19" width="6.42578125" style="8"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25.15" customHeight="1" x14ac:dyDescent="0.25">
      <c r="A1" s="8" t="str">
        <f t="shared" ref="A1:A32" si="0">AgyIdx</f>
        <v>01</v>
      </c>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652" t="str">
        <f>IF(Index!$B$88="na","NA","")</f>
        <v/>
      </c>
      <c r="U1" s="2829"/>
    </row>
    <row r="2" spans="1:21" ht="15" customHeight="1" x14ac:dyDescent="0.25">
      <c r="A2" s="8" t="str">
        <f t="shared" si="0"/>
        <v>01</v>
      </c>
      <c r="B2" s="3243" t="str">
        <f>+Index!$A$2</f>
        <v>2022 ACFR Worksheets</v>
      </c>
      <c r="C2" s="3243"/>
      <c r="D2" s="3243"/>
      <c r="E2" s="3243"/>
      <c r="F2" s="3243"/>
      <c r="G2" s="3243"/>
      <c r="H2" s="3243"/>
      <c r="I2" s="3243"/>
      <c r="J2" s="3243"/>
      <c r="K2" s="3243"/>
      <c r="L2" s="3243"/>
      <c r="M2" s="3243"/>
      <c r="N2" s="3243"/>
      <c r="O2" s="3243"/>
      <c r="P2" s="3243"/>
      <c r="Q2" s="3243"/>
      <c r="R2" s="3243"/>
      <c r="S2" s="2652"/>
      <c r="U2" s="2829"/>
    </row>
    <row r="3" spans="1:21" ht="15" customHeight="1" x14ac:dyDescent="0.25">
      <c r="A3" s="8" t="str">
        <f t="shared" si="0"/>
        <v>01</v>
      </c>
      <c r="B3" s="3243" t="s">
        <v>1075</v>
      </c>
      <c r="C3" s="3243"/>
      <c r="D3" s="3243"/>
      <c r="E3" s="3243"/>
      <c r="F3" s="3243"/>
      <c r="G3" s="3243"/>
      <c r="H3" s="3243"/>
      <c r="I3" s="3243"/>
      <c r="J3" s="3243"/>
      <c r="K3" s="3243"/>
      <c r="L3" s="3243"/>
      <c r="M3" s="3243"/>
      <c r="N3" s="3243"/>
      <c r="O3" s="3243"/>
      <c r="P3" s="3243"/>
      <c r="Q3" s="3243"/>
      <c r="R3" s="3243"/>
      <c r="S3" s="2652"/>
      <c r="U3" s="2829"/>
    </row>
    <row r="4" spans="1:21" ht="15" customHeight="1" x14ac:dyDescent="0.25">
      <c r="A4" s="8" t="str">
        <f t="shared" si="0"/>
        <v>01</v>
      </c>
      <c r="B4" s="3243" t="s">
        <v>3600</v>
      </c>
      <c r="C4" s="3243"/>
      <c r="D4" s="3243"/>
      <c r="E4" s="3243"/>
      <c r="F4" s="3243"/>
      <c r="G4" s="3243"/>
      <c r="H4" s="3243"/>
      <c r="I4" s="3243"/>
      <c r="J4" s="3243"/>
      <c r="K4" s="3243"/>
      <c r="L4" s="3243"/>
      <c r="M4" s="3243"/>
      <c r="N4" s="3243"/>
      <c r="O4" s="3243"/>
      <c r="P4" s="3243"/>
      <c r="Q4" s="3243"/>
      <c r="R4" s="3243"/>
    </row>
    <row r="5" spans="1:21" ht="15" customHeight="1" x14ac:dyDescent="0.2">
      <c r="A5" s="8" t="str">
        <f t="shared" si="0"/>
        <v>01</v>
      </c>
      <c r="M5" s="430"/>
    </row>
    <row r="6" spans="1:21" ht="15" customHeight="1" x14ac:dyDescent="0.2">
      <c r="A6" s="8" t="str">
        <f t="shared" si="0"/>
        <v>01</v>
      </c>
      <c r="E6" s="151"/>
      <c r="L6" s="9" t="s">
        <v>327</v>
      </c>
      <c r="M6" s="3244" t="str">
        <f>+Index!$E$10</f>
        <v>01</v>
      </c>
      <c r="N6" s="3244"/>
      <c r="O6" s="3244"/>
      <c r="P6" s="3244"/>
      <c r="Q6" s="3244"/>
    </row>
    <row r="7" spans="1:21" ht="15" customHeight="1" x14ac:dyDescent="0.2">
      <c r="A7" s="8" t="str">
        <f t="shared" si="0"/>
        <v>01</v>
      </c>
      <c r="L7" s="9" t="s">
        <v>1154</v>
      </c>
      <c r="M7" s="3244" t="str">
        <f>+Index!$E$11</f>
        <v>North Carolina General Assembly</v>
      </c>
      <c r="N7" s="3244"/>
      <c r="O7" s="3244"/>
      <c r="P7" s="3244"/>
      <c r="Q7" s="3244"/>
    </row>
    <row r="8" spans="1:21" ht="15" customHeight="1" x14ac:dyDescent="0.2">
      <c r="A8" s="8" t="str">
        <f t="shared" si="0"/>
        <v>01</v>
      </c>
      <c r="B8" s="8" t="s">
        <v>477</v>
      </c>
      <c r="E8" s="3245" t="s">
        <v>971</v>
      </c>
      <c r="F8" s="3245"/>
      <c r="G8" s="3245"/>
      <c r="H8" s="296"/>
      <c r="I8" s="296"/>
      <c r="L8" s="9" t="s">
        <v>972</v>
      </c>
      <c r="M8" s="3248" t="str">
        <f>CONCATENATE(Index!$E$12," ",Index!$E$14)</f>
        <v xml:space="preserve"> </v>
      </c>
      <c r="N8" s="3248"/>
      <c r="O8" s="3248"/>
      <c r="P8" s="3248"/>
      <c r="Q8" s="3248"/>
    </row>
    <row r="9" spans="1:21" ht="15" customHeight="1" x14ac:dyDescent="0.2">
      <c r="A9" s="8" t="str">
        <f t="shared" si="0"/>
        <v>01</v>
      </c>
      <c r="E9" s="776"/>
      <c r="F9" s="776"/>
      <c r="G9" s="776"/>
      <c r="H9" s="296"/>
      <c r="I9" s="296"/>
      <c r="L9" s="9" t="s">
        <v>348</v>
      </c>
      <c r="M9" s="3249">
        <f>+Index!$E$13</f>
        <v>0</v>
      </c>
      <c r="N9" s="3249"/>
      <c r="O9" s="3249"/>
      <c r="P9" s="3249"/>
      <c r="Q9" s="3249"/>
    </row>
    <row r="10" spans="1:21" ht="5.25" customHeight="1" thickBot="1" x14ac:dyDescent="0.25">
      <c r="A10" s="8" t="str">
        <f t="shared" si="0"/>
        <v>01</v>
      </c>
      <c r="B10" s="148"/>
      <c r="C10" s="148"/>
      <c r="D10" s="148"/>
      <c r="E10" s="148"/>
      <c r="F10" s="148"/>
      <c r="G10" s="148"/>
      <c r="H10" s="148"/>
      <c r="I10" s="148"/>
      <c r="J10" s="148"/>
      <c r="K10" s="148"/>
      <c r="L10" s="148"/>
      <c r="M10" s="148"/>
      <c r="N10" s="148"/>
      <c r="O10" s="148"/>
      <c r="P10" s="148"/>
      <c r="Q10" s="148"/>
    </row>
    <row r="11" spans="1:21" ht="3" customHeight="1" x14ac:dyDescent="0.2">
      <c r="A11" s="8" t="str">
        <f t="shared" si="0"/>
        <v>01</v>
      </c>
    </row>
    <row r="12" spans="1:21" ht="10.5" customHeight="1" thickBot="1" x14ac:dyDescent="0.3">
      <c r="A12" s="8" t="str">
        <f t="shared" si="0"/>
        <v>01</v>
      </c>
      <c r="B12" s="297"/>
      <c r="C12" s="297"/>
      <c r="D12" s="297"/>
      <c r="E12" s="297"/>
      <c r="F12" s="297"/>
      <c r="G12" s="297"/>
      <c r="H12" s="297"/>
      <c r="I12" s="297"/>
      <c r="J12" s="297"/>
      <c r="K12" s="297"/>
      <c r="L12" s="298"/>
      <c r="M12" s="3247" t="s">
        <v>1158</v>
      </c>
      <c r="N12" s="3247"/>
      <c r="O12" s="3247"/>
      <c r="P12" s="3247"/>
      <c r="Q12" s="3247"/>
      <c r="R12" s="299"/>
      <c r="S12" s="299"/>
    </row>
    <row r="13" spans="1:21" ht="13.35" customHeight="1" x14ac:dyDescent="0.25">
      <c r="A13" s="8" t="str">
        <f t="shared" si="0"/>
        <v>01</v>
      </c>
      <c r="B13" s="297"/>
      <c r="C13" s="297"/>
      <c r="D13" s="297"/>
      <c r="E13" s="297"/>
      <c r="F13" s="297"/>
      <c r="G13" s="297"/>
      <c r="H13" s="297"/>
      <c r="I13" s="297"/>
      <c r="J13" s="297"/>
      <c r="K13" s="300"/>
      <c r="L13" s="301"/>
      <c r="M13" s="3246" t="s">
        <v>176</v>
      </c>
      <c r="N13" s="3246"/>
      <c r="O13" s="3246"/>
      <c r="P13" s="302"/>
      <c r="Q13" s="302"/>
      <c r="R13" s="299"/>
      <c r="S13" s="299"/>
    </row>
    <row r="14" spans="1:21" ht="13.35" customHeight="1" x14ac:dyDescent="0.25">
      <c r="B14" s="297"/>
      <c r="C14" s="297"/>
      <c r="D14" s="297"/>
      <c r="E14" s="297"/>
      <c r="F14" s="297"/>
      <c r="G14" s="297"/>
      <c r="H14" s="297"/>
      <c r="I14" s="297"/>
      <c r="J14" s="297"/>
      <c r="K14" s="300"/>
      <c r="L14" s="301"/>
      <c r="M14" s="2345" t="s">
        <v>5080</v>
      </c>
      <c r="N14" s="2345"/>
      <c r="O14" s="2345" t="s">
        <v>5081</v>
      </c>
      <c r="P14" s="2346"/>
      <c r="Q14" s="2346" t="s">
        <v>5082</v>
      </c>
      <c r="R14" s="149"/>
      <c r="S14" s="149"/>
    </row>
    <row r="15" spans="1:21" ht="12" customHeight="1" x14ac:dyDescent="0.25">
      <c r="A15" s="8" t="str">
        <f t="shared" si="0"/>
        <v>01</v>
      </c>
      <c r="B15" s="297"/>
      <c r="C15" s="297"/>
      <c r="D15" s="297"/>
      <c r="E15" s="297"/>
      <c r="F15" s="297"/>
      <c r="G15" s="297"/>
      <c r="H15" s="297"/>
      <c r="I15" s="297"/>
      <c r="J15" s="297"/>
      <c r="K15" s="300"/>
      <c r="L15" s="301"/>
      <c r="M15" s="303"/>
      <c r="N15" s="303"/>
      <c r="O15" s="303" t="s">
        <v>1203</v>
      </c>
      <c r="P15" s="302"/>
      <c r="Q15" s="302"/>
      <c r="R15" s="299"/>
      <c r="S15" s="299"/>
    </row>
    <row r="16" spans="1:21" ht="12" customHeight="1" x14ac:dyDescent="0.25">
      <c r="A16" s="8" t="str">
        <f t="shared" si="0"/>
        <v>01</v>
      </c>
      <c r="B16" s="297"/>
      <c r="C16" s="297"/>
      <c r="D16" s="297"/>
      <c r="E16" s="297"/>
      <c r="F16" s="297"/>
      <c r="G16" s="297"/>
      <c r="H16" s="297"/>
      <c r="I16" s="297"/>
      <c r="J16" s="297"/>
      <c r="K16" s="303"/>
      <c r="L16" s="301"/>
      <c r="M16" s="303"/>
      <c r="N16" s="302"/>
      <c r="O16" s="303" t="s">
        <v>1204</v>
      </c>
      <c r="P16" s="302"/>
      <c r="Q16" s="303"/>
      <c r="R16" s="299"/>
      <c r="S16" s="299"/>
    </row>
    <row r="17" spans="1:21" ht="12" customHeight="1" x14ac:dyDescent="0.25">
      <c r="A17" s="8" t="str">
        <f t="shared" si="0"/>
        <v>01</v>
      </c>
      <c r="B17" s="297"/>
      <c r="C17" s="303"/>
      <c r="D17" s="297"/>
      <c r="E17" s="298" t="s">
        <v>973</v>
      </c>
      <c r="F17" s="298"/>
      <c r="G17" s="297"/>
      <c r="H17" s="297"/>
      <c r="I17" s="297"/>
      <c r="J17" s="297"/>
      <c r="K17" s="303" t="s">
        <v>1158</v>
      </c>
      <c r="L17" s="297"/>
      <c r="M17" s="303" t="s">
        <v>1203</v>
      </c>
      <c r="N17" s="302"/>
      <c r="O17" s="303" t="s">
        <v>1205</v>
      </c>
      <c r="P17" s="302"/>
      <c r="Q17" s="303" t="s">
        <v>103</v>
      </c>
      <c r="R17" s="299"/>
      <c r="S17" s="299"/>
      <c r="U17" s="1138" t="s">
        <v>1673</v>
      </c>
    </row>
    <row r="18" spans="1:21" ht="12" customHeight="1" x14ac:dyDescent="0.25">
      <c r="A18" s="8" t="str">
        <f t="shared" si="0"/>
        <v>01</v>
      </c>
      <c r="B18" s="304" t="s">
        <v>653</v>
      </c>
      <c r="C18" s="305"/>
      <c r="D18" s="305"/>
      <c r="E18" s="305"/>
      <c r="F18" s="304"/>
      <c r="G18" s="305"/>
      <c r="H18" s="297"/>
      <c r="I18" s="297"/>
      <c r="J18" s="297"/>
      <c r="K18" s="306" t="s">
        <v>740</v>
      </c>
      <c r="L18" s="297"/>
      <c r="M18" s="306" t="s">
        <v>1206</v>
      </c>
      <c r="N18" s="307"/>
      <c r="O18" s="306" t="s">
        <v>1207</v>
      </c>
      <c r="P18" s="307"/>
      <c r="Q18" s="306" t="s">
        <v>548</v>
      </c>
      <c r="R18" s="299"/>
      <c r="S18" s="299"/>
      <c r="U18" s="1139" t="s">
        <v>1160</v>
      </c>
    </row>
    <row r="19" spans="1:21" ht="12" customHeight="1" x14ac:dyDescent="0.2">
      <c r="A19" s="8" t="str">
        <f t="shared" si="0"/>
        <v>01</v>
      </c>
      <c r="B19" s="299"/>
      <c r="C19" s="299"/>
      <c r="D19" s="299"/>
      <c r="E19" s="299"/>
      <c r="F19" s="299"/>
      <c r="G19" s="299"/>
      <c r="H19" s="299"/>
      <c r="I19" s="308"/>
      <c r="J19" s="308"/>
      <c r="K19" s="310" t="s">
        <v>118</v>
      </c>
      <c r="L19" s="310"/>
      <c r="M19" s="310" t="s">
        <v>119</v>
      </c>
      <c r="N19" s="310"/>
      <c r="O19" s="310" t="s">
        <v>996</v>
      </c>
      <c r="P19" s="299"/>
      <c r="Q19" s="310" t="s">
        <v>997</v>
      </c>
      <c r="R19" s="310"/>
      <c r="S19" s="299"/>
    </row>
    <row r="20" spans="1:21" ht="12" customHeight="1" x14ac:dyDescent="0.2">
      <c r="A20" s="8" t="str">
        <f t="shared" si="0"/>
        <v>01</v>
      </c>
      <c r="B20" s="309" t="s">
        <v>654</v>
      </c>
      <c r="C20" s="311"/>
      <c r="D20" s="299"/>
      <c r="E20" s="299"/>
      <c r="F20" s="299"/>
      <c r="G20" s="299"/>
      <c r="H20" s="299"/>
      <c r="I20" s="308"/>
      <c r="J20" s="308"/>
      <c r="K20" s="312"/>
      <c r="L20" s="312"/>
      <c r="M20" s="312"/>
      <c r="N20" s="312"/>
      <c r="O20" s="312"/>
      <c r="P20" s="312"/>
      <c r="Q20" s="312"/>
      <c r="R20" s="312"/>
      <c r="S20" s="299"/>
    </row>
    <row r="21" spans="1:21" ht="12" customHeight="1" x14ac:dyDescent="0.25">
      <c r="A21" s="8" t="str">
        <f t="shared" si="0"/>
        <v>01</v>
      </c>
      <c r="B21" s="313" t="s">
        <v>1208</v>
      </c>
      <c r="C21" s="314"/>
      <c r="D21" s="299"/>
      <c r="E21" s="299"/>
      <c r="F21" s="299"/>
      <c r="G21" s="299"/>
      <c r="H21" s="299"/>
      <c r="I21" s="150" t="s">
        <v>1579</v>
      </c>
      <c r="J21" s="315"/>
      <c r="K21" s="1308">
        <f>M21+O21+Q21</f>
        <v>0</v>
      </c>
      <c r="L21" s="316"/>
      <c r="M21" s="613"/>
      <c r="N21" s="316"/>
      <c r="O21" s="613"/>
      <c r="P21" s="316"/>
      <c r="Q21" s="613"/>
      <c r="R21" s="312"/>
      <c r="S21" s="609" t="str">
        <f>IF(T21=FALSE,"*","")</f>
        <v/>
      </c>
      <c r="T21" s="610" t="b">
        <f>+K21=SUM(M21,O21,Q21)</f>
        <v>1</v>
      </c>
      <c r="U21" s="1137">
        <f>K21-SUM(M21,O21,Q21)</f>
        <v>0</v>
      </c>
    </row>
    <row r="22" spans="1:21" ht="12" customHeight="1" x14ac:dyDescent="0.25">
      <c r="A22" s="8" t="str">
        <f t="shared" si="0"/>
        <v>01</v>
      </c>
      <c r="B22" s="313" t="s">
        <v>921</v>
      </c>
      <c r="C22" s="314"/>
      <c r="D22" s="299"/>
      <c r="E22" s="299"/>
      <c r="F22" s="299"/>
      <c r="G22" s="299"/>
      <c r="H22" s="299"/>
      <c r="I22" s="150" t="s">
        <v>1580</v>
      </c>
      <c r="J22" s="315"/>
      <c r="K22" s="1308">
        <f t="shared" ref="K22:K37" si="1">M22+O22+Q22</f>
        <v>0</v>
      </c>
      <c r="L22" s="316"/>
      <c r="M22" s="613"/>
      <c r="N22" s="316"/>
      <c r="O22" s="613"/>
      <c r="P22" s="316"/>
      <c r="Q22" s="613"/>
      <c r="R22" s="312"/>
      <c r="S22" s="609" t="str">
        <f t="shared" ref="S22:S35" si="2">IF(T22=FALSE,"*","")</f>
        <v/>
      </c>
      <c r="T22" s="610" t="b">
        <f t="shared" ref="T22:T35" si="3">+K22=SUM(M22,O22,Q22)</f>
        <v>1</v>
      </c>
      <c r="U22" s="1137">
        <f t="shared" ref="U22:U35" si="4">K22-SUM(M22,O22,Q22)</f>
        <v>0</v>
      </c>
    </row>
    <row r="23" spans="1:21" ht="12" customHeight="1" x14ac:dyDescent="0.25">
      <c r="A23" s="8" t="str">
        <f t="shared" si="0"/>
        <v>01</v>
      </c>
      <c r="B23" s="313" t="s">
        <v>1851</v>
      </c>
      <c r="C23" s="314"/>
      <c r="D23" s="299"/>
      <c r="E23" s="299"/>
      <c r="F23" s="299"/>
      <c r="G23" s="299"/>
      <c r="H23" s="299"/>
      <c r="I23" s="150" t="s">
        <v>1581</v>
      </c>
      <c r="J23" s="315"/>
      <c r="K23" s="1308">
        <f t="shared" si="1"/>
        <v>0</v>
      </c>
      <c r="L23" s="316"/>
      <c r="M23" s="613"/>
      <c r="N23" s="316"/>
      <c r="O23" s="613"/>
      <c r="P23" s="316"/>
      <c r="Q23" s="613"/>
      <c r="R23" s="312"/>
      <c r="S23" s="609" t="str">
        <f t="shared" si="2"/>
        <v/>
      </c>
      <c r="T23" s="610" t="b">
        <f t="shared" si="3"/>
        <v>1</v>
      </c>
      <c r="U23" s="1137">
        <f t="shared" si="4"/>
        <v>0</v>
      </c>
    </row>
    <row r="24" spans="1:21" ht="12" customHeight="1" x14ac:dyDescent="0.25">
      <c r="A24" s="8" t="str">
        <f t="shared" si="0"/>
        <v>01</v>
      </c>
      <c r="B24" s="313" t="s">
        <v>1852</v>
      </c>
      <c r="C24" s="314"/>
      <c r="D24" s="299"/>
      <c r="E24" s="299"/>
      <c r="F24" s="299"/>
      <c r="G24" s="299"/>
      <c r="H24" s="299"/>
      <c r="I24" s="150" t="s">
        <v>1582</v>
      </c>
      <c r="J24" s="315"/>
      <c r="K24" s="1308">
        <f t="shared" si="1"/>
        <v>0</v>
      </c>
      <c r="L24" s="316"/>
      <c r="M24" s="613"/>
      <c r="N24" s="316"/>
      <c r="O24" s="613"/>
      <c r="P24" s="316"/>
      <c r="Q24" s="613"/>
      <c r="R24" s="312"/>
      <c r="S24" s="609" t="str">
        <f t="shared" si="2"/>
        <v/>
      </c>
      <c r="T24" s="610" t="b">
        <f t="shared" si="3"/>
        <v>1</v>
      </c>
      <c r="U24" s="1137">
        <f t="shared" si="4"/>
        <v>0</v>
      </c>
    </row>
    <row r="25" spans="1:21" ht="12" customHeight="1" x14ac:dyDescent="0.25">
      <c r="A25" s="8" t="str">
        <f t="shared" si="0"/>
        <v>01</v>
      </c>
      <c r="B25" s="313" t="s">
        <v>1853</v>
      </c>
      <c r="C25" s="314"/>
      <c r="D25" s="299"/>
      <c r="E25" s="299"/>
      <c r="F25" s="299"/>
      <c r="G25" s="299"/>
      <c r="H25" s="299"/>
      <c r="I25" s="150" t="s">
        <v>1583</v>
      </c>
      <c r="J25" s="315"/>
      <c r="K25" s="1308">
        <f t="shared" si="1"/>
        <v>0</v>
      </c>
      <c r="L25" s="316"/>
      <c r="M25" s="613"/>
      <c r="N25" s="316"/>
      <c r="O25" s="613"/>
      <c r="P25" s="316"/>
      <c r="Q25" s="613"/>
      <c r="R25" s="312"/>
      <c r="S25" s="609" t="str">
        <f t="shared" si="2"/>
        <v/>
      </c>
      <c r="T25" s="610" t="b">
        <f t="shared" si="3"/>
        <v>1</v>
      </c>
      <c r="U25" s="1137">
        <f t="shared" si="4"/>
        <v>0</v>
      </c>
    </row>
    <row r="26" spans="1:21" ht="12" customHeight="1" x14ac:dyDescent="0.25">
      <c r="A26" s="8" t="str">
        <f t="shared" si="0"/>
        <v>01</v>
      </c>
      <c r="B26" s="313" t="s">
        <v>1854</v>
      </c>
      <c r="C26" s="314"/>
      <c r="D26" s="299"/>
      <c r="E26" s="299"/>
      <c r="F26" s="299"/>
      <c r="G26" s="299"/>
      <c r="H26" s="299"/>
      <c r="I26" s="150" t="s">
        <v>1584</v>
      </c>
      <c r="J26" s="315"/>
      <c r="K26" s="1308">
        <f t="shared" si="1"/>
        <v>0</v>
      </c>
      <c r="L26" s="316"/>
      <c r="M26" s="613"/>
      <c r="N26" s="316"/>
      <c r="O26" s="613"/>
      <c r="P26" s="316"/>
      <c r="Q26" s="613"/>
      <c r="R26" s="312"/>
      <c r="S26" s="609" t="str">
        <f t="shared" si="2"/>
        <v/>
      </c>
      <c r="T26" s="610" t="b">
        <f t="shared" si="3"/>
        <v>1</v>
      </c>
      <c r="U26" s="1137">
        <f t="shared" si="4"/>
        <v>0</v>
      </c>
    </row>
    <row r="27" spans="1:21" ht="12" customHeight="1" x14ac:dyDescent="0.25">
      <c r="A27" s="8" t="str">
        <f t="shared" si="0"/>
        <v>01</v>
      </c>
      <c r="B27" s="313" t="s">
        <v>1855</v>
      </c>
      <c r="C27" s="314"/>
      <c r="D27" s="299"/>
      <c r="E27" s="299"/>
      <c r="F27" s="299"/>
      <c r="G27" s="299"/>
      <c r="H27" s="299"/>
      <c r="I27" s="150" t="s">
        <v>1585</v>
      </c>
      <c r="J27" s="315"/>
      <c r="K27" s="1308">
        <f t="shared" si="1"/>
        <v>0</v>
      </c>
      <c r="L27" s="316"/>
      <c r="M27" s="613"/>
      <c r="N27" s="316"/>
      <c r="O27" s="613"/>
      <c r="P27" s="316"/>
      <c r="Q27" s="613"/>
      <c r="R27" s="312"/>
      <c r="S27" s="609" t="str">
        <f t="shared" si="2"/>
        <v/>
      </c>
      <c r="T27" s="610" t="b">
        <f t="shared" si="3"/>
        <v>1</v>
      </c>
      <c r="U27" s="1137">
        <f t="shared" si="4"/>
        <v>0</v>
      </c>
    </row>
    <row r="28" spans="1:21" ht="12" customHeight="1" x14ac:dyDescent="0.25">
      <c r="A28" s="8" t="str">
        <f t="shared" si="0"/>
        <v>01</v>
      </c>
      <c r="B28" s="313" t="s">
        <v>1856</v>
      </c>
      <c r="C28" s="314"/>
      <c r="D28" s="299"/>
      <c r="E28" s="299"/>
      <c r="F28" s="299"/>
      <c r="G28" s="299"/>
      <c r="H28" s="299"/>
      <c r="I28" s="150" t="s">
        <v>1586</v>
      </c>
      <c r="J28" s="315"/>
      <c r="K28" s="1308">
        <f t="shared" si="1"/>
        <v>0</v>
      </c>
      <c r="L28" s="316"/>
      <c r="M28" s="613"/>
      <c r="N28" s="316"/>
      <c r="O28" s="613"/>
      <c r="P28" s="316"/>
      <c r="Q28" s="613"/>
      <c r="R28" s="312"/>
      <c r="S28" s="609" t="str">
        <f>IF(T28=FALSE,"*","")</f>
        <v/>
      </c>
      <c r="T28" s="610" t="b">
        <f>+K28=SUM(M28,O28,Q28)</f>
        <v>1</v>
      </c>
      <c r="U28" s="1137">
        <f t="shared" si="4"/>
        <v>0</v>
      </c>
    </row>
    <row r="29" spans="1:21" ht="12" customHeight="1" x14ac:dyDescent="0.25">
      <c r="A29" s="8" t="str">
        <f t="shared" si="0"/>
        <v>01</v>
      </c>
      <c r="B29" s="313" t="s">
        <v>1857</v>
      </c>
      <c r="C29" s="314"/>
      <c r="D29" s="299"/>
      <c r="E29" s="299"/>
      <c r="F29" s="299"/>
      <c r="G29" s="299"/>
      <c r="H29" s="299"/>
      <c r="I29" s="150" t="s">
        <v>1587</v>
      </c>
      <c r="J29" s="315"/>
      <c r="K29" s="1308">
        <f t="shared" si="1"/>
        <v>0</v>
      </c>
      <c r="L29" s="316"/>
      <c r="M29" s="613"/>
      <c r="N29" s="316"/>
      <c r="O29" s="613"/>
      <c r="P29" s="316"/>
      <c r="Q29" s="613"/>
      <c r="R29" s="312"/>
      <c r="S29" s="609" t="str">
        <f t="shared" si="2"/>
        <v/>
      </c>
      <c r="T29" s="610" t="b">
        <f t="shared" si="3"/>
        <v>1</v>
      </c>
      <c r="U29" s="1137">
        <f t="shared" si="4"/>
        <v>0</v>
      </c>
    </row>
    <row r="30" spans="1:21" ht="12" customHeight="1" x14ac:dyDescent="0.25">
      <c r="A30" s="8" t="str">
        <f t="shared" si="0"/>
        <v>01</v>
      </c>
      <c r="B30" s="313" t="s">
        <v>655</v>
      </c>
      <c r="C30" s="314"/>
      <c r="D30" s="299"/>
      <c r="E30" s="299"/>
      <c r="F30" s="299"/>
      <c r="G30" s="299"/>
      <c r="H30" s="299"/>
      <c r="I30" s="150" t="s">
        <v>1588</v>
      </c>
      <c r="J30" s="315"/>
      <c r="K30" s="1308">
        <f t="shared" si="1"/>
        <v>0</v>
      </c>
      <c r="L30" s="316"/>
      <c r="M30" s="613"/>
      <c r="N30" s="316"/>
      <c r="O30" s="613"/>
      <c r="P30" s="316"/>
      <c r="Q30" s="613"/>
      <c r="R30" s="312"/>
      <c r="S30" s="609" t="str">
        <f t="shared" si="2"/>
        <v/>
      </c>
      <c r="T30" s="610" t="b">
        <f t="shared" si="3"/>
        <v>1</v>
      </c>
      <c r="U30" s="1137">
        <f t="shared" si="4"/>
        <v>0</v>
      </c>
    </row>
    <row r="31" spans="1:21" ht="12" customHeight="1" x14ac:dyDescent="0.25">
      <c r="A31" s="8" t="str">
        <f t="shared" si="0"/>
        <v>01</v>
      </c>
      <c r="B31" s="313" t="s">
        <v>1858</v>
      </c>
      <c r="C31" s="314"/>
      <c r="D31" s="299"/>
      <c r="E31" s="299"/>
      <c r="F31" s="299"/>
      <c r="G31" s="299"/>
      <c r="H31" s="299"/>
      <c r="I31" s="150" t="s">
        <v>1589</v>
      </c>
      <c r="J31" s="315"/>
      <c r="K31" s="1308">
        <f t="shared" si="1"/>
        <v>0</v>
      </c>
      <c r="L31" s="316"/>
      <c r="M31" s="613"/>
      <c r="N31" s="316"/>
      <c r="O31" s="613"/>
      <c r="P31" s="316"/>
      <c r="Q31" s="613"/>
      <c r="R31" s="312"/>
      <c r="S31" s="609" t="str">
        <f t="shared" si="2"/>
        <v/>
      </c>
      <c r="T31" s="610" t="b">
        <f t="shared" si="3"/>
        <v>1</v>
      </c>
      <c r="U31" s="1137">
        <f t="shared" si="4"/>
        <v>0</v>
      </c>
    </row>
    <row r="32" spans="1:21" ht="12" customHeight="1" x14ac:dyDescent="0.25">
      <c r="A32" s="8" t="str">
        <f t="shared" si="0"/>
        <v>01</v>
      </c>
      <c r="B32" s="313" t="s">
        <v>1859</v>
      </c>
      <c r="C32" s="314"/>
      <c r="D32" s="299"/>
      <c r="E32" s="299"/>
      <c r="F32" s="299"/>
      <c r="G32" s="299"/>
      <c r="H32" s="299"/>
      <c r="I32" s="150" t="s">
        <v>1590</v>
      </c>
      <c r="J32" s="315"/>
      <c r="K32" s="1308">
        <f t="shared" si="1"/>
        <v>0</v>
      </c>
      <c r="L32" s="316"/>
      <c r="M32" s="613"/>
      <c r="N32" s="316"/>
      <c r="O32" s="613"/>
      <c r="P32" s="316"/>
      <c r="Q32" s="613"/>
      <c r="R32" s="312"/>
      <c r="S32" s="609" t="str">
        <f t="shared" si="2"/>
        <v/>
      </c>
      <c r="T32" s="610" t="b">
        <f t="shared" si="3"/>
        <v>1</v>
      </c>
      <c r="U32" s="1137">
        <f t="shared" si="4"/>
        <v>0</v>
      </c>
    </row>
    <row r="33" spans="1:21" ht="12" customHeight="1" x14ac:dyDescent="0.25">
      <c r="A33" s="8" t="str">
        <f t="shared" ref="A33:A64" si="5">AgyIdx</f>
        <v>01</v>
      </c>
      <c r="B33" s="313" t="s">
        <v>1860</v>
      </c>
      <c r="C33" s="314"/>
      <c r="D33" s="299"/>
      <c r="E33" s="299"/>
      <c r="F33" s="299"/>
      <c r="G33" s="299"/>
      <c r="H33" s="299"/>
      <c r="I33" s="150" t="s">
        <v>1591</v>
      </c>
      <c r="J33" s="315"/>
      <c r="K33" s="1308">
        <f t="shared" si="1"/>
        <v>0</v>
      </c>
      <c r="L33" s="316"/>
      <c r="M33" s="613"/>
      <c r="N33" s="316"/>
      <c r="O33" s="613"/>
      <c r="P33" s="316"/>
      <c r="Q33" s="613"/>
      <c r="R33" s="312"/>
      <c r="S33" s="609" t="str">
        <f t="shared" si="2"/>
        <v/>
      </c>
      <c r="T33" s="610" t="b">
        <f t="shared" si="3"/>
        <v>1</v>
      </c>
      <c r="U33" s="1137">
        <f t="shared" si="4"/>
        <v>0</v>
      </c>
    </row>
    <row r="34" spans="1:21" ht="12" customHeight="1" x14ac:dyDescent="0.25">
      <c r="A34" s="8" t="str">
        <f t="shared" si="5"/>
        <v>01</v>
      </c>
      <c r="B34" s="149" t="s">
        <v>1861</v>
      </c>
      <c r="C34" s="314"/>
      <c r="D34" s="299"/>
      <c r="E34" s="299"/>
      <c r="F34" s="299"/>
      <c r="G34" s="299"/>
      <c r="H34" s="299"/>
      <c r="I34" s="150" t="s">
        <v>1592</v>
      </c>
      <c r="J34" s="315"/>
      <c r="K34" s="1308">
        <f t="shared" si="1"/>
        <v>0</v>
      </c>
      <c r="L34" s="316"/>
      <c r="M34" s="614"/>
      <c r="N34" s="316"/>
      <c r="O34" s="614"/>
      <c r="P34" s="316"/>
      <c r="Q34" s="613"/>
      <c r="R34" s="312"/>
      <c r="S34" s="609" t="str">
        <f t="shared" si="2"/>
        <v/>
      </c>
      <c r="T34" s="610" t="b">
        <f t="shared" si="3"/>
        <v>1</v>
      </c>
      <c r="U34" s="1137">
        <f t="shared" si="4"/>
        <v>0</v>
      </c>
    </row>
    <row r="35" spans="1:21" ht="12" customHeight="1" x14ac:dyDescent="0.25">
      <c r="A35" s="8" t="str">
        <f t="shared" si="5"/>
        <v>01</v>
      </c>
      <c r="B35" s="149" t="s">
        <v>1862</v>
      </c>
      <c r="C35" s="314"/>
      <c r="D35" s="299"/>
      <c r="E35" s="299"/>
      <c r="F35" s="299"/>
      <c r="G35" s="299"/>
      <c r="H35" s="299"/>
      <c r="I35" s="150" t="s">
        <v>1593</v>
      </c>
      <c r="J35" s="315"/>
      <c r="K35" s="1308">
        <f t="shared" si="1"/>
        <v>0</v>
      </c>
      <c r="L35" s="316"/>
      <c r="M35" s="614"/>
      <c r="N35" s="316"/>
      <c r="O35" s="614"/>
      <c r="P35" s="316"/>
      <c r="Q35" s="613"/>
      <c r="R35" s="312"/>
      <c r="S35" s="609" t="str">
        <f t="shared" si="2"/>
        <v/>
      </c>
      <c r="T35" s="610" t="b">
        <f t="shared" si="3"/>
        <v>1</v>
      </c>
      <c r="U35" s="1137">
        <f t="shared" si="4"/>
        <v>0</v>
      </c>
    </row>
    <row r="36" spans="1:21" ht="12" customHeight="1" x14ac:dyDescent="0.25">
      <c r="A36" s="8" t="str">
        <f t="shared" si="5"/>
        <v>01</v>
      </c>
      <c r="B36" s="299" t="s">
        <v>1674</v>
      </c>
      <c r="C36" s="3242" t="s">
        <v>5103</v>
      </c>
      <c r="D36" s="3242"/>
      <c r="E36" s="3242"/>
      <c r="F36" s="3242"/>
      <c r="G36" s="3242"/>
      <c r="H36" s="299"/>
      <c r="I36" s="1273" t="s">
        <v>1594</v>
      </c>
      <c r="J36" s="315"/>
      <c r="K36" s="1308">
        <f t="shared" si="1"/>
        <v>0</v>
      </c>
      <c r="L36" s="316"/>
      <c r="M36" s="614"/>
      <c r="N36" s="316"/>
      <c r="O36" s="614"/>
      <c r="P36" s="316"/>
      <c r="Q36" s="613"/>
      <c r="R36" s="312"/>
      <c r="S36" s="609"/>
      <c r="T36" s="610" t="b">
        <f>+K36=SUM(M36,O36,Q36)</f>
        <v>1</v>
      </c>
      <c r="U36" s="1137">
        <f>K36-SUM(M36,O36,Q36)</f>
        <v>0</v>
      </c>
    </row>
    <row r="37" spans="1:21" ht="14.25" customHeight="1" thickBot="1" x14ac:dyDescent="0.3">
      <c r="A37" s="8" t="str">
        <f t="shared" si="5"/>
        <v>01</v>
      </c>
      <c r="B37" s="149" t="s">
        <v>1675</v>
      </c>
      <c r="C37" s="3242" t="s">
        <v>5103</v>
      </c>
      <c r="D37" s="3242"/>
      <c r="E37" s="3242"/>
      <c r="F37" s="3242"/>
      <c r="G37" s="3242"/>
      <c r="H37" s="299"/>
      <c r="I37" s="1273" t="s">
        <v>1863</v>
      </c>
      <c r="J37" s="315"/>
      <c r="K37" s="1308">
        <f t="shared" si="1"/>
        <v>0</v>
      </c>
      <c r="L37" s="316"/>
      <c r="M37" s="1272"/>
      <c r="N37" s="316"/>
      <c r="O37" s="1272"/>
      <c r="P37" s="316"/>
      <c r="Q37" s="1272"/>
      <c r="R37" s="312"/>
      <c r="S37" s="609"/>
      <c r="T37" s="610" t="b">
        <f>+K37=SUM(M37,O37,Q37)</f>
        <v>1</v>
      </c>
      <c r="U37" s="1137">
        <f>K37-SUM(M37,O37,Q37)</f>
        <v>0</v>
      </c>
    </row>
    <row r="38" spans="1:21" ht="14.1" customHeight="1" thickBot="1" x14ac:dyDescent="0.3">
      <c r="A38" s="8" t="str">
        <f t="shared" si="5"/>
        <v>01</v>
      </c>
      <c r="B38" s="311" t="s">
        <v>1683</v>
      </c>
      <c r="C38" s="299"/>
      <c r="D38" s="299"/>
      <c r="E38" s="299"/>
      <c r="F38" s="299"/>
      <c r="G38" s="299"/>
      <c r="H38" s="299"/>
      <c r="I38" s="1273" t="s">
        <v>1864</v>
      </c>
      <c r="J38" s="315"/>
      <c r="K38" s="317">
        <f>SUM(K21:K37)</f>
        <v>0</v>
      </c>
      <c r="L38" s="316"/>
      <c r="M38" s="317">
        <f>SUM(M21:M37)</f>
        <v>0</v>
      </c>
      <c r="N38" s="316"/>
      <c r="O38" s="317">
        <f>SUM(O21:O37)</f>
        <v>0</v>
      </c>
      <c r="P38" s="316"/>
      <c r="Q38" s="317">
        <f>SUM(Q21:Q37)</f>
        <v>0</v>
      </c>
      <c r="R38" s="312"/>
      <c r="S38" s="611"/>
    </row>
    <row r="39" spans="1:21" ht="4.3499999999999996" customHeight="1" x14ac:dyDescent="0.25">
      <c r="A39" s="8" t="str">
        <f t="shared" si="5"/>
        <v>01</v>
      </c>
      <c r="B39" s="299"/>
      <c r="C39" s="299"/>
      <c r="D39" s="299"/>
      <c r="E39" s="299"/>
      <c r="F39" s="299"/>
      <c r="G39" s="299"/>
      <c r="H39" s="299"/>
      <c r="I39" s="150"/>
      <c r="J39" s="315"/>
      <c r="K39" s="316"/>
      <c r="L39" s="318"/>
      <c r="M39" s="318"/>
      <c r="N39" s="318"/>
      <c r="O39" s="318"/>
      <c r="P39" s="318"/>
      <c r="Q39" s="318"/>
      <c r="R39" s="299"/>
      <c r="S39" s="299"/>
    </row>
    <row r="40" spans="1:21" ht="15" customHeight="1" x14ac:dyDescent="0.25">
      <c r="A40" s="8" t="str">
        <f t="shared" si="5"/>
        <v>01</v>
      </c>
      <c r="B40" s="309" t="s">
        <v>984</v>
      </c>
      <c r="C40" s="311"/>
      <c r="D40" s="299"/>
      <c r="E40" s="299"/>
      <c r="F40" s="299"/>
      <c r="G40" s="299"/>
      <c r="H40" s="299"/>
      <c r="I40" s="150"/>
      <c r="J40" s="315"/>
      <c r="K40" s="316"/>
      <c r="L40" s="318"/>
      <c r="M40" s="319"/>
      <c r="N40" s="318"/>
      <c r="O40" s="318"/>
      <c r="P40" s="318"/>
      <c r="Q40" s="318"/>
      <c r="R40" s="299"/>
      <c r="S40" s="299"/>
    </row>
    <row r="41" spans="1:21" ht="12" customHeight="1" x14ac:dyDescent="0.25">
      <c r="A41" s="8" t="str">
        <f t="shared" si="5"/>
        <v>01</v>
      </c>
      <c r="B41" s="149" t="s">
        <v>1865</v>
      </c>
      <c r="C41" s="314"/>
      <c r="D41" s="299"/>
      <c r="E41" s="299"/>
      <c r="F41" s="299"/>
      <c r="G41" s="299"/>
      <c r="H41" s="299"/>
      <c r="I41" s="150" t="s">
        <v>1595</v>
      </c>
      <c r="J41" s="315"/>
      <c r="K41" s="613"/>
      <c r="L41" s="316"/>
      <c r="M41" s="316"/>
      <c r="N41" s="318"/>
      <c r="O41" s="318"/>
      <c r="P41" s="318"/>
      <c r="Q41" s="318"/>
      <c r="R41" s="299"/>
      <c r="S41" s="299"/>
    </row>
    <row r="42" spans="1:21" ht="12" customHeight="1" x14ac:dyDescent="0.25">
      <c r="A42" s="8" t="str">
        <f t="shared" si="5"/>
        <v>01</v>
      </c>
      <c r="B42" s="149" t="s">
        <v>1877</v>
      </c>
      <c r="C42" s="314"/>
      <c r="D42" s="299"/>
      <c r="E42" s="299"/>
      <c r="F42" s="299"/>
      <c r="G42" s="299"/>
      <c r="H42" s="299"/>
      <c r="I42" s="150" t="s">
        <v>1596</v>
      </c>
      <c r="J42" s="315"/>
      <c r="K42" s="613"/>
      <c r="L42" s="316"/>
      <c r="M42" s="316"/>
      <c r="N42" s="318"/>
      <c r="O42" s="318"/>
      <c r="P42" s="318"/>
      <c r="Q42" s="318"/>
      <c r="R42" s="299"/>
      <c r="S42" s="299"/>
    </row>
    <row r="43" spans="1:21" ht="12" customHeight="1" x14ac:dyDescent="0.25">
      <c r="A43" s="8" t="str">
        <f t="shared" si="5"/>
        <v>01</v>
      </c>
      <c r="B43" s="299" t="s">
        <v>924</v>
      </c>
      <c r="C43" s="314"/>
      <c r="D43" s="299"/>
      <c r="E43" s="299"/>
      <c r="F43" s="299"/>
      <c r="G43" s="299"/>
      <c r="H43" s="299"/>
      <c r="I43" s="150" t="s">
        <v>1597</v>
      </c>
      <c r="J43" s="315"/>
      <c r="K43" s="613"/>
      <c r="L43" s="316"/>
      <c r="M43" s="316"/>
      <c r="N43" s="318"/>
      <c r="O43" s="318"/>
      <c r="P43" s="318"/>
      <c r="Q43" s="318"/>
      <c r="R43" s="299"/>
      <c r="S43" s="299"/>
    </row>
    <row r="44" spans="1:21" ht="12" customHeight="1" x14ac:dyDescent="0.25">
      <c r="A44" s="8" t="str">
        <f t="shared" si="5"/>
        <v>01</v>
      </c>
      <c r="B44" s="313" t="s">
        <v>1866</v>
      </c>
      <c r="C44" s="314"/>
      <c r="D44" s="299"/>
      <c r="E44" s="299"/>
      <c r="F44" s="299"/>
      <c r="G44" s="299"/>
      <c r="H44" s="299"/>
      <c r="I44" s="150" t="s">
        <v>1598</v>
      </c>
      <c r="J44" s="315"/>
      <c r="K44" s="613"/>
      <c r="L44" s="316"/>
      <c r="M44" s="316"/>
      <c r="N44" s="318"/>
      <c r="O44" s="318"/>
      <c r="P44" s="318"/>
      <c r="Q44" s="318"/>
      <c r="R44" s="299"/>
      <c r="S44" s="299"/>
    </row>
    <row r="45" spans="1:21" ht="12" customHeight="1" x14ac:dyDescent="0.25">
      <c r="A45" s="8" t="str">
        <f t="shared" si="5"/>
        <v>01</v>
      </c>
      <c r="B45" s="313" t="s">
        <v>1867</v>
      </c>
      <c r="C45" s="314"/>
      <c r="D45" s="299"/>
      <c r="E45" s="299"/>
      <c r="F45" s="299"/>
      <c r="G45" s="299"/>
      <c r="H45" s="299"/>
      <c r="I45" s="150" t="s">
        <v>1599</v>
      </c>
      <c r="J45" s="315"/>
      <c r="K45" s="613"/>
      <c r="L45" s="316"/>
      <c r="M45" s="316"/>
      <c r="N45" s="318"/>
      <c r="O45" s="318"/>
      <c r="P45" s="318"/>
      <c r="Q45" s="318"/>
      <c r="R45" s="299"/>
      <c r="S45" s="299"/>
    </row>
    <row r="46" spans="1:21" ht="12" customHeight="1" x14ac:dyDescent="0.25">
      <c r="A46" s="8" t="str">
        <f t="shared" si="5"/>
        <v>01</v>
      </c>
      <c r="B46" s="149" t="s">
        <v>1868</v>
      </c>
      <c r="C46" s="314"/>
      <c r="D46" s="299"/>
      <c r="E46" s="299"/>
      <c r="F46" s="299"/>
      <c r="G46" s="299"/>
      <c r="H46" s="299"/>
      <c r="I46" s="150" t="s">
        <v>1600</v>
      </c>
      <c r="J46" s="315"/>
      <c r="K46" s="613"/>
      <c r="L46" s="316"/>
      <c r="M46" s="316"/>
      <c r="N46" s="318"/>
      <c r="O46" s="318"/>
      <c r="P46" s="318"/>
      <c r="Q46" s="318"/>
      <c r="R46" s="299"/>
      <c r="S46" s="299"/>
    </row>
    <row r="47" spans="1:21" ht="12" customHeight="1" x14ac:dyDescent="0.25">
      <c r="A47" s="8" t="str">
        <f t="shared" si="5"/>
        <v>01</v>
      </c>
      <c r="B47" s="149" t="s">
        <v>1869</v>
      </c>
      <c r="C47" s="314"/>
      <c r="D47" s="299"/>
      <c r="E47" s="299"/>
      <c r="F47" s="299"/>
      <c r="G47" s="299"/>
      <c r="H47" s="299"/>
      <c r="I47" s="150" t="s">
        <v>1601</v>
      </c>
      <c r="J47" s="315"/>
      <c r="K47" s="613"/>
      <c r="L47" s="316"/>
      <c r="M47" s="316"/>
      <c r="N47" s="318"/>
      <c r="O47" s="318"/>
      <c r="P47" s="318"/>
      <c r="Q47" s="318"/>
      <c r="R47" s="299"/>
      <c r="S47" s="299"/>
    </row>
    <row r="48" spans="1:21" ht="12" customHeight="1" x14ac:dyDescent="0.25">
      <c r="A48" s="8" t="str">
        <f t="shared" si="5"/>
        <v>01</v>
      </c>
      <c r="B48" s="149" t="s">
        <v>1870</v>
      </c>
      <c r="C48" s="314"/>
      <c r="D48" s="299"/>
      <c r="E48" s="299"/>
      <c r="F48" s="299"/>
      <c r="G48" s="299"/>
      <c r="H48" s="299"/>
      <c r="I48" s="150" t="s">
        <v>1602</v>
      </c>
      <c r="J48" s="315"/>
      <c r="K48" s="613"/>
      <c r="L48" s="316"/>
      <c r="M48" s="316"/>
      <c r="N48" s="318"/>
      <c r="O48" s="318"/>
      <c r="P48" s="318"/>
      <c r="Q48" s="318"/>
      <c r="R48" s="299"/>
      <c r="S48" s="299"/>
    </row>
    <row r="49" spans="1:19" ht="12" customHeight="1" x14ac:dyDescent="0.25">
      <c r="A49" s="8" t="str">
        <f t="shared" si="5"/>
        <v>01</v>
      </c>
      <c r="B49" s="149" t="s">
        <v>1871</v>
      </c>
      <c r="C49" s="314"/>
      <c r="D49" s="299"/>
      <c r="E49" s="299"/>
      <c r="F49" s="299"/>
      <c r="G49" s="299"/>
      <c r="H49" s="299"/>
      <c r="I49" s="150" t="s">
        <v>1603</v>
      </c>
      <c r="J49" s="315"/>
      <c r="K49" s="613"/>
      <c r="L49" s="316"/>
      <c r="M49" s="316"/>
      <c r="N49" s="318"/>
      <c r="O49" s="318"/>
      <c r="P49" s="318"/>
      <c r="Q49" s="318"/>
      <c r="R49" s="299"/>
      <c r="S49" s="299"/>
    </row>
    <row r="50" spans="1:19" ht="12" customHeight="1" x14ac:dyDescent="0.25">
      <c r="A50" s="8" t="str">
        <f t="shared" si="5"/>
        <v>01</v>
      </c>
      <c r="B50" s="149" t="s">
        <v>1872</v>
      </c>
      <c r="C50" s="314"/>
      <c r="D50" s="299"/>
      <c r="E50" s="299"/>
      <c r="F50" s="299"/>
      <c r="G50" s="299"/>
      <c r="H50" s="299"/>
      <c r="I50" s="150" t="s">
        <v>1604</v>
      </c>
      <c r="J50" s="315"/>
      <c r="K50" s="613"/>
      <c r="L50" s="316"/>
      <c r="M50" s="316"/>
      <c r="N50" s="318"/>
      <c r="O50" s="318"/>
      <c r="P50" s="318"/>
      <c r="Q50" s="318"/>
      <c r="R50" s="299"/>
      <c r="S50" s="299"/>
    </row>
    <row r="51" spans="1:19" ht="12" customHeight="1" x14ac:dyDescent="0.25">
      <c r="A51" s="8" t="str">
        <f t="shared" si="5"/>
        <v>01</v>
      </c>
      <c r="B51" s="149" t="s">
        <v>1873</v>
      </c>
      <c r="C51" s="314"/>
      <c r="D51" s="299"/>
      <c r="E51" s="299"/>
      <c r="F51" s="299"/>
      <c r="G51" s="299"/>
      <c r="H51" s="299"/>
      <c r="I51" s="150" t="s">
        <v>1605</v>
      </c>
      <c r="J51" s="315"/>
      <c r="K51" s="613"/>
      <c r="L51" s="320"/>
      <c r="M51" s="316"/>
      <c r="N51" s="318"/>
      <c r="O51" s="318"/>
      <c r="P51" s="318"/>
      <c r="Q51" s="318"/>
      <c r="R51" s="299"/>
      <c r="S51" s="299"/>
    </row>
    <row r="52" spans="1:19" ht="12" customHeight="1" x14ac:dyDescent="0.25">
      <c r="A52" s="8" t="str">
        <f t="shared" si="5"/>
        <v>01</v>
      </c>
      <c r="B52" s="149" t="s">
        <v>1874</v>
      </c>
      <c r="C52" s="314"/>
      <c r="D52" s="299"/>
      <c r="E52" s="299"/>
      <c r="F52" s="299"/>
      <c r="G52" s="299"/>
      <c r="H52" s="299"/>
      <c r="I52" s="150" t="s">
        <v>1606</v>
      </c>
      <c r="J52" s="315"/>
      <c r="K52" s="613"/>
      <c r="L52" s="320"/>
      <c r="M52" s="316"/>
      <c r="N52" s="318"/>
      <c r="O52" s="318"/>
      <c r="P52" s="318"/>
      <c r="Q52" s="318"/>
      <c r="R52" s="299"/>
      <c r="S52" s="299"/>
    </row>
    <row r="53" spans="1:19" ht="12" customHeight="1" x14ac:dyDescent="0.25">
      <c r="A53" s="8" t="str">
        <f t="shared" si="5"/>
        <v>01</v>
      </c>
      <c r="B53" s="149" t="s">
        <v>1875</v>
      </c>
      <c r="C53" s="314"/>
      <c r="D53" s="299"/>
      <c r="E53" s="299"/>
      <c r="F53" s="299"/>
      <c r="G53" s="299"/>
      <c r="H53" s="299"/>
      <c r="I53" s="150" t="s">
        <v>1607</v>
      </c>
      <c r="J53" s="315"/>
      <c r="K53" s="614"/>
      <c r="L53" s="320"/>
      <c r="M53" s="316"/>
      <c r="N53" s="318"/>
      <c r="O53" s="318"/>
      <c r="P53" s="318"/>
      <c r="Q53" s="318"/>
      <c r="R53" s="299"/>
      <c r="S53" s="299"/>
    </row>
    <row r="54" spans="1:19" ht="12" customHeight="1" x14ac:dyDescent="0.25">
      <c r="A54" s="8" t="str">
        <f t="shared" si="5"/>
        <v>01</v>
      </c>
      <c r="B54" s="149" t="s">
        <v>1876</v>
      </c>
      <c r="C54" s="314"/>
      <c r="D54" s="299"/>
      <c r="E54" s="299"/>
      <c r="F54" s="299"/>
      <c r="G54" s="299"/>
      <c r="H54" s="299"/>
      <c r="I54" s="150" t="s">
        <v>1608</v>
      </c>
      <c r="J54" s="315"/>
      <c r="K54" s="614"/>
      <c r="L54" s="320"/>
      <c r="M54" s="316"/>
      <c r="N54" s="318"/>
      <c r="O54" s="318"/>
      <c r="P54" s="318"/>
      <c r="Q54" s="318"/>
      <c r="R54" s="299"/>
      <c r="S54" s="299"/>
    </row>
    <row r="55" spans="1:19" ht="12" customHeight="1" x14ac:dyDescent="0.25">
      <c r="A55" s="8" t="str">
        <f t="shared" si="5"/>
        <v>01</v>
      </c>
      <c r="B55" s="149" t="s">
        <v>3923</v>
      </c>
      <c r="C55" s="314"/>
      <c r="D55" s="299"/>
      <c r="E55" s="299"/>
      <c r="F55" s="299"/>
      <c r="G55" s="299"/>
      <c r="H55" s="299"/>
      <c r="I55" s="1273" t="s">
        <v>3924</v>
      </c>
      <c r="J55" s="315"/>
      <c r="K55" s="614"/>
      <c r="L55" s="320"/>
      <c r="M55" s="316"/>
      <c r="N55" s="318"/>
      <c r="O55" s="318"/>
      <c r="P55" s="318"/>
      <c r="Q55" s="318"/>
      <c r="R55" s="299"/>
      <c r="S55" s="299"/>
    </row>
    <row r="56" spans="1:19" ht="12" customHeight="1" x14ac:dyDescent="0.25">
      <c r="A56" s="8" t="str">
        <f t="shared" si="5"/>
        <v>01</v>
      </c>
      <c r="B56" s="149" t="s">
        <v>1297</v>
      </c>
      <c r="C56" s="314"/>
      <c r="D56" s="299"/>
      <c r="E56" s="299"/>
      <c r="F56" s="299"/>
      <c r="G56" s="299"/>
      <c r="H56" s="299"/>
      <c r="I56" s="150" t="s">
        <v>1609</v>
      </c>
      <c r="J56" s="315"/>
      <c r="K56" s="613"/>
      <c r="L56" s="320"/>
      <c r="M56" s="316"/>
      <c r="N56" s="318"/>
      <c r="O56" s="318"/>
      <c r="P56" s="318"/>
      <c r="Q56" s="318"/>
      <c r="R56" s="299"/>
      <c r="S56" s="299"/>
    </row>
    <row r="57" spans="1:19" ht="12" customHeight="1" x14ac:dyDescent="0.25">
      <c r="A57" s="8" t="str">
        <f t="shared" si="5"/>
        <v>01</v>
      </c>
      <c r="B57" s="149" t="s">
        <v>1878</v>
      </c>
      <c r="C57" s="1274"/>
      <c r="D57" s="149"/>
      <c r="E57" s="149"/>
      <c r="F57" s="149"/>
      <c r="G57" s="149"/>
      <c r="H57" s="149"/>
      <c r="I57" s="1273" t="s">
        <v>1694</v>
      </c>
      <c r="J57" s="1275"/>
      <c r="K57" s="613"/>
      <c r="L57" s="320"/>
      <c r="M57" s="316"/>
      <c r="N57" s="318"/>
      <c r="O57" s="318"/>
      <c r="P57" s="318"/>
      <c r="Q57" s="318"/>
      <c r="R57" s="299"/>
      <c r="S57" s="299"/>
    </row>
    <row r="58" spans="1:19" ht="12" customHeight="1" x14ac:dyDescent="0.25">
      <c r="A58" s="8" t="str">
        <f t="shared" si="5"/>
        <v>01</v>
      </c>
      <c r="B58" s="149" t="s">
        <v>1676</v>
      </c>
      <c r="C58" s="3241" t="s">
        <v>5103</v>
      </c>
      <c r="D58" s="3242"/>
      <c r="E58" s="3242"/>
      <c r="F58" s="3242"/>
      <c r="G58" s="3242"/>
      <c r="H58" s="299"/>
      <c r="I58" s="150" t="s">
        <v>1610</v>
      </c>
      <c r="J58" s="315"/>
      <c r="K58" s="613"/>
      <c r="L58" s="320"/>
      <c r="M58" s="316"/>
      <c r="N58" s="318"/>
      <c r="O58" s="318"/>
      <c r="P58" s="318"/>
      <c r="Q58" s="318"/>
      <c r="R58" s="299"/>
      <c r="S58" s="299"/>
    </row>
    <row r="59" spans="1:19" ht="12" customHeight="1" x14ac:dyDescent="0.25">
      <c r="A59" s="8" t="str">
        <f t="shared" si="5"/>
        <v>01</v>
      </c>
      <c r="B59" s="149" t="s">
        <v>1677</v>
      </c>
      <c r="C59" s="3241" t="s">
        <v>5103</v>
      </c>
      <c r="D59" s="3242"/>
      <c r="E59" s="3242"/>
      <c r="F59" s="3242"/>
      <c r="G59" s="3242"/>
      <c r="H59" s="299"/>
      <c r="I59" s="150" t="s">
        <v>1611</v>
      </c>
      <c r="J59" s="315"/>
      <c r="K59" s="1409"/>
      <c r="L59" s="320"/>
      <c r="M59" s="316"/>
      <c r="N59" s="318"/>
      <c r="O59" s="318"/>
      <c r="P59" s="318"/>
      <c r="Q59" s="318"/>
      <c r="R59" s="299"/>
      <c r="S59" s="299"/>
    </row>
    <row r="60" spans="1:19" ht="12" customHeight="1" x14ac:dyDescent="0.25">
      <c r="A60" s="8" t="str">
        <f t="shared" si="5"/>
        <v>01</v>
      </c>
      <c r="B60" s="149" t="s">
        <v>1960</v>
      </c>
      <c r="C60" s="3241" t="s">
        <v>5103</v>
      </c>
      <c r="D60" s="3242"/>
      <c r="E60" s="3242"/>
      <c r="F60" s="3242"/>
      <c r="G60" s="3242"/>
      <c r="H60" s="299"/>
      <c r="I60" s="150" t="s">
        <v>1612</v>
      </c>
      <c r="J60" s="315"/>
      <c r="K60" s="613"/>
      <c r="L60" s="320"/>
      <c r="M60" s="316"/>
      <c r="N60" s="318"/>
      <c r="O60" s="318"/>
      <c r="P60" s="318"/>
      <c r="Q60" s="318"/>
      <c r="R60" s="299"/>
      <c r="S60" s="299"/>
    </row>
    <row r="61" spans="1:19" ht="12" customHeight="1" x14ac:dyDescent="0.25">
      <c r="A61" s="8" t="str">
        <f t="shared" si="5"/>
        <v>01</v>
      </c>
      <c r="B61" s="149" t="s">
        <v>1961</v>
      </c>
      <c r="C61" s="3241" t="s">
        <v>5103</v>
      </c>
      <c r="D61" s="3242"/>
      <c r="E61" s="3242"/>
      <c r="F61" s="3242"/>
      <c r="G61" s="3242"/>
      <c r="H61" s="299"/>
      <c r="I61" s="150" t="s">
        <v>1613</v>
      </c>
      <c r="J61" s="315"/>
      <c r="K61" s="613"/>
      <c r="L61" s="320"/>
      <c r="M61" s="316"/>
      <c r="N61" s="318"/>
      <c r="O61" s="318"/>
      <c r="P61" s="318"/>
      <c r="Q61" s="318"/>
      <c r="R61" s="299"/>
      <c r="S61" s="299"/>
    </row>
    <row r="62" spans="1:19" ht="4.3499999999999996" customHeight="1" x14ac:dyDescent="0.25">
      <c r="A62" s="8" t="str">
        <f t="shared" si="5"/>
        <v>01</v>
      </c>
      <c r="B62" s="299"/>
      <c r="C62" s="299"/>
      <c r="D62" s="299"/>
      <c r="E62" s="299"/>
      <c r="F62" s="299"/>
      <c r="G62" s="299"/>
      <c r="H62" s="299"/>
      <c r="I62" s="150"/>
      <c r="J62" s="315"/>
      <c r="K62" s="316"/>
      <c r="L62" s="321"/>
      <c r="M62" s="318"/>
      <c r="N62" s="318"/>
      <c r="O62" s="318"/>
      <c r="P62" s="318"/>
      <c r="Q62" s="318"/>
      <c r="R62" s="299"/>
      <c r="S62" s="299"/>
    </row>
    <row r="63" spans="1:19" ht="15" customHeight="1" x14ac:dyDescent="0.25">
      <c r="A63" s="8" t="str">
        <f t="shared" si="5"/>
        <v>01</v>
      </c>
      <c r="B63" s="299"/>
      <c r="C63" s="299"/>
      <c r="D63" s="299"/>
      <c r="E63" s="299"/>
      <c r="F63" s="299"/>
      <c r="G63" s="299"/>
      <c r="H63" s="299"/>
      <c r="I63" s="297"/>
      <c r="J63" s="315"/>
      <c r="K63" s="316"/>
      <c r="L63" s="321"/>
      <c r="M63" s="322" t="s">
        <v>4932</v>
      </c>
      <c r="N63" s="318"/>
      <c r="O63" s="316"/>
      <c r="P63" s="299"/>
      <c r="Q63" s="299"/>
      <c r="R63" s="299"/>
      <c r="S63" s="299"/>
    </row>
    <row r="64" spans="1:19" ht="12.6" customHeight="1" x14ac:dyDescent="0.25">
      <c r="A64" s="8" t="str">
        <f t="shared" si="5"/>
        <v>01</v>
      </c>
      <c r="B64" s="299"/>
      <c r="C64" s="299"/>
      <c r="D64" s="299"/>
      <c r="E64" s="299"/>
      <c r="F64" s="299"/>
      <c r="G64" s="299"/>
      <c r="H64" s="299"/>
      <c r="I64" s="150"/>
      <c r="J64" s="308"/>
      <c r="K64" s="316"/>
      <c r="L64" s="318"/>
      <c r="M64" s="613"/>
      <c r="N64" s="318"/>
      <c r="O64" s="318" t="s">
        <v>234</v>
      </c>
      <c r="P64" s="299"/>
      <c r="Q64" s="299"/>
      <c r="R64" s="299"/>
      <c r="S64" s="299"/>
    </row>
    <row r="65" spans="1:19" ht="12.6" customHeight="1" x14ac:dyDescent="0.25">
      <c r="A65" s="8" t="str">
        <f t="shared" ref="A65:A74" si="6">AgyIdx</f>
        <v>01</v>
      </c>
      <c r="B65" s="299"/>
      <c r="C65" s="299"/>
      <c r="D65" s="299"/>
      <c r="E65" s="299"/>
      <c r="F65" s="299"/>
      <c r="G65" s="299"/>
      <c r="H65" s="299"/>
      <c r="I65" s="150"/>
      <c r="J65" s="308"/>
      <c r="K65" s="316"/>
      <c r="L65" s="318"/>
      <c r="M65" s="613"/>
      <c r="N65" s="318"/>
      <c r="O65" s="318" t="s">
        <v>138</v>
      </c>
      <c r="P65" s="299"/>
      <c r="Q65" s="299"/>
      <c r="R65" s="299"/>
      <c r="S65" s="299"/>
    </row>
    <row r="66" spans="1:19" ht="12.6" customHeight="1" x14ac:dyDescent="0.25">
      <c r="A66" s="8" t="str">
        <f t="shared" si="6"/>
        <v>01</v>
      </c>
      <c r="B66" s="311"/>
      <c r="C66" s="299"/>
      <c r="D66" s="299"/>
      <c r="E66" s="299"/>
      <c r="F66" s="299"/>
      <c r="G66" s="299"/>
      <c r="H66" s="299"/>
      <c r="I66" s="150"/>
      <c r="J66" s="308"/>
      <c r="K66" s="316"/>
      <c r="L66" s="318"/>
      <c r="M66" s="613"/>
      <c r="N66" s="318"/>
      <c r="O66" s="318" t="s">
        <v>139</v>
      </c>
      <c r="P66" s="299"/>
      <c r="Q66" s="299"/>
      <c r="R66" s="299"/>
      <c r="S66" s="299"/>
    </row>
    <row r="67" spans="1:19" ht="12.6" customHeight="1" x14ac:dyDescent="0.25">
      <c r="A67" s="8" t="str">
        <f t="shared" si="6"/>
        <v>01</v>
      </c>
      <c r="B67" s="311"/>
      <c r="C67" s="311"/>
      <c r="D67" s="299"/>
      <c r="E67" s="299"/>
      <c r="F67" s="299"/>
      <c r="G67" s="299"/>
      <c r="H67" s="299"/>
      <c r="I67" s="150"/>
      <c r="J67" s="308"/>
      <c r="K67" s="316"/>
      <c r="L67" s="318"/>
      <c r="M67" s="613"/>
      <c r="N67" s="318"/>
      <c r="O67" s="318" t="s">
        <v>1294</v>
      </c>
      <c r="P67" s="299"/>
      <c r="Q67" s="299"/>
      <c r="R67" s="299"/>
      <c r="S67" s="299"/>
    </row>
    <row r="68" spans="1:19" ht="12.6" customHeight="1" x14ac:dyDescent="0.25">
      <c r="B68" s="311"/>
      <c r="C68" s="311"/>
      <c r="D68" s="299"/>
      <c r="E68" s="299"/>
      <c r="F68" s="299"/>
      <c r="G68" s="299"/>
      <c r="H68" s="299"/>
      <c r="I68" s="150"/>
      <c r="J68" s="308"/>
      <c r="K68" s="316"/>
      <c r="L68" s="318"/>
      <c r="M68" s="613"/>
      <c r="N68" s="318"/>
      <c r="O68" s="1134" t="s">
        <v>4157</v>
      </c>
      <c r="P68" s="299"/>
      <c r="Q68" s="299"/>
      <c r="R68" s="299"/>
      <c r="S68" s="299"/>
    </row>
    <row r="69" spans="1:19" ht="12.6" customHeight="1" x14ac:dyDescent="0.25">
      <c r="A69" s="8" t="str">
        <f t="shared" si="6"/>
        <v>01</v>
      </c>
      <c r="B69" s="323" t="s">
        <v>1023</v>
      </c>
      <c r="C69" s="311"/>
      <c r="D69" s="299"/>
      <c r="E69" s="299"/>
      <c r="F69" s="299"/>
      <c r="G69" s="299"/>
      <c r="H69" s="299"/>
      <c r="I69" s="150"/>
      <c r="J69" s="308"/>
      <c r="K69" s="316"/>
      <c r="L69" s="318"/>
      <c r="M69" s="316"/>
      <c r="N69" s="318"/>
      <c r="O69" s="318"/>
      <c r="P69" s="299"/>
      <c r="Q69" s="299"/>
      <c r="R69" s="299"/>
      <c r="S69" s="299"/>
    </row>
    <row r="70" spans="1:19" ht="12" customHeight="1" thickBot="1" x14ac:dyDescent="0.3">
      <c r="A70" s="8" t="str">
        <f t="shared" si="6"/>
        <v>01</v>
      </c>
      <c r="B70" s="323" t="s">
        <v>1684</v>
      </c>
      <c r="C70" s="311"/>
      <c r="D70" s="311"/>
      <c r="E70" s="311"/>
      <c r="F70" s="311"/>
      <c r="G70" s="311"/>
      <c r="H70" s="299"/>
      <c r="I70" s="1135" t="s">
        <v>1614</v>
      </c>
      <c r="J70" s="315"/>
      <c r="K70" s="358">
        <f>K38+SUM(K41:K62)</f>
        <v>0</v>
      </c>
      <c r="L70" s="150"/>
      <c r="M70" s="358">
        <f>SUM(M64:M68)</f>
        <v>0</v>
      </c>
      <c r="N70" s="299"/>
      <c r="O70" s="1437" t="s">
        <v>4933</v>
      </c>
      <c r="P70" s="299"/>
      <c r="Q70" s="299"/>
      <c r="R70" s="299"/>
      <c r="S70" s="299"/>
    </row>
    <row r="71" spans="1:19" ht="6" customHeight="1" thickTop="1" x14ac:dyDescent="0.2">
      <c r="A71" s="8" t="str">
        <f t="shared" si="6"/>
        <v>01</v>
      </c>
      <c r="B71" s="299"/>
      <c r="C71" s="299"/>
      <c r="D71" s="299"/>
      <c r="E71" s="299"/>
      <c r="F71" s="299"/>
      <c r="G71" s="299"/>
      <c r="H71" s="299"/>
      <c r="I71" s="1136"/>
      <c r="J71" s="299"/>
      <c r="K71" s="318"/>
      <c r="L71" s="299"/>
      <c r="M71" s="318"/>
      <c r="N71" s="318"/>
      <c r="O71" s="10"/>
      <c r="P71" s="318"/>
      <c r="Q71" s="318"/>
      <c r="R71" s="299"/>
      <c r="S71" s="299"/>
    </row>
    <row r="72" spans="1:19" ht="15" customHeight="1" thickBot="1" x14ac:dyDescent="0.3">
      <c r="A72" s="8" t="str">
        <f t="shared" si="6"/>
        <v>01</v>
      </c>
      <c r="B72" s="324"/>
      <c r="C72" s="324"/>
      <c r="D72" s="324"/>
      <c r="E72" s="324"/>
      <c r="F72" s="324"/>
      <c r="G72" s="324"/>
      <c r="H72" s="324"/>
      <c r="I72" s="1642" t="s">
        <v>4934</v>
      </c>
      <c r="K72" s="358">
        <f>M70</f>
        <v>0</v>
      </c>
      <c r="L72" s="1437" t="s">
        <v>4933</v>
      </c>
      <c r="M72" s="299"/>
      <c r="N72" s="299"/>
      <c r="O72" s="325"/>
      <c r="P72" s="325"/>
      <c r="Q72" s="325"/>
    </row>
    <row r="73" spans="1:19" ht="13.5" thickTop="1" x14ac:dyDescent="0.2">
      <c r="A73" s="8" t="str">
        <f t="shared" si="6"/>
        <v>01</v>
      </c>
      <c r="I73" s="1133" t="s">
        <v>478</v>
      </c>
      <c r="K73" s="1134">
        <f>K70-K72</f>
        <v>0</v>
      </c>
      <c r="L73" s="10"/>
      <c r="M73" s="10"/>
      <c r="N73" s="10"/>
      <c r="P73" s="10"/>
      <c r="Q73" s="10"/>
    </row>
    <row r="74" spans="1:19" x14ac:dyDescent="0.2">
      <c r="A74" s="8" t="str">
        <f t="shared" si="6"/>
        <v>01</v>
      </c>
    </row>
    <row r="75" spans="1:19" ht="15" x14ac:dyDescent="0.2">
      <c r="A75" s="443" t="str">
        <f ca="1">MID(CELL("filename",A41),FIND("]",CELL("filename",A41))+1,256)</f>
        <v>710</v>
      </c>
      <c r="B75" s="794" t="s">
        <v>449</v>
      </c>
      <c r="K75" s="443"/>
    </row>
    <row r="76" spans="1:19" ht="15" x14ac:dyDescent="0.2">
      <c r="A76" s="443" t="s">
        <v>446</v>
      </c>
      <c r="B76" s="443" t="str">
        <f t="shared" ref="B76:B85" ca="1" si="7">IF(ISNA(INDEX(ErrorTable,MATCH($A$75&amp;$A76&amp;FALSE,ErrorKey,0),6)),"",INDEX(ErrorTable,MATCH($A$75&amp;$A76&amp;FALSE,ErrorKey,0),6))</f>
        <v/>
      </c>
    </row>
    <row r="77" spans="1:19" ht="15" x14ac:dyDescent="0.2">
      <c r="A77" s="443" t="s">
        <v>447</v>
      </c>
      <c r="B77" s="443" t="str">
        <f t="shared" ca="1" si="7"/>
        <v/>
      </c>
    </row>
    <row r="78" spans="1:19" ht="15" x14ac:dyDescent="0.2">
      <c r="A78" s="443" t="s">
        <v>448</v>
      </c>
      <c r="B78" s="443" t="str">
        <f t="shared" ca="1" si="7"/>
        <v/>
      </c>
    </row>
    <row r="79" spans="1:19" ht="15" x14ac:dyDescent="0.2">
      <c r="A79" s="443" t="s">
        <v>450</v>
      </c>
      <c r="B79" s="443" t="str">
        <f t="shared" ca="1" si="7"/>
        <v/>
      </c>
    </row>
    <row r="80" spans="1:19" ht="15" x14ac:dyDescent="0.2">
      <c r="A80" s="443" t="s">
        <v>451</v>
      </c>
      <c r="B80" s="443" t="str">
        <f t="shared" ca="1" si="7"/>
        <v/>
      </c>
    </row>
    <row r="81" spans="1:2" ht="15" x14ac:dyDescent="0.2">
      <c r="A81" s="443" t="s">
        <v>452</v>
      </c>
      <c r="B81" s="443" t="str">
        <f t="shared" ca="1" si="7"/>
        <v/>
      </c>
    </row>
    <row r="82" spans="1:2" ht="15" x14ac:dyDescent="0.2">
      <c r="A82" s="443" t="s">
        <v>453</v>
      </c>
      <c r="B82" s="443" t="str">
        <f t="shared" ca="1" si="7"/>
        <v/>
      </c>
    </row>
    <row r="83" spans="1:2" ht="15" x14ac:dyDescent="0.2">
      <c r="A83" s="443" t="s">
        <v>454</v>
      </c>
      <c r="B83" s="443" t="str">
        <f t="shared" ca="1" si="7"/>
        <v/>
      </c>
    </row>
    <row r="84" spans="1:2" ht="15" x14ac:dyDescent="0.2">
      <c r="A84" s="443" t="s">
        <v>455</v>
      </c>
      <c r="B84" s="443" t="str">
        <f t="shared" ca="1" si="7"/>
        <v/>
      </c>
    </row>
    <row r="85" spans="1:2" ht="15" x14ac:dyDescent="0.2">
      <c r="A85" s="443" t="s">
        <v>456</v>
      </c>
      <c r="B85" s="443" t="str">
        <f t="shared" ca="1" si="7"/>
        <v/>
      </c>
    </row>
  </sheetData>
  <sheetProtection algorithmName="SHA-512" hashValue="TGAHZz32Q/rKFHYFVgL4xxfXTmJWK1uG+Tjx2M4nTBwlLb1CVsZh6fQxaa7u+E8lY9jrfO2AzfGYUaZnX6+GlQ==" saltValue="2TQNpeTv36Mw1sAwzB6uwg==" spinCount="100000" sheet="1" objects="1" scenarios="1" autoFilter="0"/>
  <customSheetViews>
    <customSheetView guid="{B08879A4-635B-4C39-9937-AC7883D562FC}" showGridLines="0" fitToPage="1">
      <pageMargins left="0.5" right="0.5" top="0.5" bottom="0.5" header="0.5" footer="0.25"/>
      <printOptions horizontalCentered="1"/>
      <pageSetup scale="89" orientation="portrait" horizontalDpi="1200" verticalDpi="1200" r:id="rId1"/>
      <headerFooter alignWithMargins="0">
        <oddHeader xml:space="preserve"> </oddHeader>
        <oddFooter>&amp;R&amp;A</oddFooter>
      </headerFooter>
    </customSheetView>
    <customSheetView guid="{1250FD07-FF56-4A9D-AF9E-C27124A7EBE9}" showGridLines="0" showRuler="0">
      <selection activeCell="D8" sqref="D8:F8"/>
      <pageMargins left="0.5" right="0.5" top="0.5" bottom="0.5" header="0.5" footer="0.25"/>
      <printOptions horizontalCentered="1"/>
      <pageSetup scale="98" orientation="portrait" horizontalDpi="4294967292" verticalDpi="4294967292" r:id="rId2"/>
      <headerFooter alignWithMargins="0">
        <oddHeader xml:space="preserve"> </oddHeader>
        <oddFooter>&amp;R&amp;A</oddFooter>
      </headerFooter>
    </customSheetView>
    <customSheetView guid="{BEA4BE86-04D1-4C96-9358-7A260B9D2B2D}" showGridLines="0" showRuler="0">
      <selection activeCell="D8" sqref="D8:F8"/>
      <pageMargins left="0.5" right="0.5" top="0.5" bottom="0.5" header="0.5" footer="0.25"/>
      <printOptions horizontalCentered="1"/>
      <pageSetup scale="98" orientation="portrait" horizontalDpi="4294967292" verticalDpi="4294967292" r:id="rId3"/>
      <headerFooter alignWithMargins="0">
        <oddHeader xml:space="preserve"> </oddHeader>
        <oddFooter>&amp;R&amp;A</oddFooter>
      </headerFooter>
    </customSheetView>
    <customSheetView guid="{9FCFC836-1CA5-48BF-958D-24D2EA94B219}" showGridLines="0" fitToPage="1">
      <pageMargins left="0.5" right="0.5" top="0.5" bottom="0.5" header="0.5" footer="0.25"/>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C36:G36"/>
    <mergeCell ref="C37:G37"/>
    <mergeCell ref="C59:G59"/>
    <mergeCell ref="C60:G60"/>
    <mergeCell ref="C61:G61"/>
    <mergeCell ref="U1:U3"/>
    <mergeCell ref="B4:R4"/>
    <mergeCell ref="M6:Q6"/>
    <mergeCell ref="M7:Q7"/>
    <mergeCell ref="B1:R1"/>
    <mergeCell ref="B2:R2"/>
    <mergeCell ref="B3:R3"/>
    <mergeCell ref="E8:G8"/>
    <mergeCell ref="C58:G58"/>
    <mergeCell ref="M13:O13"/>
    <mergeCell ref="M12:Q12"/>
    <mergeCell ref="M8:Q8"/>
    <mergeCell ref="M9:Q9"/>
  </mergeCells>
  <phoneticPr fontId="15" type="noConversion"/>
  <conditionalFormatting sqref="S1:S3">
    <cfRule type="cellIs" dxfId="35" priority="2" stopIfTrue="1" operator="equal">
      <formula>"na"</formula>
    </cfRule>
  </conditionalFormatting>
  <conditionalFormatting sqref="U1:U3">
    <cfRule type="cellIs" dxfId="34" priority="1" stopIfTrue="1" operator="equal">
      <formula>"na"</formula>
    </cfRule>
  </conditionalFormatting>
  <hyperlinks>
    <hyperlink ref="B1:R1" location="Index!A1" display="Index!A1" xr:uid="{00000000-0004-0000-3E00-000000000000}"/>
  </hyperlinks>
  <printOptions horizontalCentered="1"/>
  <pageMargins left="0.5" right="0.5" top="0.5" bottom="0.5" header="0.5" footer="0.25"/>
  <pageSetup scale="83" orientation="portrait" r:id="rId5"/>
  <headerFooter alignWithMargins="0">
    <oddHeader xml:space="preserve"> </oddHeader>
    <oddFooter>&amp;R&amp;A</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Notes!$X$3:$X$6</xm:f>
          </x14:formula1>
          <xm:sqref>C36:G37</xm:sqref>
        </x14:dataValidation>
        <x14:dataValidation type="list" allowBlank="1" showInputMessage="1" showErrorMessage="1" xr:uid="{BB5CE6BE-4254-4ABB-B879-FA15508C0E4D}">
          <x14:formula1>
            <xm:f>Notes!$X$10:$X$20</xm:f>
          </x14:formula1>
          <xm:sqref>C58:G61</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fitToPage="1"/>
  </sheetPr>
  <dimension ref="A1:W62"/>
  <sheetViews>
    <sheetView showGridLines="0" topLeftCell="C1" zoomScaleNormal="100" workbookViewId="0">
      <selection activeCell="W29" sqref="W29"/>
    </sheetView>
  </sheetViews>
  <sheetFormatPr defaultColWidth="9.42578125" defaultRowHeight="12.75" x14ac:dyDescent="0.2"/>
  <cols>
    <col min="1" max="1" width="0" style="11" hidden="1" customWidth="1"/>
    <col min="2" max="2" width="9.42578125" style="11" hidden="1" customWidth="1"/>
    <col min="3" max="3" width="12.5703125" style="11" customWidth="1"/>
    <col min="4" max="4" width="4.5703125" style="11" customWidth="1"/>
    <col min="5" max="5" width="8.42578125" style="11" customWidth="1"/>
    <col min="6" max="6" width="1.5703125" style="11" customWidth="1"/>
    <col min="7" max="7" width="14" style="11" customWidth="1"/>
    <col min="8" max="8" width="1.5703125" style="11" customWidth="1"/>
    <col min="9" max="9" width="14" style="11" customWidth="1"/>
    <col min="10" max="10" width="1.5703125" style="11" customWidth="1"/>
    <col min="11" max="11" width="14" style="11" customWidth="1"/>
    <col min="12" max="12" width="1.5703125" style="11" customWidth="1"/>
    <col min="13" max="13" width="14" style="11" customWidth="1"/>
    <col min="14" max="14" width="1.5703125" style="11" customWidth="1"/>
    <col min="15" max="15" width="14" style="11" customWidth="1"/>
    <col min="16" max="16" width="1.5703125" style="11" customWidth="1"/>
    <col min="17" max="17" width="14" style="11" customWidth="1"/>
    <col min="18" max="18" width="4.5703125" style="11" customWidth="1"/>
    <col min="19" max="19" width="9.42578125" style="11" hidden="1" customWidth="1"/>
    <col min="20" max="20" width="17.5703125" style="11" customWidth="1"/>
    <col min="21" max="16384" width="9.42578125" style="11"/>
  </cols>
  <sheetData>
    <row r="1" spans="1:20" s="145" customFormat="1" ht="15" customHeight="1" x14ac:dyDescent="0.25">
      <c r="A1" s="371" t="str">
        <f t="shared" ref="A1:A41" si="0">AgyIdx</f>
        <v>01</v>
      </c>
      <c r="C1" s="2767" t="str">
        <f>+Index!$A$1</f>
        <v xml:space="preserve">                                                               Office of the State Controller                                                                </v>
      </c>
      <c r="D1" s="2767"/>
      <c r="E1" s="2767"/>
      <c r="F1" s="2767"/>
      <c r="G1" s="2767"/>
      <c r="H1" s="2767"/>
      <c r="I1" s="2767"/>
      <c r="J1" s="2767"/>
      <c r="K1" s="2767"/>
      <c r="L1" s="2767"/>
      <c r="M1" s="2767"/>
      <c r="N1" s="2767"/>
      <c r="O1" s="2767"/>
      <c r="P1" s="2767"/>
      <c r="Q1" s="2767"/>
      <c r="R1" s="2829" t="str">
        <f>IF(Index!$B$89="na","NA","")</f>
        <v/>
      </c>
    </row>
    <row r="2" spans="1:20" s="145" customFormat="1" ht="15" customHeight="1" x14ac:dyDescent="0.25">
      <c r="A2" s="371" t="str">
        <f t="shared" si="0"/>
        <v>01</v>
      </c>
      <c r="C2" s="3235" t="str">
        <f>+Index!$A$2</f>
        <v>2022 ACFR Worksheets</v>
      </c>
      <c r="D2" s="3235"/>
      <c r="E2" s="3235"/>
      <c r="F2" s="3235"/>
      <c r="G2" s="3235"/>
      <c r="H2" s="3235"/>
      <c r="I2" s="3235"/>
      <c r="J2" s="3235"/>
      <c r="K2" s="3235"/>
      <c r="L2" s="3235"/>
      <c r="M2" s="3235"/>
      <c r="N2" s="3235"/>
      <c r="O2" s="3235"/>
      <c r="P2" s="3235"/>
      <c r="Q2" s="3235"/>
      <c r="R2" s="2829"/>
    </row>
    <row r="3" spans="1:20" s="145" customFormat="1" ht="15" customHeight="1" x14ac:dyDescent="0.25">
      <c r="A3" s="371" t="str">
        <f t="shared" si="0"/>
        <v>01</v>
      </c>
      <c r="C3" s="3235" t="s">
        <v>1075</v>
      </c>
      <c r="D3" s="3235"/>
      <c r="E3" s="3235"/>
      <c r="F3" s="3235"/>
      <c r="G3" s="3235"/>
      <c r="H3" s="3235"/>
      <c r="I3" s="3235"/>
      <c r="J3" s="3235"/>
      <c r="K3" s="3235"/>
      <c r="L3" s="3235"/>
      <c r="M3" s="3235"/>
      <c r="N3" s="3235"/>
      <c r="O3" s="3235"/>
      <c r="P3" s="3235"/>
      <c r="Q3" s="3235"/>
      <c r="R3" s="2829"/>
    </row>
    <row r="4" spans="1:20" s="145" customFormat="1" ht="15" customHeight="1" x14ac:dyDescent="0.25">
      <c r="A4" s="371" t="str">
        <f t="shared" si="0"/>
        <v>01</v>
      </c>
      <c r="C4" s="3235" t="s">
        <v>3601</v>
      </c>
      <c r="D4" s="3235"/>
      <c r="E4" s="3235"/>
      <c r="F4" s="3235"/>
      <c r="G4" s="3235"/>
      <c r="H4" s="3235"/>
      <c r="I4" s="3235"/>
      <c r="J4" s="3235"/>
      <c r="K4" s="3235"/>
      <c r="L4" s="3235"/>
      <c r="M4" s="3235"/>
      <c r="N4" s="3235"/>
      <c r="O4" s="3235"/>
      <c r="P4" s="3235"/>
      <c r="Q4" s="3235"/>
    </row>
    <row r="5" spans="1:20" s="146" customFormat="1" ht="15" customHeight="1" x14ac:dyDescent="0.2">
      <c r="A5" s="371" t="str">
        <f t="shared" si="0"/>
        <v>01</v>
      </c>
      <c r="M5" s="430"/>
    </row>
    <row r="6" spans="1:20" s="146" customFormat="1" ht="15" customHeight="1" x14ac:dyDescent="0.2">
      <c r="A6" s="371" t="str">
        <f t="shared" si="0"/>
        <v>01</v>
      </c>
      <c r="C6" s="365" t="s">
        <v>327</v>
      </c>
      <c r="E6" s="3234" t="str">
        <f>+Index!$E$10</f>
        <v>01</v>
      </c>
      <c r="F6" s="3234"/>
      <c r="G6" s="3234"/>
      <c r="I6" s="365"/>
      <c r="J6" s="365"/>
      <c r="K6" s="365" t="s">
        <v>687</v>
      </c>
      <c r="L6" s="3231" t="str">
        <f>+Index!$E$11</f>
        <v>North Carolina General Assembly</v>
      </c>
      <c r="M6" s="3231"/>
      <c r="N6" s="3231"/>
      <c r="O6" s="3231"/>
      <c r="P6" s="3231"/>
      <c r="Q6" s="3231"/>
    </row>
    <row r="7" spans="1:20" s="146" customFormat="1" ht="15" customHeight="1" x14ac:dyDescent="0.2">
      <c r="A7" s="371" t="str">
        <f t="shared" si="0"/>
        <v>01</v>
      </c>
      <c r="E7" s="258"/>
      <c r="F7" s="258"/>
      <c r="G7" s="258"/>
      <c r="I7" s="365"/>
      <c r="J7" s="365"/>
      <c r="K7" s="365" t="s">
        <v>972</v>
      </c>
      <c r="L7" s="3232" t="str">
        <f>CONCATENATE(Index!$E$12," ",Index!$E$14)</f>
        <v xml:space="preserve"> </v>
      </c>
      <c r="M7" s="3232"/>
      <c r="N7" s="3232"/>
      <c r="O7" s="3232"/>
      <c r="P7" s="3232"/>
      <c r="Q7" s="3232"/>
    </row>
    <row r="8" spans="1:20" s="146" customFormat="1" ht="15" customHeight="1" x14ac:dyDescent="0.2">
      <c r="A8" s="371" t="str">
        <f t="shared" si="0"/>
        <v>01</v>
      </c>
      <c r="C8" s="146" t="s">
        <v>477</v>
      </c>
      <c r="E8" s="3234" t="s">
        <v>971</v>
      </c>
      <c r="F8" s="3234"/>
      <c r="G8" s="3234"/>
      <c r="I8" s="365"/>
      <c r="J8" s="365"/>
      <c r="K8" s="365" t="s">
        <v>348</v>
      </c>
      <c r="L8" s="3232">
        <f>+Index!$E$13</f>
        <v>0</v>
      </c>
      <c r="M8" s="3232"/>
      <c r="N8" s="3232"/>
      <c r="O8" s="3232"/>
      <c r="P8" s="3232"/>
      <c r="Q8" s="3232"/>
    </row>
    <row r="9" spans="1:20" s="146" customFormat="1" ht="12" customHeight="1" thickBot="1" x14ac:dyDescent="0.25">
      <c r="A9" s="371" t="str">
        <f t="shared" si="0"/>
        <v>01</v>
      </c>
      <c r="C9" s="282"/>
      <c r="D9" s="282"/>
      <c r="E9" s="282"/>
      <c r="F9" s="282"/>
      <c r="G9" s="282"/>
      <c r="H9" s="282"/>
      <c r="I9" s="282"/>
      <c r="J9" s="282"/>
      <c r="K9" s="282"/>
      <c r="L9" s="282"/>
      <c r="M9" s="282"/>
      <c r="N9" s="282"/>
      <c r="O9" s="282"/>
      <c r="P9" s="282"/>
      <c r="Q9" s="282"/>
    </row>
    <row r="10" spans="1:20" s="146" customFormat="1" ht="12" customHeight="1" x14ac:dyDescent="0.2">
      <c r="A10" s="371" t="str">
        <f t="shared" si="0"/>
        <v>01</v>
      </c>
    </row>
    <row r="11" spans="1:20" s="146" customFormat="1" ht="12.75" customHeight="1" x14ac:dyDescent="0.25">
      <c r="A11" s="371" t="str">
        <f t="shared" si="0"/>
        <v>01</v>
      </c>
      <c r="C11" s="283"/>
      <c r="D11" s="283"/>
      <c r="E11" s="283"/>
      <c r="F11" s="283"/>
      <c r="G11" s="284"/>
      <c r="H11" s="283"/>
      <c r="I11" s="3239" t="s">
        <v>177</v>
      </c>
      <c r="J11" s="3239"/>
      <c r="K11" s="3239"/>
      <c r="L11" s="3239"/>
      <c r="M11" s="3239"/>
      <c r="N11" s="286"/>
      <c r="O11" s="286"/>
      <c r="P11" s="286"/>
      <c r="Q11" s="286"/>
    </row>
    <row r="12" spans="1:20" s="146" customFormat="1" ht="12.75" customHeight="1" x14ac:dyDescent="0.25">
      <c r="A12" s="371"/>
      <c r="C12" s="283"/>
      <c r="D12" s="283"/>
      <c r="E12" s="283"/>
      <c r="F12" s="283"/>
      <c r="G12" s="284"/>
      <c r="H12" s="283"/>
      <c r="I12" s="2306" t="s">
        <v>5104</v>
      </c>
      <c r="J12" s="2306"/>
      <c r="K12" s="2306" t="s">
        <v>5105</v>
      </c>
      <c r="L12" s="2306"/>
      <c r="M12" s="2306" t="s">
        <v>5106</v>
      </c>
      <c r="N12" s="2306"/>
      <c r="O12" s="2306" t="s">
        <v>5107</v>
      </c>
      <c r="P12" s="2347"/>
      <c r="Q12" s="2347"/>
    </row>
    <row r="13" spans="1:20" s="146" customFormat="1" ht="12.75" customHeight="1" x14ac:dyDescent="0.25">
      <c r="A13" s="371" t="str">
        <f t="shared" si="0"/>
        <v>01</v>
      </c>
      <c r="C13" s="283"/>
      <c r="D13" s="283"/>
      <c r="E13" s="283"/>
      <c r="F13" s="283"/>
      <c r="G13" s="287"/>
      <c r="H13" s="283"/>
      <c r="I13" s="367"/>
      <c r="J13" s="294"/>
      <c r="K13" s="368"/>
      <c r="L13" s="370"/>
      <c r="M13" s="288" t="s">
        <v>175</v>
      </c>
      <c r="N13" s="294"/>
      <c r="O13" s="289"/>
      <c r="P13" s="283"/>
      <c r="Q13" s="283"/>
    </row>
    <row r="14" spans="1:20" s="146" customFormat="1" ht="12" customHeight="1" x14ac:dyDescent="0.25">
      <c r="A14" s="371" t="str">
        <f t="shared" si="0"/>
        <v>01</v>
      </c>
      <c r="C14" s="283"/>
      <c r="D14" s="283"/>
      <c r="E14" s="283"/>
      <c r="F14" s="283"/>
      <c r="G14" s="288" t="s">
        <v>84</v>
      </c>
      <c r="H14" s="283"/>
      <c r="I14" s="288"/>
      <c r="J14" s="294"/>
      <c r="K14" s="369"/>
      <c r="L14" s="370"/>
      <c r="M14" s="288" t="s">
        <v>619</v>
      </c>
      <c r="N14" s="294"/>
      <c r="O14" s="289"/>
      <c r="P14" s="283"/>
      <c r="Q14" s="283"/>
      <c r="T14" s="283"/>
    </row>
    <row r="15" spans="1:20" s="146" customFormat="1" ht="12" customHeight="1" x14ac:dyDescent="0.25">
      <c r="A15" s="371" t="str">
        <f t="shared" si="0"/>
        <v>01</v>
      </c>
      <c r="C15" s="3240"/>
      <c r="D15" s="2961"/>
      <c r="E15" s="2961"/>
      <c r="F15" s="283"/>
      <c r="G15" s="288" t="s">
        <v>688</v>
      </c>
      <c r="H15" s="283"/>
      <c r="I15" s="288" t="s">
        <v>620</v>
      </c>
      <c r="J15" s="294"/>
      <c r="K15" s="288" t="s">
        <v>175</v>
      </c>
      <c r="L15" s="371"/>
      <c r="M15" s="288" t="s">
        <v>102</v>
      </c>
      <c r="N15" s="294"/>
      <c r="O15" s="288" t="s">
        <v>103</v>
      </c>
      <c r="P15" s="283"/>
      <c r="Q15" s="283"/>
      <c r="T15" s="1140" t="s">
        <v>1673</v>
      </c>
    </row>
    <row r="16" spans="1:20" s="146" customFormat="1" ht="12" customHeight="1" x14ac:dyDescent="0.25">
      <c r="A16" s="371" t="str">
        <f t="shared" si="0"/>
        <v>01</v>
      </c>
      <c r="C16" s="3239" t="s">
        <v>9</v>
      </c>
      <c r="D16" s="2882"/>
      <c r="E16" s="2882"/>
      <c r="F16" s="283"/>
      <c r="G16" s="285" t="s">
        <v>1159</v>
      </c>
      <c r="H16" s="283"/>
      <c r="I16" s="285" t="s">
        <v>10</v>
      </c>
      <c r="J16" s="294"/>
      <c r="K16" s="285" t="s">
        <v>11</v>
      </c>
      <c r="L16" s="370"/>
      <c r="M16" s="285" t="s">
        <v>596</v>
      </c>
      <c r="N16" s="294"/>
      <c r="O16" s="285" t="s">
        <v>12</v>
      </c>
      <c r="P16" s="283"/>
      <c r="Q16" s="366" t="s">
        <v>84</v>
      </c>
      <c r="T16" s="1141" t="s">
        <v>1160</v>
      </c>
    </row>
    <row r="17" spans="1:23" s="147" customFormat="1" ht="12" customHeight="1" x14ac:dyDescent="0.2">
      <c r="A17" s="371" t="str">
        <f t="shared" si="0"/>
        <v>01</v>
      </c>
      <c r="B17" s="147" t="s">
        <v>1615</v>
      </c>
      <c r="D17" s="291"/>
      <c r="E17" s="291"/>
      <c r="F17" s="291"/>
      <c r="G17" s="1131" t="s">
        <v>118</v>
      </c>
      <c r="H17" s="1132"/>
      <c r="I17" s="1131" t="s">
        <v>119</v>
      </c>
      <c r="J17" s="1132"/>
      <c r="K17" s="1131" t="s">
        <v>996</v>
      </c>
      <c r="L17" s="1132"/>
      <c r="M17" s="1131" t="s">
        <v>997</v>
      </c>
      <c r="N17" s="1132"/>
      <c r="O17" s="1131" t="s">
        <v>998</v>
      </c>
      <c r="P17" s="1132"/>
      <c r="Q17" s="1131" t="s">
        <v>999</v>
      </c>
      <c r="T17" s="1142"/>
      <c r="W17" s="2348"/>
    </row>
    <row r="18" spans="1:23" s="147" customFormat="1" ht="12" customHeight="1" x14ac:dyDescent="0.25">
      <c r="A18" s="371" t="str">
        <f t="shared" si="0"/>
        <v>01</v>
      </c>
      <c r="B18" s="147" t="s">
        <v>1616</v>
      </c>
      <c r="C18" s="326" t="s">
        <v>1024</v>
      </c>
      <c r="D18" s="291"/>
      <c r="E18" s="291"/>
      <c r="F18" s="291"/>
      <c r="G18" s="292"/>
      <c r="H18" s="291"/>
      <c r="I18" s="292"/>
      <c r="J18" s="291"/>
      <c r="K18" s="292"/>
      <c r="L18" s="291"/>
      <c r="M18" s="292"/>
      <c r="N18" s="291"/>
      <c r="O18" s="292"/>
      <c r="P18" s="291"/>
      <c r="Q18" s="292"/>
      <c r="T18" s="1142"/>
      <c r="W18" s="2348"/>
    </row>
    <row r="19" spans="1:23" s="146" customFormat="1" ht="12" customHeight="1" x14ac:dyDescent="0.2">
      <c r="A19" s="371" t="str">
        <f t="shared" si="0"/>
        <v>01</v>
      </c>
      <c r="B19" s="147" t="s">
        <v>1624</v>
      </c>
      <c r="C19" s="3236"/>
      <c r="D19" s="3236"/>
      <c r="E19" s="3236"/>
      <c r="F19" s="283"/>
      <c r="G19" s="605"/>
      <c r="H19" s="373"/>
      <c r="I19" s="605"/>
      <c r="J19" s="373"/>
      <c r="K19" s="605"/>
      <c r="L19" s="373"/>
      <c r="M19" s="605"/>
      <c r="N19" s="373"/>
      <c r="O19" s="605"/>
      <c r="P19" s="373"/>
      <c r="Q19" s="372">
        <f>SUM(I19:P19)</f>
        <v>0</v>
      </c>
      <c r="R19" s="609" t="str">
        <f>IF(S19=FALSE,"*","")</f>
        <v/>
      </c>
      <c r="S19" s="610" t="b">
        <f>+G19=Q19</f>
        <v>1</v>
      </c>
      <c r="T19" s="1143" t="str">
        <f>IF(G19=Q19,"",G19-Q19)</f>
        <v/>
      </c>
    </row>
    <row r="20" spans="1:23" s="146" customFormat="1" ht="12" customHeight="1" x14ac:dyDescent="0.2">
      <c r="A20" s="371" t="str">
        <f t="shared" si="0"/>
        <v>01</v>
      </c>
      <c r="B20" s="147" t="s">
        <v>1625</v>
      </c>
      <c r="C20" s="3236"/>
      <c r="D20" s="3236"/>
      <c r="E20" s="3236"/>
      <c r="F20" s="283"/>
      <c r="G20" s="605"/>
      <c r="H20" s="373"/>
      <c r="I20" s="606"/>
      <c r="J20" s="373"/>
      <c r="K20" s="606"/>
      <c r="L20" s="373"/>
      <c r="M20" s="606"/>
      <c r="N20" s="373"/>
      <c r="O20" s="606"/>
      <c r="P20" s="373"/>
      <c r="Q20" s="372">
        <f t="shared" ref="Q20:Q27" si="1">SUM(I20:P20)</f>
        <v>0</v>
      </c>
      <c r="R20" s="609" t="str">
        <f t="shared" ref="R20:R27" si="2">IF(S20=FALSE,"*","")</f>
        <v/>
      </c>
      <c r="S20" s="610" t="b">
        <f t="shared" ref="S20:S27" si="3">+G20=Q20</f>
        <v>1</v>
      </c>
      <c r="T20" s="1143" t="str">
        <f t="shared" ref="T20:T28" si="4">IF(G20=Q20,"",G20-Q20)</f>
        <v/>
      </c>
    </row>
    <row r="21" spans="1:23" s="146" customFormat="1" ht="12" customHeight="1" x14ac:dyDescent="0.2">
      <c r="A21" s="371" t="str">
        <f t="shared" si="0"/>
        <v>01</v>
      </c>
      <c r="B21" s="147" t="s">
        <v>1626</v>
      </c>
      <c r="C21" s="3236"/>
      <c r="D21" s="3236"/>
      <c r="E21" s="3236"/>
      <c r="F21" s="283"/>
      <c r="G21" s="605"/>
      <c r="H21" s="373"/>
      <c r="I21" s="606"/>
      <c r="J21" s="373"/>
      <c r="K21" s="606"/>
      <c r="L21" s="373"/>
      <c r="M21" s="606"/>
      <c r="N21" s="373"/>
      <c r="O21" s="606"/>
      <c r="P21" s="373"/>
      <c r="Q21" s="372">
        <f t="shared" si="1"/>
        <v>0</v>
      </c>
      <c r="R21" s="609" t="str">
        <f t="shared" si="2"/>
        <v/>
      </c>
      <c r="S21" s="610" t="b">
        <f t="shared" si="3"/>
        <v>1</v>
      </c>
      <c r="T21" s="1143" t="str">
        <f t="shared" si="4"/>
        <v/>
      </c>
    </row>
    <row r="22" spans="1:23" s="146" customFormat="1" ht="12" customHeight="1" x14ac:dyDescent="0.2">
      <c r="A22" s="371" t="str">
        <f t="shared" si="0"/>
        <v>01</v>
      </c>
      <c r="B22" s="147" t="s">
        <v>1627</v>
      </c>
      <c r="C22" s="3236"/>
      <c r="D22" s="3236"/>
      <c r="E22" s="3236"/>
      <c r="F22" s="283"/>
      <c r="G22" s="605"/>
      <c r="H22" s="373"/>
      <c r="I22" s="606"/>
      <c r="J22" s="373"/>
      <c r="K22" s="606"/>
      <c r="L22" s="373"/>
      <c r="M22" s="606"/>
      <c r="N22" s="373"/>
      <c r="O22" s="606"/>
      <c r="P22" s="373"/>
      <c r="Q22" s="372">
        <f t="shared" si="1"/>
        <v>0</v>
      </c>
      <c r="R22" s="609" t="str">
        <f t="shared" si="2"/>
        <v/>
      </c>
      <c r="S22" s="610" t="b">
        <f t="shared" si="3"/>
        <v>1</v>
      </c>
      <c r="T22" s="1143" t="str">
        <f t="shared" si="4"/>
        <v/>
      </c>
    </row>
    <row r="23" spans="1:23" s="146" customFormat="1" ht="12" customHeight="1" x14ac:dyDescent="0.2">
      <c r="A23" s="371" t="str">
        <f t="shared" si="0"/>
        <v>01</v>
      </c>
      <c r="B23" s="147" t="s">
        <v>1628</v>
      </c>
      <c r="C23" s="3236"/>
      <c r="D23" s="3236"/>
      <c r="E23" s="3236"/>
      <c r="F23" s="283"/>
      <c r="G23" s="605"/>
      <c r="H23" s="373"/>
      <c r="I23" s="605"/>
      <c r="J23" s="373"/>
      <c r="K23" s="605"/>
      <c r="L23" s="373"/>
      <c r="M23" s="605"/>
      <c r="N23" s="373"/>
      <c r="O23" s="605"/>
      <c r="P23" s="373"/>
      <c r="Q23" s="372">
        <f t="shared" si="1"/>
        <v>0</v>
      </c>
      <c r="R23" s="609" t="str">
        <f t="shared" si="2"/>
        <v/>
      </c>
      <c r="S23" s="610" t="b">
        <f t="shared" si="3"/>
        <v>1</v>
      </c>
      <c r="T23" s="1143" t="str">
        <f t="shared" si="4"/>
        <v/>
      </c>
    </row>
    <row r="24" spans="1:23" s="146" customFormat="1" ht="12" customHeight="1" x14ac:dyDescent="0.2">
      <c r="A24" s="371" t="str">
        <f t="shared" si="0"/>
        <v>01</v>
      </c>
      <c r="B24" s="147" t="s">
        <v>1629</v>
      </c>
      <c r="C24" s="3250"/>
      <c r="D24" s="3236"/>
      <c r="E24" s="3236"/>
      <c r="F24" s="283"/>
      <c r="G24" s="606"/>
      <c r="H24" s="373"/>
      <c r="I24" s="606"/>
      <c r="J24" s="373"/>
      <c r="K24" s="606"/>
      <c r="L24" s="373"/>
      <c r="M24" s="606"/>
      <c r="N24" s="373"/>
      <c r="O24" s="606"/>
      <c r="P24" s="373"/>
      <c r="Q24" s="372">
        <f t="shared" si="1"/>
        <v>0</v>
      </c>
      <c r="R24" s="609" t="str">
        <f t="shared" si="2"/>
        <v/>
      </c>
      <c r="S24" s="610" t="b">
        <f t="shared" si="3"/>
        <v>1</v>
      </c>
      <c r="T24" s="1143" t="str">
        <f t="shared" si="4"/>
        <v/>
      </c>
    </row>
    <row r="25" spans="1:23" s="146" customFormat="1" ht="12" customHeight="1" x14ac:dyDescent="0.2">
      <c r="A25" s="371" t="str">
        <f t="shared" si="0"/>
        <v>01</v>
      </c>
      <c r="B25" s="147" t="s">
        <v>1630</v>
      </c>
      <c r="C25" s="3236"/>
      <c r="D25" s="3236"/>
      <c r="E25" s="3236"/>
      <c r="F25" s="283"/>
      <c r="G25" s="606"/>
      <c r="H25" s="373"/>
      <c r="I25" s="606"/>
      <c r="J25" s="373"/>
      <c r="K25" s="606"/>
      <c r="L25" s="373"/>
      <c r="M25" s="606"/>
      <c r="N25" s="373"/>
      <c r="O25" s="606"/>
      <c r="P25" s="373"/>
      <c r="Q25" s="372">
        <f t="shared" si="1"/>
        <v>0</v>
      </c>
      <c r="R25" s="609" t="str">
        <f t="shared" si="2"/>
        <v/>
      </c>
      <c r="S25" s="610" t="b">
        <f t="shared" si="3"/>
        <v>1</v>
      </c>
      <c r="T25" s="1143" t="str">
        <f t="shared" si="4"/>
        <v/>
      </c>
    </row>
    <row r="26" spans="1:23" s="146" customFormat="1" ht="12" customHeight="1" x14ac:dyDescent="0.2">
      <c r="A26" s="371" t="str">
        <f t="shared" si="0"/>
        <v>01</v>
      </c>
      <c r="B26" s="147" t="s">
        <v>1631</v>
      </c>
      <c r="C26" s="3236"/>
      <c r="D26" s="3236"/>
      <c r="E26" s="3236"/>
      <c r="F26" s="283"/>
      <c r="G26" s="606"/>
      <c r="H26" s="373"/>
      <c r="I26" s="606"/>
      <c r="J26" s="373"/>
      <c r="K26" s="606"/>
      <c r="L26" s="373"/>
      <c r="M26" s="606"/>
      <c r="N26" s="373"/>
      <c r="O26" s="606"/>
      <c r="P26" s="373"/>
      <c r="Q26" s="372">
        <f t="shared" si="1"/>
        <v>0</v>
      </c>
      <c r="R26" s="609" t="str">
        <f t="shared" si="2"/>
        <v/>
      </c>
      <c r="S26" s="610" t="b">
        <f t="shared" si="3"/>
        <v>1</v>
      </c>
      <c r="T26" s="1143" t="str">
        <f t="shared" si="4"/>
        <v/>
      </c>
    </row>
    <row r="27" spans="1:23" s="146" customFormat="1" ht="12" customHeight="1" thickBot="1" x14ac:dyDescent="0.25">
      <c r="A27" s="371" t="str">
        <f t="shared" si="0"/>
        <v>01</v>
      </c>
      <c r="B27" s="147" t="s">
        <v>1632</v>
      </c>
      <c r="C27" s="3236"/>
      <c r="D27" s="3236"/>
      <c r="E27" s="3236"/>
      <c r="F27" s="283"/>
      <c r="G27" s="607"/>
      <c r="H27" s="373"/>
      <c r="I27" s="607"/>
      <c r="J27" s="373"/>
      <c r="K27" s="607"/>
      <c r="L27" s="373"/>
      <c r="M27" s="607"/>
      <c r="N27" s="373"/>
      <c r="O27" s="607"/>
      <c r="P27" s="373"/>
      <c r="Q27" s="374">
        <f t="shared" si="1"/>
        <v>0</v>
      </c>
      <c r="R27" s="609" t="str">
        <f t="shared" si="2"/>
        <v/>
      </c>
      <c r="S27" s="610" t="b">
        <f t="shared" si="3"/>
        <v>1</v>
      </c>
      <c r="T27" s="1143" t="str">
        <f t="shared" si="4"/>
        <v/>
      </c>
    </row>
    <row r="28" spans="1:23" s="146" customFormat="1" ht="14.1" customHeight="1" thickBot="1" x14ac:dyDescent="0.25">
      <c r="A28" s="371" t="str">
        <f t="shared" si="0"/>
        <v>01</v>
      </c>
      <c r="B28" s="147" t="s">
        <v>1633</v>
      </c>
      <c r="C28" s="327" t="s">
        <v>359</v>
      </c>
      <c r="D28" s="283"/>
      <c r="E28" s="283"/>
      <c r="F28" s="283"/>
      <c r="G28" s="376">
        <f>SUM(G19:G27)</f>
        <v>0</v>
      </c>
      <c r="H28" s="373"/>
      <c r="I28" s="376">
        <f>SUM(I19:I27)</f>
        <v>0</v>
      </c>
      <c r="J28" s="373"/>
      <c r="K28" s="376">
        <f>SUM(K19:K27)</f>
        <v>0</v>
      </c>
      <c r="L28" s="373"/>
      <c r="M28" s="376">
        <f>SUM(M19:M27)</f>
        <v>0</v>
      </c>
      <c r="N28" s="373"/>
      <c r="O28" s="376">
        <f>SUM(O19:O27)</f>
        <v>0</v>
      </c>
      <c r="P28" s="373"/>
      <c r="Q28" s="376">
        <f>SUM(Q19:Q27)</f>
        <v>0</v>
      </c>
      <c r="R28" s="283"/>
      <c r="T28" s="1143" t="str">
        <f t="shared" si="4"/>
        <v/>
      </c>
    </row>
    <row r="29" spans="1:23" s="146" customFormat="1" ht="13.35" customHeight="1" thickTop="1" x14ac:dyDescent="0.25">
      <c r="A29" s="371" t="str">
        <f t="shared" si="0"/>
        <v>01</v>
      </c>
      <c r="C29" s="327"/>
      <c r="D29" s="283"/>
      <c r="E29" s="283"/>
      <c r="F29" s="283"/>
      <c r="G29" s="380"/>
      <c r="H29" s="373"/>
      <c r="I29" s="373"/>
      <c r="J29" s="373"/>
      <c r="K29" s="373"/>
      <c r="L29" s="373"/>
      <c r="M29" s="373"/>
      <c r="N29" s="373"/>
      <c r="O29" s="373"/>
      <c r="P29" s="373"/>
      <c r="Q29" s="373"/>
      <c r="R29" s="283"/>
      <c r="T29" s="1143"/>
    </row>
    <row r="30" spans="1:23" s="146" customFormat="1" ht="11.1" customHeight="1" x14ac:dyDescent="0.25">
      <c r="A30" s="371" t="str">
        <f t="shared" si="0"/>
        <v>01</v>
      </c>
      <c r="C30" s="327"/>
      <c r="D30" s="283"/>
      <c r="E30" s="283"/>
      <c r="F30" s="283"/>
      <c r="G30" s="380"/>
      <c r="H30" s="373"/>
      <c r="I30" s="373"/>
      <c r="J30" s="373"/>
      <c r="K30" s="373"/>
      <c r="L30" s="373"/>
      <c r="M30" s="373"/>
      <c r="N30" s="373"/>
      <c r="O30" s="373"/>
      <c r="P30" s="373"/>
      <c r="Q30" s="373"/>
      <c r="R30" s="283"/>
      <c r="T30" s="1143"/>
    </row>
    <row r="31" spans="1:23" s="146" customFormat="1" ht="12" customHeight="1" x14ac:dyDescent="0.25">
      <c r="A31" s="371" t="str">
        <f t="shared" si="0"/>
        <v>01</v>
      </c>
      <c r="C31" s="326" t="s">
        <v>371</v>
      </c>
      <c r="D31" s="283"/>
      <c r="E31" s="283"/>
      <c r="F31" s="283"/>
      <c r="G31" s="373"/>
      <c r="H31" s="373"/>
      <c r="I31" s="373"/>
      <c r="J31" s="373"/>
      <c r="K31" s="373"/>
      <c r="L31" s="373"/>
      <c r="M31" s="373"/>
      <c r="N31" s="373"/>
      <c r="O31" s="373"/>
      <c r="P31" s="373"/>
      <c r="Q31" s="373"/>
      <c r="R31" s="283"/>
      <c r="T31" s="1143"/>
    </row>
    <row r="32" spans="1:23" s="146" customFormat="1" ht="12" customHeight="1" x14ac:dyDescent="0.2">
      <c r="A32" s="371" t="str">
        <f t="shared" si="0"/>
        <v>01</v>
      </c>
      <c r="B32" s="146" t="s">
        <v>1634</v>
      </c>
      <c r="C32" s="3236"/>
      <c r="D32" s="3236"/>
      <c r="E32" s="3236"/>
      <c r="F32" s="283"/>
      <c r="G32" s="605"/>
      <c r="H32" s="373"/>
      <c r="I32" s="605"/>
      <c r="J32" s="373"/>
      <c r="K32" s="605"/>
      <c r="L32" s="373"/>
      <c r="M32" s="605"/>
      <c r="N32" s="373"/>
      <c r="O32" s="605"/>
      <c r="P32" s="373"/>
      <c r="Q32" s="372">
        <f>SUM(I32:P32)</f>
        <v>0</v>
      </c>
      <c r="R32" s="609" t="str">
        <f>IF(S32=FALSE,"*","")</f>
        <v/>
      </c>
      <c r="S32" s="610" t="b">
        <f>+G32=Q32</f>
        <v>1</v>
      </c>
      <c r="T32" s="1143" t="str">
        <f>IF(G32=Q32,"",G32-Q32)</f>
        <v/>
      </c>
    </row>
    <row r="33" spans="1:23" s="146" customFormat="1" ht="12" customHeight="1" x14ac:dyDescent="0.2">
      <c r="A33" s="371" t="str">
        <f t="shared" si="0"/>
        <v>01</v>
      </c>
      <c r="B33" s="146" t="s">
        <v>1635</v>
      </c>
      <c r="C33" s="3236"/>
      <c r="D33" s="3236"/>
      <c r="E33" s="3236"/>
      <c r="F33" s="283"/>
      <c r="G33" s="605"/>
      <c r="H33" s="373"/>
      <c r="I33" s="606"/>
      <c r="J33" s="373"/>
      <c r="K33" s="605"/>
      <c r="L33" s="373"/>
      <c r="M33" s="606"/>
      <c r="N33" s="373"/>
      <c r="O33" s="606"/>
      <c r="P33" s="373"/>
      <c r="Q33" s="372">
        <f>SUM(I33:P33)</f>
        <v>0</v>
      </c>
      <c r="R33" s="609" t="str">
        <f>IF(S33=FALSE,"*","")</f>
        <v/>
      </c>
      <c r="S33" s="610" t="b">
        <f>+G33=Q33</f>
        <v>1</v>
      </c>
      <c r="T33" s="1143" t="str">
        <f>IF(G33=Q33,"",G33-Q33)</f>
        <v/>
      </c>
    </row>
    <row r="34" spans="1:23" s="146" customFormat="1" ht="12" customHeight="1" thickBot="1" x14ac:dyDescent="0.25">
      <c r="A34" s="371" t="str">
        <f t="shared" si="0"/>
        <v>01</v>
      </c>
      <c r="B34" s="146" t="s">
        <v>1636</v>
      </c>
      <c r="C34" s="3236"/>
      <c r="D34" s="3236"/>
      <c r="E34" s="3236"/>
      <c r="F34" s="283"/>
      <c r="G34" s="607"/>
      <c r="H34" s="373"/>
      <c r="I34" s="608"/>
      <c r="J34" s="373"/>
      <c r="K34" s="608"/>
      <c r="L34" s="373"/>
      <c r="M34" s="608"/>
      <c r="N34" s="373"/>
      <c r="O34" s="608"/>
      <c r="P34" s="373"/>
      <c r="Q34" s="374">
        <f>SUM(I34:P34)</f>
        <v>0</v>
      </c>
      <c r="R34" s="609" t="str">
        <f>IF(S34=FALSE,"*","")</f>
        <v/>
      </c>
      <c r="S34" s="610" t="b">
        <f>+G34=Q34</f>
        <v>1</v>
      </c>
      <c r="T34" s="1143" t="str">
        <f>IF(G34=Q34,"",G34-Q34)</f>
        <v/>
      </c>
    </row>
    <row r="35" spans="1:23" s="146" customFormat="1" ht="14.1" customHeight="1" thickBot="1" x14ac:dyDescent="0.25">
      <c r="A35" s="371" t="str">
        <f t="shared" si="0"/>
        <v>01</v>
      </c>
      <c r="B35" s="146" t="s">
        <v>1637</v>
      </c>
      <c r="C35" s="329" t="s">
        <v>652</v>
      </c>
      <c r="D35" s="283"/>
      <c r="E35" s="283"/>
      <c r="F35" s="283"/>
      <c r="G35" s="376">
        <f>SUM(G32:G34)</f>
        <v>0</v>
      </c>
      <c r="H35" s="373"/>
      <c r="I35" s="376">
        <f>SUM(I32:I34)</f>
        <v>0</v>
      </c>
      <c r="J35" s="373"/>
      <c r="K35" s="376">
        <f>SUM(K32:K34)</f>
        <v>0</v>
      </c>
      <c r="L35" s="373"/>
      <c r="M35" s="376">
        <f>SUM(M32:M34)</f>
        <v>0</v>
      </c>
      <c r="N35" s="373"/>
      <c r="O35" s="376">
        <f>SUM(O32:O34)</f>
        <v>0</v>
      </c>
      <c r="P35" s="373"/>
      <c r="Q35" s="376">
        <f>SUM(Q32:Q34)</f>
        <v>0</v>
      </c>
      <c r="R35" s="283"/>
      <c r="T35" s="1143" t="str">
        <f>IF(G35=Q35,"",G35-Q35)</f>
        <v/>
      </c>
    </row>
    <row r="36" spans="1:23" ht="13.35" customHeight="1" thickTop="1" x14ac:dyDescent="0.25">
      <c r="A36" s="371" t="str">
        <f t="shared" si="0"/>
        <v>01</v>
      </c>
      <c r="G36" s="380"/>
      <c r="H36" s="379"/>
      <c r="I36" s="379"/>
      <c r="J36" s="379"/>
      <c r="K36" s="379"/>
      <c r="L36" s="379"/>
      <c r="M36" s="379"/>
      <c r="N36" s="379"/>
      <c r="O36" s="379"/>
      <c r="P36" s="379"/>
      <c r="Q36" s="379"/>
      <c r="T36" s="1143"/>
    </row>
    <row r="37" spans="1:23" ht="15" customHeight="1" thickBot="1" x14ac:dyDescent="0.25">
      <c r="A37" s="371" t="str">
        <f t="shared" si="0"/>
        <v>01</v>
      </c>
      <c r="B37" s="11" t="s">
        <v>1638</v>
      </c>
      <c r="C37" s="11" t="s">
        <v>962</v>
      </c>
      <c r="G37" s="376">
        <f>'705'!G35+'705'!G45+'715'!G28+'715'!G35</f>
        <v>0</v>
      </c>
      <c r="H37" s="373"/>
      <c r="I37" s="376">
        <f>'705'!I35+'705'!I45+'715'!I28+'715'!I35</f>
        <v>0</v>
      </c>
      <c r="J37" s="373"/>
      <c r="K37" s="376">
        <f>'705'!K35+'705'!K45+'715'!K28+'715'!K35</f>
        <v>0</v>
      </c>
      <c r="L37" s="373"/>
      <c r="M37" s="376">
        <f>'705'!M35+'705'!M45+'715'!M28+'715'!M35</f>
        <v>0</v>
      </c>
      <c r="N37" s="373"/>
      <c r="O37" s="376">
        <f>'705'!O35+'705'!O45+'715'!O28+'715'!O35</f>
        <v>0</v>
      </c>
      <c r="P37" s="373"/>
      <c r="Q37" s="376">
        <f>'705'!Q35+'705'!Q45+'715'!Q28+'715'!Q35</f>
        <v>0</v>
      </c>
      <c r="S37" s="553">
        <f>COUNTIF(S19:S36,FALSE)</f>
        <v>0</v>
      </c>
      <c r="T37" s="1143" t="str">
        <f>IF(G37=Q37,"",G37-Q37)</f>
        <v/>
      </c>
      <c r="W37" s="2349" t="s">
        <v>5108</v>
      </c>
    </row>
    <row r="38" spans="1:23" ht="15" customHeight="1" thickTop="1" x14ac:dyDescent="0.2">
      <c r="A38" s="371" t="str">
        <f t="shared" si="0"/>
        <v>01</v>
      </c>
      <c r="G38" s="379"/>
      <c r="H38" s="379"/>
      <c r="I38" s="379"/>
      <c r="J38" s="379"/>
      <c r="K38" s="379"/>
      <c r="L38" s="379"/>
      <c r="M38" s="379"/>
      <c r="N38" s="379"/>
      <c r="O38" s="379"/>
      <c r="P38" s="379"/>
      <c r="Q38" s="379"/>
      <c r="T38" s="283"/>
    </row>
    <row r="39" spans="1:23" ht="15" customHeight="1" x14ac:dyDescent="0.2">
      <c r="A39" s="371" t="str">
        <f t="shared" si="0"/>
        <v>01</v>
      </c>
      <c r="G39" s="379"/>
      <c r="H39" s="379"/>
      <c r="I39" s="379"/>
      <c r="J39" s="379"/>
      <c r="K39" s="379"/>
      <c r="L39" s="379"/>
      <c r="M39" s="379"/>
      <c r="N39" s="379"/>
      <c r="O39" s="379"/>
      <c r="P39" s="379"/>
      <c r="Q39" s="379"/>
      <c r="T39" s="283"/>
    </row>
    <row r="40" spans="1:23" ht="15" customHeight="1" x14ac:dyDescent="0.2">
      <c r="A40" s="371" t="str">
        <f t="shared" si="0"/>
        <v>01</v>
      </c>
      <c r="G40" s="379"/>
      <c r="H40" s="379"/>
      <c r="I40" s="379"/>
      <c r="J40" s="379"/>
      <c r="K40" s="379"/>
      <c r="L40" s="379"/>
      <c r="M40" s="379"/>
      <c r="N40" s="379"/>
      <c r="O40" s="379"/>
      <c r="P40" s="379"/>
      <c r="Q40" s="379"/>
      <c r="T40" s="283"/>
    </row>
    <row r="41" spans="1:23" ht="15" customHeight="1" x14ac:dyDescent="0.2">
      <c r="A41" s="371" t="str">
        <f t="shared" si="0"/>
        <v>01</v>
      </c>
      <c r="B41" s="443" t="str">
        <f ca="1">MID(CELL("filename",B18),FIND("]",CELL("filename",B18))+1,256)</f>
        <v>715</v>
      </c>
      <c r="C41" s="443" t="s">
        <v>449</v>
      </c>
      <c r="G41" s="379"/>
      <c r="H41" s="379"/>
      <c r="I41" s="379"/>
      <c r="J41" s="379"/>
      <c r="K41" s="379"/>
      <c r="L41" s="379"/>
      <c r="M41" s="379"/>
      <c r="N41" s="379"/>
      <c r="O41" s="379"/>
      <c r="P41" s="379"/>
      <c r="Q41" s="379"/>
      <c r="T41" s="283"/>
    </row>
    <row r="42" spans="1:23" ht="15" customHeight="1" x14ac:dyDescent="0.2">
      <c r="B42" s="443" t="s">
        <v>446</v>
      </c>
      <c r="C42" s="443" t="str">
        <f t="shared" ref="C42:C51" ca="1" si="5">IF(ISNA(INDEX(ErrorTable,MATCH($B$41&amp;$B42&amp;FALSE,ErrorKey,0),6)),"",INDEX(ErrorTable,MATCH($B$41&amp;$B42&amp;FALSE,ErrorKey,0),6))</f>
        <v/>
      </c>
      <c r="G42" s="379"/>
      <c r="H42" s="379"/>
      <c r="I42" s="379"/>
      <c r="J42" s="379"/>
      <c r="K42" s="379"/>
      <c r="L42" s="379"/>
      <c r="M42" s="379"/>
      <c r="N42" s="379"/>
      <c r="O42" s="379"/>
      <c r="P42" s="379"/>
      <c r="Q42" s="379"/>
      <c r="T42" s="283"/>
    </row>
    <row r="43" spans="1:23" ht="15" customHeight="1" x14ac:dyDescent="0.2">
      <c r="B43" s="443" t="s">
        <v>447</v>
      </c>
      <c r="C43" s="443" t="str">
        <f t="shared" ca="1" si="5"/>
        <v/>
      </c>
      <c r="G43" s="379"/>
      <c r="H43" s="379"/>
      <c r="I43" s="379"/>
      <c r="J43" s="379"/>
      <c r="K43" s="379"/>
      <c r="L43" s="379"/>
      <c r="M43" s="379"/>
      <c r="N43" s="379"/>
      <c r="O43" s="379"/>
      <c r="P43" s="379"/>
      <c r="Q43" s="379"/>
      <c r="T43" s="283"/>
    </row>
    <row r="44" spans="1:23" ht="15" customHeight="1" x14ac:dyDescent="0.2">
      <c r="B44" s="443" t="s">
        <v>448</v>
      </c>
      <c r="C44" s="443" t="str">
        <f t="shared" ca="1" si="5"/>
        <v/>
      </c>
      <c r="G44" s="379"/>
      <c r="H44" s="379"/>
      <c r="I44" s="379"/>
      <c r="J44" s="379"/>
      <c r="K44" s="379"/>
      <c r="L44" s="379"/>
      <c r="M44" s="379"/>
      <c r="N44" s="379"/>
      <c r="O44" s="379"/>
      <c r="P44" s="379"/>
      <c r="Q44" s="379"/>
      <c r="T44" s="283"/>
    </row>
    <row r="45" spans="1:23" ht="15" customHeight="1" x14ac:dyDescent="0.2">
      <c r="B45" s="443" t="s">
        <v>450</v>
      </c>
      <c r="C45" s="443" t="str">
        <f t="shared" ca="1" si="5"/>
        <v/>
      </c>
      <c r="G45" s="12"/>
      <c r="H45" s="12"/>
      <c r="I45" s="12"/>
      <c r="J45" s="12"/>
      <c r="K45" s="12"/>
      <c r="L45" s="12"/>
      <c r="M45" s="12"/>
      <c r="N45" s="12"/>
      <c r="O45" s="12"/>
      <c r="P45" s="12"/>
      <c r="Q45" s="12"/>
      <c r="T45" s="283"/>
    </row>
    <row r="46" spans="1:23" ht="15" customHeight="1" x14ac:dyDescent="0.2">
      <c r="B46" s="443" t="s">
        <v>451</v>
      </c>
      <c r="C46" s="443" t="str">
        <f t="shared" ca="1" si="5"/>
        <v/>
      </c>
      <c r="G46" s="12"/>
      <c r="H46" s="12"/>
      <c r="I46" s="12"/>
      <c r="J46" s="12"/>
      <c r="K46" s="12"/>
      <c r="L46" s="12"/>
      <c r="M46" s="12"/>
      <c r="N46" s="12"/>
      <c r="O46" s="12"/>
      <c r="P46" s="12"/>
      <c r="Q46" s="12"/>
      <c r="T46" s="283"/>
    </row>
    <row r="47" spans="1:23" ht="15" customHeight="1" x14ac:dyDescent="0.2">
      <c r="B47" s="443" t="s">
        <v>452</v>
      </c>
      <c r="C47" s="443" t="str">
        <f t="shared" ca="1" si="5"/>
        <v/>
      </c>
      <c r="G47" s="12"/>
      <c r="H47" s="12"/>
      <c r="I47" s="12"/>
      <c r="J47" s="12"/>
      <c r="K47" s="12"/>
      <c r="L47" s="12"/>
      <c r="M47" s="12"/>
      <c r="N47" s="12"/>
      <c r="O47" s="12"/>
      <c r="P47" s="12"/>
      <c r="Q47" s="12"/>
      <c r="T47" s="283"/>
    </row>
    <row r="48" spans="1:23" ht="15" customHeight="1" x14ac:dyDescent="0.2">
      <c r="B48" s="443" t="s">
        <v>453</v>
      </c>
      <c r="C48" s="443" t="str">
        <f t="shared" ca="1" si="5"/>
        <v/>
      </c>
      <c r="G48" s="12"/>
      <c r="H48" s="12"/>
      <c r="I48" s="12"/>
      <c r="J48" s="12"/>
      <c r="K48" s="12"/>
      <c r="L48" s="12"/>
      <c r="M48" s="12"/>
      <c r="N48" s="12"/>
      <c r="O48" s="12"/>
      <c r="P48" s="12"/>
      <c r="Q48" s="12"/>
      <c r="T48" s="283"/>
    </row>
    <row r="49" spans="2:20" ht="15" customHeight="1" x14ac:dyDescent="0.2">
      <c r="B49" s="443" t="s">
        <v>454</v>
      </c>
      <c r="C49" s="443" t="str">
        <f t="shared" ca="1" si="5"/>
        <v/>
      </c>
      <c r="T49" s="283"/>
    </row>
    <row r="50" spans="2:20" ht="15" customHeight="1" x14ac:dyDescent="0.2">
      <c r="B50" s="443" t="s">
        <v>455</v>
      </c>
      <c r="C50" s="443" t="str">
        <f t="shared" ca="1" si="5"/>
        <v/>
      </c>
    </row>
    <row r="51" spans="2:20" ht="15" customHeight="1" x14ac:dyDescent="0.2">
      <c r="B51" s="443" t="s">
        <v>456</v>
      </c>
      <c r="C51" s="443"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zSBsqDHzq8W4jmAkCci0x75xbL3JEHxAAvfSJgVa2/m653QZK89E2lIID7vevToiTt2ftpBYjydhBz33Rt3L1g==" saltValue="5jnAl9+6htkQLj/4cdu/VA==" spinCount="100000" sheet="1" objects="1" scenarios="1" autoFilter="0"/>
  <customSheetViews>
    <customSheetView guid="{B08879A4-635B-4C39-9937-AC7883D562FC}" showGridLines="0" fitToPage="1" hiddenColumns="1" topLeftCell="C1">
      <selection activeCell="B12" sqref="B12"/>
      <pageMargins left="0.5" right="0.5" top="0.5" bottom="0.5" header="0.5" footer="0.25"/>
      <printOptions horizontalCentered="1"/>
      <pageSetup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5" right="0.5" top="0.5" bottom="0.5" header="0.5" footer="0.25"/>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5" right="0.5" top="0.5" bottom="0.5" header="0.5" footer="0.25"/>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rintOptions horizontalCentered="1"/>
      <pageSetup orientation="landscape" horizontalDpi="1200" verticalDpi="1200" r:id="rId4"/>
      <headerFooter alignWithMargins="0">
        <oddFooter>&amp;R&amp;A</oddFooter>
      </headerFooter>
    </customSheetView>
  </customSheetViews>
  <mergeCells count="25">
    <mergeCell ref="R1:R3"/>
    <mergeCell ref="C1:Q1"/>
    <mergeCell ref="C2:Q2"/>
    <mergeCell ref="C3:Q3"/>
    <mergeCell ref="C4:Q4"/>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C34:E34"/>
    <mergeCell ref="C32:E32"/>
    <mergeCell ref="C33:E33"/>
    <mergeCell ref="C27:E27"/>
    <mergeCell ref="C26:E26"/>
  </mergeCells>
  <phoneticPr fontId="15" type="noConversion"/>
  <conditionalFormatting sqref="R1:R3">
    <cfRule type="cellIs" dxfId="33" priority="1" stopIfTrue="1" operator="equal">
      <formula>"na"</formula>
    </cfRule>
  </conditionalFormatting>
  <hyperlinks>
    <hyperlink ref="C1" location="Index!A1" display="Index!A1" xr:uid="{00000000-0004-0000-3F00-000000000000}"/>
  </hyperlinks>
  <printOptions horizontalCentered="1"/>
  <pageMargins left="0.5" right="0.5" top="0.5" bottom="0.5" header="0.5" footer="0.25"/>
  <pageSetup orientation="landscape" r:id="rId5"/>
  <headerFooter alignWithMargins="0">
    <oddFooter>&amp;R&amp;A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C1" zoomScaleNormal="100" workbookViewId="0">
      <selection activeCell="D5" sqref="D5"/>
    </sheetView>
  </sheetViews>
  <sheetFormatPr defaultColWidth="9.42578125" defaultRowHeight="12" x14ac:dyDescent="0.2"/>
  <cols>
    <col min="1" max="2" width="9.42578125" style="330" hidden="1" customWidth="1"/>
    <col min="3" max="3" width="1.5703125" style="330" customWidth="1"/>
    <col min="4" max="4" width="6.5703125" style="330" customWidth="1"/>
    <col min="5" max="5" width="8.85546875" style="330" customWidth="1"/>
    <col min="6" max="6" width="14" style="330" customWidth="1"/>
    <col min="7" max="7" width="12.42578125" style="330" customWidth="1"/>
    <col min="8" max="8" width="1.5703125" style="330" customWidth="1"/>
    <col min="9" max="9" width="16.5703125" style="330" customWidth="1"/>
    <col min="10" max="10" width="1.5703125" style="330" customWidth="1"/>
    <col min="11" max="11" width="14.5703125" style="330" customWidth="1"/>
    <col min="12" max="12" width="1.5703125" style="330" customWidth="1"/>
    <col min="13" max="13" width="14.5703125" style="330" customWidth="1"/>
    <col min="14" max="14" width="1.5703125" style="330" customWidth="1"/>
    <col min="15" max="15" width="14.5703125" style="330" customWidth="1"/>
    <col min="16" max="16" width="1.5703125" style="330" customWidth="1"/>
    <col min="17" max="17" width="14.5703125" style="330" customWidth="1"/>
    <col min="18" max="18" width="4.5703125" style="330" customWidth="1"/>
    <col min="19" max="19" width="15.5703125" style="330" customWidth="1"/>
    <col min="20" max="16384" width="9.42578125" style="330"/>
  </cols>
  <sheetData>
    <row r="1" spans="1:19" ht="25.15" customHeight="1" x14ac:dyDescent="0.25">
      <c r="A1" s="330" t="str">
        <f t="shared" ref="A1:A31" si="0">AgyIdx</f>
        <v>01</v>
      </c>
      <c r="C1" s="2767" t="str">
        <f>+Index!$A$1</f>
        <v xml:space="preserve">                                                               Office of the State Controller                                                                </v>
      </c>
      <c r="D1" s="2767"/>
      <c r="E1" s="2767"/>
      <c r="F1" s="2767"/>
      <c r="G1" s="2767"/>
      <c r="H1" s="2767"/>
      <c r="I1" s="2767"/>
      <c r="J1" s="2767"/>
      <c r="K1" s="2767"/>
      <c r="L1" s="2767"/>
      <c r="M1" s="2767"/>
      <c r="N1" s="2767"/>
      <c r="O1" s="2767"/>
      <c r="P1" s="2767"/>
      <c r="Q1" s="2767"/>
      <c r="R1" s="1423" t="str">
        <f>IF(Index!$B$90="na","NA","")</f>
        <v/>
      </c>
    </row>
    <row r="2" spans="1:19" ht="15.6" customHeight="1" x14ac:dyDescent="0.25">
      <c r="A2" s="330" t="str">
        <f t="shared" si="0"/>
        <v>01</v>
      </c>
      <c r="C2" s="3235" t="str">
        <f>+Index!$A$2</f>
        <v>2022 ACFR Worksheets</v>
      </c>
      <c r="D2" s="3235"/>
      <c r="E2" s="3235"/>
      <c r="F2" s="3235"/>
      <c r="G2" s="3235"/>
      <c r="H2" s="3235"/>
      <c r="I2" s="3235"/>
      <c r="J2" s="3235"/>
      <c r="K2" s="3235"/>
      <c r="L2" s="3235"/>
      <c r="M2" s="3235"/>
      <c r="N2" s="3235"/>
      <c r="O2" s="3235"/>
      <c r="P2" s="3235"/>
      <c r="Q2" s="3235"/>
      <c r="R2" s="1423"/>
    </row>
    <row r="3" spans="1:19" ht="15.6" customHeight="1" x14ac:dyDescent="0.25">
      <c r="A3" s="330" t="str">
        <f t="shared" si="0"/>
        <v>01</v>
      </c>
      <c r="C3" s="2749" t="s">
        <v>1075</v>
      </c>
      <c r="D3" s="2749"/>
      <c r="E3" s="2749"/>
      <c r="F3" s="2749"/>
      <c r="G3" s="2749"/>
      <c r="H3" s="2749"/>
      <c r="I3" s="2749"/>
      <c r="J3" s="2749"/>
      <c r="K3" s="2749"/>
      <c r="L3" s="2749"/>
      <c r="M3" s="2749"/>
      <c r="N3" s="2749"/>
      <c r="O3" s="2749"/>
      <c r="P3" s="2749"/>
      <c r="Q3" s="2749"/>
      <c r="R3" s="1423"/>
    </row>
    <row r="4" spans="1:19" ht="15.6" customHeight="1" x14ac:dyDescent="0.25">
      <c r="A4" s="330" t="str">
        <f t="shared" si="0"/>
        <v>01</v>
      </c>
      <c r="C4" s="2749" t="s">
        <v>3602</v>
      </c>
      <c r="D4" s="2749"/>
      <c r="E4" s="2749"/>
      <c r="F4" s="2749"/>
      <c r="G4" s="2749"/>
      <c r="H4" s="2749"/>
      <c r="I4" s="2749"/>
      <c r="J4" s="2749"/>
      <c r="K4" s="2749"/>
      <c r="L4" s="2749"/>
      <c r="M4" s="2749"/>
      <c r="N4" s="2749"/>
      <c r="O4" s="2749"/>
      <c r="P4" s="2749"/>
      <c r="Q4" s="2749"/>
      <c r="R4" s="281"/>
    </row>
    <row r="5" spans="1:19" ht="13.35" customHeight="1" x14ac:dyDescent="0.2">
      <c r="A5" s="330" t="str">
        <f t="shared" si="0"/>
        <v>01</v>
      </c>
      <c r="M5" s="430"/>
    </row>
    <row r="6" spans="1:19" ht="14.85" customHeight="1" x14ac:dyDescent="0.2">
      <c r="A6" s="330" t="str">
        <f t="shared" si="0"/>
        <v>01</v>
      </c>
      <c r="K6" s="9" t="s">
        <v>327</v>
      </c>
      <c r="M6" s="3256" t="str">
        <f>+Index!$E$10</f>
        <v>01</v>
      </c>
      <c r="N6" s="3257"/>
      <c r="O6" s="3257"/>
      <c r="P6" s="3257"/>
      <c r="Q6" s="3257"/>
    </row>
    <row r="7" spans="1:19" ht="14.85" customHeight="1" x14ac:dyDescent="0.2">
      <c r="A7" s="330" t="str">
        <f t="shared" si="0"/>
        <v>01</v>
      </c>
      <c r="K7" s="9" t="s">
        <v>1154</v>
      </c>
      <c r="M7" s="3258" t="str">
        <f>+Index!$E$11</f>
        <v>North Carolina General Assembly</v>
      </c>
      <c r="N7" s="3258"/>
      <c r="O7" s="3258"/>
      <c r="P7" s="3258"/>
      <c r="Q7" s="3258"/>
    </row>
    <row r="8" spans="1:19" ht="14.85" customHeight="1" x14ac:dyDescent="0.2">
      <c r="A8" s="330" t="str">
        <f t="shared" si="0"/>
        <v>01</v>
      </c>
      <c r="C8" s="8" t="s">
        <v>477</v>
      </c>
      <c r="F8" s="3251" t="s">
        <v>971</v>
      </c>
      <c r="G8" s="3251"/>
      <c r="K8" s="9" t="s">
        <v>972</v>
      </c>
      <c r="M8" s="3259" t="str">
        <f>CONCATENATE(Index!$E$12," ",Index!$E$14)</f>
        <v xml:space="preserve"> </v>
      </c>
      <c r="N8" s="3259"/>
      <c r="O8" s="3259"/>
      <c r="P8" s="3259"/>
      <c r="Q8" s="3259"/>
    </row>
    <row r="9" spans="1:19" ht="14.85" customHeight="1" x14ac:dyDescent="0.2">
      <c r="A9" s="330" t="str">
        <f t="shared" si="0"/>
        <v>01</v>
      </c>
      <c r="C9" s="8"/>
      <c r="F9" s="357"/>
      <c r="G9" s="357"/>
      <c r="K9" s="9" t="s">
        <v>348</v>
      </c>
      <c r="M9" s="3260">
        <f>+Index!$E$13</f>
        <v>0</v>
      </c>
      <c r="N9" s="3260"/>
      <c r="O9" s="3260"/>
      <c r="P9" s="3260"/>
      <c r="Q9" s="3260"/>
    </row>
    <row r="10" spans="1:19" ht="12.75" customHeight="1" thickBot="1" x14ac:dyDescent="0.25">
      <c r="A10" s="330" t="str">
        <f t="shared" si="0"/>
        <v>01</v>
      </c>
      <c r="C10" s="331"/>
      <c r="D10" s="332"/>
      <c r="E10" s="332"/>
      <c r="F10" s="333"/>
      <c r="G10" s="333"/>
      <c r="H10" s="333"/>
      <c r="I10" s="333"/>
      <c r="J10" s="333"/>
      <c r="K10" s="334"/>
      <c r="L10" s="333"/>
      <c r="M10" s="333"/>
      <c r="N10" s="333"/>
      <c r="O10" s="333"/>
      <c r="P10" s="333"/>
      <c r="Q10" s="333"/>
    </row>
    <row r="11" spans="1:19" ht="12.6" customHeight="1" x14ac:dyDescent="0.2">
      <c r="A11" s="330" t="str">
        <f t="shared" si="0"/>
        <v>01</v>
      </c>
    </row>
    <row r="12" spans="1:19" ht="10.35" customHeight="1" x14ac:dyDescent="0.2">
      <c r="A12" s="330" t="str">
        <f t="shared" si="0"/>
        <v>01</v>
      </c>
      <c r="D12" s="335"/>
      <c r="E12" s="335"/>
      <c r="F12" s="335"/>
      <c r="G12" s="335"/>
      <c r="H12" s="335"/>
      <c r="I12" s="335"/>
      <c r="J12" s="335"/>
      <c r="K12" s="3254" t="s">
        <v>215</v>
      </c>
      <c r="L12" s="3254"/>
      <c r="M12" s="3254"/>
      <c r="N12" s="3254"/>
      <c r="O12" s="3254"/>
      <c r="P12" s="3254"/>
      <c r="Q12" s="3254"/>
      <c r="R12" s="335"/>
    </row>
    <row r="13" spans="1:19" ht="11.85" customHeight="1" x14ac:dyDescent="0.2">
      <c r="A13" s="330" t="str">
        <f t="shared" si="0"/>
        <v>01</v>
      </c>
      <c r="C13" s="3254" t="s">
        <v>70</v>
      </c>
      <c r="D13" s="3254"/>
      <c r="E13" s="3254"/>
      <c r="F13" s="3254"/>
      <c r="G13" s="3254"/>
      <c r="H13" s="335"/>
      <c r="I13" s="336" t="s">
        <v>1158</v>
      </c>
      <c r="J13" s="337"/>
      <c r="K13" s="336" t="s">
        <v>71</v>
      </c>
      <c r="L13" s="337"/>
      <c r="M13" s="336" t="s">
        <v>72</v>
      </c>
      <c r="N13" s="337"/>
      <c r="O13" s="336" t="s">
        <v>73</v>
      </c>
      <c r="P13" s="337"/>
      <c r="Q13" s="336" t="s">
        <v>74</v>
      </c>
      <c r="R13" s="335"/>
      <c r="S13" s="792" t="s">
        <v>1680</v>
      </c>
    </row>
    <row r="14" spans="1:19" ht="9.6" customHeight="1" x14ac:dyDescent="0.2">
      <c r="A14" s="330" t="str">
        <f t="shared" si="0"/>
        <v>01</v>
      </c>
      <c r="C14" s="337"/>
      <c r="D14" s="337"/>
      <c r="E14" s="337"/>
      <c r="F14" s="337"/>
      <c r="G14" s="337"/>
      <c r="H14" s="335"/>
      <c r="I14" s="348" t="s">
        <v>118</v>
      </c>
      <c r="J14" s="348"/>
      <c r="K14" s="348" t="s">
        <v>119</v>
      </c>
      <c r="L14" s="348"/>
      <c r="M14" s="348" t="s">
        <v>996</v>
      </c>
      <c r="N14" s="348"/>
      <c r="O14" s="348" t="s">
        <v>997</v>
      </c>
      <c r="P14" s="348"/>
      <c r="Q14" s="348" t="s">
        <v>998</v>
      </c>
      <c r="R14" s="335"/>
    </row>
    <row r="15" spans="1:19" ht="11.1" customHeight="1" x14ac:dyDescent="0.2">
      <c r="A15" s="330" t="str">
        <f t="shared" si="0"/>
        <v>01</v>
      </c>
      <c r="C15" s="338" t="s">
        <v>75</v>
      </c>
      <c r="D15" s="335"/>
      <c r="E15" s="335"/>
      <c r="F15" s="335"/>
      <c r="G15" s="335"/>
      <c r="H15" s="335"/>
      <c r="I15" s="335"/>
      <c r="J15" s="335"/>
      <c r="K15" s="335"/>
      <c r="L15" s="335"/>
      <c r="M15" s="335"/>
      <c r="N15" s="335"/>
      <c r="O15" s="335"/>
      <c r="P15" s="335"/>
      <c r="Q15" s="335"/>
      <c r="R15" s="335"/>
    </row>
    <row r="16" spans="1:19" ht="11.25" customHeight="1" x14ac:dyDescent="0.2">
      <c r="A16" s="330" t="str">
        <f t="shared" si="0"/>
        <v>01</v>
      </c>
      <c r="B16" s="330" t="s">
        <v>1639</v>
      </c>
      <c r="C16" s="339"/>
      <c r="D16" s="335" t="s">
        <v>1208</v>
      </c>
      <c r="E16" s="335"/>
      <c r="F16" s="335"/>
      <c r="G16" s="335"/>
      <c r="H16" s="335"/>
      <c r="I16" s="1145">
        <f ca="1">SUMIF('710'!$B$21:$B$77,D16,'710'!$K$21:$K$77)</f>
        <v>0</v>
      </c>
      <c r="J16" s="335"/>
      <c r="K16" s="615"/>
      <c r="L16" s="335"/>
      <c r="M16" s="615"/>
      <c r="N16" s="335"/>
      <c r="O16" s="615"/>
      <c r="P16" s="335"/>
      <c r="Q16" s="615"/>
      <c r="R16" s="609"/>
      <c r="S16" s="616" t="str">
        <f ca="1">IF(I16-SUM(K16:Q16)=0,"",I16-SUM(K16:Q16))</f>
        <v/>
      </c>
    </row>
    <row r="17" spans="1:19" ht="11.25" customHeight="1" x14ac:dyDescent="0.2">
      <c r="A17" s="330" t="str">
        <f t="shared" si="0"/>
        <v>01</v>
      </c>
      <c r="B17" s="330" t="s">
        <v>1640</v>
      </c>
      <c r="C17" s="339"/>
      <c r="D17" s="335" t="s">
        <v>921</v>
      </c>
      <c r="E17" s="335"/>
      <c r="F17" s="335"/>
      <c r="G17" s="335"/>
      <c r="H17" s="335"/>
      <c r="I17" s="1145">
        <f ca="1">SUMIF('710'!$B$21:$B$77,D17,'710'!$K$21:$K$77)</f>
        <v>0</v>
      </c>
      <c r="J17" s="335"/>
      <c r="K17" s="615"/>
      <c r="L17" s="335"/>
      <c r="M17" s="615"/>
      <c r="N17" s="335"/>
      <c r="O17" s="615"/>
      <c r="P17" s="335"/>
      <c r="Q17" s="615"/>
      <c r="R17" s="609"/>
      <c r="S17" s="616" t="str">
        <f t="shared" ref="S17:S35" ca="1" si="1">IF(I17-SUM(K17:Q17)=0,"",I17-SUM(K17:Q17))</f>
        <v/>
      </c>
    </row>
    <row r="18" spans="1:19" ht="11.25" customHeight="1" x14ac:dyDescent="0.2">
      <c r="A18" s="330" t="str">
        <f t="shared" si="0"/>
        <v>01</v>
      </c>
      <c r="B18" s="330" t="s">
        <v>1641</v>
      </c>
      <c r="C18" s="339"/>
      <c r="D18" s="335" t="s">
        <v>1851</v>
      </c>
      <c r="E18" s="335"/>
      <c r="F18" s="335"/>
      <c r="G18" s="335"/>
      <c r="H18" s="335"/>
      <c r="I18" s="1145">
        <f ca="1">SUMIF('710'!$B$21:$B$77,D18,'710'!$K$21:$K$77)</f>
        <v>0</v>
      </c>
      <c r="J18" s="335"/>
      <c r="K18" s="615"/>
      <c r="L18" s="335"/>
      <c r="M18" s="615"/>
      <c r="N18" s="335"/>
      <c r="O18" s="615"/>
      <c r="P18" s="335"/>
      <c r="Q18" s="615"/>
      <c r="R18" s="609"/>
      <c r="S18" s="616" t="str">
        <f t="shared" ca="1" si="1"/>
        <v/>
      </c>
    </row>
    <row r="19" spans="1:19" ht="11.25" customHeight="1" x14ac:dyDescent="0.2">
      <c r="A19" s="330" t="str">
        <f t="shared" si="0"/>
        <v>01</v>
      </c>
      <c r="B19" s="330" t="s">
        <v>1642</v>
      </c>
      <c r="C19" s="339"/>
      <c r="D19" s="335" t="s">
        <v>1852</v>
      </c>
      <c r="E19" s="335"/>
      <c r="G19" s="335"/>
      <c r="H19" s="335"/>
      <c r="I19" s="1145">
        <f ca="1">SUMIF('710'!$B$21:$B$77,D19,'710'!$K$21:$K$77)</f>
        <v>0</v>
      </c>
      <c r="J19" s="335"/>
      <c r="K19" s="615"/>
      <c r="L19" s="335"/>
      <c r="M19" s="615"/>
      <c r="N19" s="335"/>
      <c r="O19" s="615"/>
      <c r="P19" s="335"/>
      <c r="Q19" s="615"/>
      <c r="R19" s="609"/>
      <c r="S19" s="616" t="str">
        <f t="shared" ca="1" si="1"/>
        <v/>
      </c>
    </row>
    <row r="20" spans="1:19" ht="11.25" customHeight="1" x14ac:dyDescent="0.2">
      <c r="A20" s="330" t="str">
        <f t="shared" si="0"/>
        <v>01</v>
      </c>
      <c r="B20" s="330" t="s">
        <v>1643</v>
      </c>
      <c r="C20" s="339"/>
      <c r="D20" s="335" t="s">
        <v>1853</v>
      </c>
      <c r="E20" s="335"/>
      <c r="F20" s="335"/>
      <c r="G20" s="335"/>
      <c r="H20" s="335"/>
      <c r="I20" s="1145">
        <f ca="1">SUMIF('710'!$B$21:$B$77,D20,'710'!$K$21:$K$77)</f>
        <v>0</v>
      </c>
      <c r="J20" s="335"/>
      <c r="K20" s="615"/>
      <c r="L20" s="335"/>
      <c r="M20" s="615"/>
      <c r="N20" s="335"/>
      <c r="O20" s="615"/>
      <c r="P20" s="335"/>
      <c r="Q20" s="615"/>
      <c r="R20" s="609"/>
      <c r="S20" s="616" t="str">
        <f t="shared" ca="1" si="1"/>
        <v/>
      </c>
    </row>
    <row r="21" spans="1:19" ht="11.25" customHeight="1" x14ac:dyDescent="0.2">
      <c r="A21" s="330" t="str">
        <f t="shared" si="0"/>
        <v>01</v>
      </c>
      <c r="B21" s="330" t="s">
        <v>1644</v>
      </c>
      <c r="C21" s="339"/>
      <c r="D21" s="335" t="s">
        <v>1854</v>
      </c>
      <c r="E21" s="335"/>
      <c r="F21" s="335"/>
      <c r="G21" s="335"/>
      <c r="H21" s="335"/>
      <c r="I21" s="1145">
        <f ca="1">SUMIF('710'!$B$21:$B$77,D21,'710'!$K$21:$K$77)</f>
        <v>0</v>
      </c>
      <c r="J21" s="335"/>
      <c r="K21" s="615"/>
      <c r="L21" s="335"/>
      <c r="M21" s="615"/>
      <c r="N21" s="335"/>
      <c r="O21" s="615"/>
      <c r="P21" s="335"/>
      <c r="Q21" s="615"/>
      <c r="R21" s="609"/>
      <c r="S21" s="616" t="str">
        <f t="shared" ca="1" si="1"/>
        <v/>
      </c>
    </row>
    <row r="22" spans="1:19" ht="11.25" customHeight="1" x14ac:dyDescent="0.2">
      <c r="A22" s="330" t="str">
        <f t="shared" si="0"/>
        <v>01</v>
      </c>
      <c r="B22" s="330" t="s">
        <v>1645</v>
      </c>
      <c r="C22" s="339"/>
      <c r="D22" s="335" t="s">
        <v>1855</v>
      </c>
      <c r="E22" s="335"/>
      <c r="F22" s="335"/>
      <c r="G22" s="335"/>
      <c r="H22" s="335"/>
      <c r="I22" s="1145">
        <f ca="1">SUMIF('710'!$B$21:$B$77,D22,'710'!$K$21:$K$77)</f>
        <v>0</v>
      </c>
      <c r="J22" s="335"/>
      <c r="K22" s="615"/>
      <c r="L22" s="335"/>
      <c r="M22" s="615"/>
      <c r="N22" s="335"/>
      <c r="O22" s="615"/>
      <c r="P22" s="335"/>
      <c r="Q22" s="615"/>
      <c r="R22" s="609"/>
      <c r="S22" s="616" t="str">
        <f t="shared" ca="1" si="1"/>
        <v/>
      </c>
    </row>
    <row r="23" spans="1:19" ht="11.25" customHeight="1" x14ac:dyDescent="0.2">
      <c r="A23" s="330" t="str">
        <f t="shared" si="0"/>
        <v>01</v>
      </c>
      <c r="B23" s="330" t="s">
        <v>1646</v>
      </c>
      <c r="C23" s="339"/>
      <c r="D23" s="313" t="s">
        <v>1856</v>
      </c>
      <c r="E23" s="335"/>
      <c r="F23" s="335"/>
      <c r="G23" s="335"/>
      <c r="H23" s="335"/>
      <c r="I23" s="1145">
        <f ca="1">SUMIF('710'!$B$21:$B$77,D23,'710'!$K$21:$K$77)</f>
        <v>0</v>
      </c>
      <c r="J23" s="335"/>
      <c r="K23" s="615"/>
      <c r="L23" s="335"/>
      <c r="M23" s="615"/>
      <c r="N23" s="335"/>
      <c r="O23" s="615"/>
      <c r="P23" s="335"/>
      <c r="Q23" s="615"/>
      <c r="R23" s="609"/>
      <c r="S23" s="616" t="str">
        <f t="shared" ca="1" si="1"/>
        <v/>
      </c>
    </row>
    <row r="24" spans="1:19" ht="11.25" customHeight="1" x14ac:dyDescent="0.2">
      <c r="A24" s="330" t="str">
        <f t="shared" si="0"/>
        <v>01</v>
      </c>
      <c r="B24" s="330" t="s">
        <v>1647</v>
      </c>
      <c r="C24" s="339"/>
      <c r="D24" s="335" t="s">
        <v>1857</v>
      </c>
      <c r="E24" s="335"/>
      <c r="F24" s="335"/>
      <c r="G24" s="335"/>
      <c r="H24" s="335"/>
      <c r="I24" s="1145">
        <f ca="1">SUMIF('710'!$B$21:$B$77,D24,'710'!$K$21:$K$77)</f>
        <v>0</v>
      </c>
      <c r="J24" s="335"/>
      <c r="K24" s="615"/>
      <c r="L24" s="335"/>
      <c r="M24" s="615"/>
      <c r="N24" s="335"/>
      <c r="O24" s="615"/>
      <c r="P24" s="335"/>
      <c r="Q24" s="615"/>
      <c r="R24" s="609"/>
      <c r="S24" s="616" t="str">
        <f t="shared" ca="1" si="1"/>
        <v/>
      </c>
    </row>
    <row r="25" spans="1:19" ht="11.25" customHeight="1" x14ac:dyDescent="0.2">
      <c r="A25" s="330" t="str">
        <f t="shared" si="0"/>
        <v>01</v>
      </c>
      <c r="B25" s="330" t="s">
        <v>1648</v>
      </c>
      <c r="C25" s="339"/>
      <c r="D25" s="335" t="s">
        <v>655</v>
      </c>
      <c r="E25" s="335"/>
      <c r="G25" s="335"/>
      <c r="H25" s="335"/>
      <c r="I25" s="1145">
        <f ca="1">SUMIF('710'!$B$21:$B$77,D25,'710'!$K$21:$K$77)</f>
        <v>0</v>
      </c>
      <c r="J25" s="335"/>
      <c r="K25" s="615"/>
      <c r="L25" s="335"/>
      <c r="M25" s="615"/>
      <c r="N25" s="335"/>
      <c r="O25" s="615"/>
      <c r="P25" s="335"/>
      <c r="Q25" s="615"/>
      <c r="R25" s="609"/>
      <c r="S25" s="616" t="str">
        <f t="shared" ca="1" si="1"/>
        <v/>
      </c>
    </row>
    <row r="26" spans="1:19" ht="11.25" customHeight="1" x14ac:dyDescent="0.2">
      <c r="A26" s="330" t="str">
        <f t="shared" si="0"/>
        <v>01</v>
      </c>
      <c r="B26" s="330" t="s">
        <v>1649</v>
      </c>
      <c r="C26" s="339"/>
      <c r="D26" s="149" t="s">
        <v>1871</v>
      </c>
      <c r="E26" s="335"/>
      <c r="F26" s="335"/>
      <c r="G26" s="335"/>
      <c r="H26" s="335"/>
      <c r="I26" s="1145">
        <f ca="1">SUMIF('710'!$B$21:$B$77,D26,'710'!$K$21:$K$77)</f>
        <v>0</v>
      </c>
      <c r="J26" s="335"/>
      <c r="K26" s="615"/>
      <c r="L26" s="335"/>
      <c r="M26" s="615"/>
      <c r="N26" s="335"/>
      <c r="O26" s="615"/>
      <c r="P26" s="335"/>
      <c r="Q26" s="615"/>
      <c r="R26" s="609"/>
      <c r="S26" s="616" t="str">
        <f t="shared" ca="1" si="1"/>
        <v/>
      </c>
    </row>
    <row r="27" spans="1:19" ht="11.25" customHeight="1" x14ac:dyDescent="0.2">
      <c r="A27" s="330" t="str">
        <f t="shared" si="0"/>
        <v>01</v>
      </c>
      <c r="B27" s="330" t="s">
        <v>1650</v>
      </c>
      <c r="C27" s="339"/>
      <c r="D27" s="335" t="s">
        <v>1866</v>
      </c>
      <c r="E27" s="335"/>
      <c r="F27" s="347" t="s">
        <v>350</v>
      </c>
      <c r="G27" s="335"/>
      <c r="H27" s="335"/>
      <c r="I27" s="1145">
        <f ca="1">SUMIF('710'!$B$21:$B$77,D27,'710'!$K$21:$K$77)</f>
        <v>0</v>
      </c>
      <c r="J27" s="335"/>
      <c r="K27" s="615"/>
      <c r="L27" s="335"/>
      <c r="M27" s="615"/>
      <c r="N27" s="335"/>
      <c r="O27" s="615"/>
      <c r="P27" s="335"/>
      <c r="Q27" s="615"/>
      <c r="R27" s="609"/>
      <c r="S27" s="616" t="str">
        <f t="shared" ca="1" si="1"/>
        <v/>
      </c>
    </row>
    <row r="28" spans="1:19" ht="11.25" customHeight="1" x14ac:dyDescent="0.2">
      <c r="A28" s="330" t="str">
        <f t="shared" si="0"/>
        <v>01</v>
      </c>
      <c r="B28" s="330" t="s">
        <v>1651</v>
      </c>
      <c r="C28" s="339"/>
      <c r="D28" s="335" t="s">
        <v>1877</v>
      </c>
      <c r="E28" s="335"/>
      <c r="F28" s="335"/>
      <c r="G28" s="335"/>
      <c r="H28" s="335"/>
      <c r="I28" s="1145">
        <f ca="1">SUMIF('710'!$B$21:$B$77,D28,'710'!$K$21:$K$77)</f>
        <v>0</v>
      </c>
      <c r="J28" s="335"/>
      <c r="K28" s="615"/>
      <c r="L28" s="335"/>
      <c r="M28" s="1638"/>
      <c r="N28" s="335"/>
      <c r="O28" s="1638"/>
      <c r="P28" s="335"/>
      <c r="Q28" s="1638"/>
      <c r="R28" s="609"/>
      <c r="S28" s="616" t="str">
        <f t="shared" ca="1" si="1"/>
        <v/>
      </c>
    </row>
    <row r="29" spans="1:19" ht="11.25" customHeight="1" x14ac:dyDescent="0.2">
      <c r="A29" s="330" t="str">
        <f t="shared" si="0"/>
        <v>01</v>
      </c>
      <c r="B29" s="330" t="s">
        <v>1652</v>
      </c>
      <c r="C29" s="339"/>
      <c r="D29" s="335" t="s">
        <v>1870</v>
      </c>
      <c r="E29" s="335"/>
      <c r="F29" s="335"/>
      <c r="G29" s="335"/>
      <c r="H29" s="335"/>
      <c r="I29" s="1145">
        <f ca="1">SUMIF('710'!$B$21:$B$77,D29,'710'!$K$21:$K$77)</f>
        <v>0</v>
      </c>
      <c r="J29" s="335"/>
      <c r="K29" s="615"/>
      <c r="L29" s="335"/>
      <c r="M29" s="615"/>
      <c r="N29" s="335"/>
      <c r="O29" s="615"/>
      <c r="P29" s="335"/>
      <c r="Q29" s="615"/>
      <c r="R29" s="609"/>
      <c r="S29" s="616" t="str">
        <f t="shared" ca="1" si="1"/>
        <v/>
      </c>
    </row>
    <row r="30" spans="1:19" ht="11.25" customHeight="1" x14ac:dyDescent="0.2">
      <c r="A30" s="330" t="str">
        <f t="shared" si="0"/>
        <v>01</v>
      </c>
      <c r="B30" s="330" t="s">
        <v>1653</v>
      </c>
      <c r="C30" s="339"/>
      <c r="D30" s="335" t="s">
        <v>1858</v>
      </c>
      <c r="E30" s="335"/>
      <c r="F30" s="335"/>
      <c r="G30" s="335"/>
      <c r="H30" s="335"/>
      <c r="I30" s="1145">
        <f ca="1">SUMIF('710'!$B$21:$B$77,D30,'710'!$K$21:$K$77)</f>
        <v>0</v>
      </c>
      <c r="J30" s="335"/>
      <c r="K30" s="615"/>
      <c r="L30" s="335"/>
      <c r="M30" s="615"/>
      <c r="N30" s="335"/>
      <c r="O30" s="615"/>
      <c r="P30" s="335"/>
      <c r="Q30" s="615"/>
      <c r="R30" s="609"/>
      <c r="S30" s="616" t="str">
        <f t="shared" ca="1" si="1"/>
        <v/>
      </c>
    </row>
    <row r="31" spans="1:19" ht="11.25" customHeight="1" x14ac:dyDescent="0.2">
      <c r="A31" s="330" t="str">
        <f t="shared" si="0"/>
        <v>01</v>
      </c>
      <c r="B31" s="330" t="s">
        <v>1654</v>
      </c>
      <c r="C31" s="339"/>
      <c r="D31" s="335" t="s">
        <v>1859</v>
      </c>
      <c r="E31" s="335"/>
      <c r="F31" s="335"/>
      <c r="G31" s="335"/>
      <c r="H31" s="335"/>
      <c r="I31" s="1145">
        <f ca="1">SUMIF('710'!$B$21:$B$77,D31,'710'!$K$21:$K$77)</f>
        <v>0</v>
      </c>
      <c r="J31" s="335"/>
      <c r="K31" s="615"/>
      <c r="L31" s="335"/>
      <c r="M31" s="615"/>
      <c r="N31" s="335"/>
      <c r="O31" s="615"/>
      <c r="P31" s="335"/>
      <c r="Q31" s="615"/>
      <c r="R31" s="609"/>
      <c r="S31" s="616" t="str">
        <f t="shared" ca="1" si="1"/>
        <v/>
      </c>
    </row>
    <row r="32" spans="1:19" ht="11.25" customHeight="1" x14ac:dyDescent="0.2">
      <c r="A32" s="330" t="str">
        <f t="shared" ref="A32:A58" si="2">AgyIdx</f>
        <v>01</v>
      </c>
      <c r="B32" s="330" t="s">
        <v>1655</v>
      </c>
      <c r="C32" s="339"/>
      <c r="D32" s="335" t="s">
        <v>1860</v>
      </c>
      <c r="E32" s="335"/>
      <c r="F32" s="335"/>
      <c r="G32" s="335"/>
      <c r="H32" s="335"/>
      <c r="I32" s="1145">
        <f ca="1">SUMIF('710'!$B$21:$B$77,D32,'710'!$K$21:$K$77)</f>
        <v>0</v>
      </c>
      <c r="J32" s="335"/>
      <c r="K32" s="615"/>
      <c r="L32" s="335"/>
      <c r="M32" s="615"/>
      <c r="N32" s="335"/>
      <c r="O32" s="615"/>
      <c r="P32" s="335"/>
      <c r="Q32" s="615"/>
      <c r="R32" s="609"/>
      <c r="S32" s="616" t="str">
        <f t="shared" ca="1" si="1"/>
        <v/>
      </c>
    </row>
    <row r="33" spans="1:19" ht="11.25" customHeight="1" x14ac:dyDescent="0.2">
      <c r="A33" s="330" t="str">
        <f t="shared" si="2"/>
        <v>01</v>
      </c>
      <c r="B33" s="330" t="s">
        <v>1656</v>
      </c>
      <c r="C33" s="339"/>
      <c r="D33" s="299" t="s">
        <v>1674</v>
      </c>
      <c r="E33" s="3255" t="s">
        <v>5103</v>
      </c>
      <c r="F33" s="3255"/>
      <c r="G33" s="3255"/>
      <c r="H33" s="335"/>
      <c r="I33" s="1145">
        <f ca="1">SUMIF('710'!$B$21:$B$77,D33,'710'!$K$21:$K$77)</f>
        <v>0</v>
      </c>
      <c r="J33" s="335"/>
      <c r="K33" s="615"/>
      <c r="L33" s="335"/>
      <c r="M33" s="615"/>
      <c r="N33" s="335"/>
      <c r="O33" s="615"/>
      <c r="P33" s="335"/>
      <c r="Q33" s="615"/>
      <c r="R33" s="609"/>
      <c r="S33" s="616" t="str">
        <f ca="1">IF(I33-SUM(K33:Q33)=0,"",I33-SUM(K33:Q33))</f>
        <v/>
      </c>
    </row>
    <row r="34" spans="1:19" ht="11.25" customHeight="1" thickBot="1" x14ac:dyDescent="0.25">
      <c r="A34" s="330" t="str">
        <f t="shared" si="2"/>
        <v>01</v>
      </c>
      <c r="B34" s="330" t="s">
        <v>1883</v>
      </c>
      <c r="C34" s="339"/>
      <c r="D34" s="299" t="s">
        <v>1675</v>
      </c>
      <c r="E34" s="3255" t="s">
        <v>5103</v>
      </c>
      <c r="F34" s="3255"/>
      <c r="G34" s="3255"/>
      <c r="H34" s="335"/>
      <c r="I34" s="1145">
        <f ca="1">SUMIF('710'!$B$21:$B$77,D34,'710'!$K$21:$K$77)</f>
        <v>0</v>
      </c>
      <c r="J34" s="335"/>
      <c r="K34" s="1276"/>
      <c r="L34" s="335"/>
      <c r="M34" s="1276"/>
      <c r="N34" s="335"/>
      <c r="O34" s="1276"/>
      <c r="P34" s="335"/>
      <c r="Q34" s="615"/>
      <c r="R34" s="609"/>
      <c r="S34" s="616" t="str">
        <f ca="1">IF(I34-SUM(K34:Q34)=0,"",I34-SUM(K34:Q34))</f>
        <v/>
      </c>
    </row>
    <row r="35" spans="1:19" ht="13.35" customHeight="1" thickBot="1" x14ac:dyDescent="0.3">
      <c r="A35" s="330" t="str">
        <f t="shared" si="2"/>
        <v>01</v>
      </c>
      <c r="B35" s="330" t="s">
        <v>1884</v>
      </c>
      <c r="C35" s="340" t="s">
        <v>76</v>
      </c>
      <c r="D35" s="335"/>
      <c r="E35" s="335"/>
      <c r="F35" s="335"/>
      <c r="G35" s="335"/>
      <c r="H35" s="335"/>
      <c r="I35" s="341">
        <f ca="1">SUM(I16:I34)</f>
        <v>0</v>
      </c>
      <c r="J35" s="335"/>
      <c r="K35" s="341">
        <f>SUM(K16:K34)</f>
        <v>0</v>
      </c>
      <c r="L35" s="335"/>
      <c r="M35" s="341">
        <f>SUM(M16:M34)</f>
        <v>0</v>
      </c>
      <c r="N35" s="335"/>
      <c r="O35" s="341">
        <f>SUM(O16:O34)</f>
        <v>0</v>
      </c>
      <c r="P35" s="335"/>
      <c r="Q35" s="341">
        <f>SUM(Q16:Q34)</f>
        <v>0</v>
      </c>
      <c r="R35" s="335"/>
      <c r="S35" s="616" t="str">
        <f t="shared" ca="1" si="1"/>
        <v/>
      </c>
    </row>
    <row r="36" spans="1:19" ht="12" customHeight="1" x14ac:dyDescent="0.25">
      <c r="A36" s="330" t="str">
        <f t="shared" si="2"/>
        <v>01</v>
      </c>
      <c r="C36" s="340" t="s">
        <v>77</v>
      </c>
      <c r="D36" s="335"/>
      <c r="E36" s="335"/>
      <c r="F36" s="335"/>
      <c r="G36" s="335"/>
      <c r="H36" s="335"/>
      <c r="I36" s="335"/>
      <c r="J36" s="335"/>
      <c r="K36" s="335"/>
      <c r="L36" s="335"/>
      <c r="M36" s="335"/>
      <c r="N36" s="335"/>
      <c r="O36" s="335"/>
      <c r="P36" s="335"/>
      <c r="Q36" s="335"/>
      <c r="R36" s="335"/>
    </row>
    <row r="37" spans="1:19" ht="11.25" customHeight="1" x14ac:dyDescent="0.2">
      <c r="A37" s="330" t="str">
        <f t="shared" si="2"/>
        <v>01</v>
      </c>
      <c r="B37" s="330" t="s">
        <v>1657</v>
      </c>
      <c r="C37" s="339"/>
      <c r="D37" s="149" t="s">
        <v>1865</v>
      </c>
      <c r="E37" s="335"/>
      <c r="F37" s="335"/>
      <c r="G37" s="335"/>
      <c r="H37" s="335"/>
      <c r="I37" s="1145">
        <f ca="1">SUMIF('710'!$B$21:$B$77,D37,'710'!$K$21:$K$77)</f>
        <v>0</v>
      </c>
      <c r="J37" s="335"/>
      <c r="K37" s="3252" t="s">
        <v>350</v>
      </c>
      <c r="L37" s="3253"/>
      <c r="M37" s="335" t="s">
        <v>78</v>
      </c>
      <c r="N37" s="335"/>
      <c r="O37" s="335"/>
      <c r="P37" s="335"/>
      <c r="Q37" s="335"/>
      <c r="R37" s="335"/>
    </row>
    <row r="38" spans="1:19" ht="11.25" customHeight="1" x14ac:dyDescent="0.2">
      <c r="A38" s="330" t="str">
        <f t="shared" si="2"/>
        <v>01</v>
      </c>
      <c r="B38" s="330" t="s">
        <v>1658</v>
      </c>
      <c r="C38" s="339"/>
      <c r="D38" s="335" t="s">
        <v>924</v>
      </c>
      <c r="E38" s="335"/>
      <c r="F38" s="335"/>
      <c r="G38" s="335"/>
      <c r="H38" s="335"/>
      <c r="I38" s="1145">
        <f ca="1">SUMIF('710'!$B$21:$B$77,D38,'710'!$K$21:$K$77)</f>
        <v>0</v>
      </c>
      <c r="J38" s="335"/>
      <c r="K38" s="335"/>
      <c r="L38" s="335"/>
      <c r="M38" s="335" t="s">
        <v>1211</v>
      </c>
      <c r="N38" s="335"/>
      <c r="O38" s="335"/>
      <c r="P38" s="335"/>
      <c r="Q38" s="335"/>
      <c r="R38" s="335"/>
    </row>
    <row r="39" spans="1:19" ht="11.25" customHeight="1" x14ac:dyDescent="0.2">
      <c r="A39" s="330" t="str">
        <f t="shared" si="2"/>
        <v>01</v>
      </c>
      <c r="B39" s="330" t="s">
        <v>1659</v>
      </c>
      <c r="C39" s="339"/>
      <c r="D39" s="335" t="s">
        <v>1867</v>
      </c>
      <c r="E39" s="335"/>
      <c r="F39" s="335"/>
      <c r="G39" s="335"/>
      <c r="H39" s="335"/>
      <c r="I39" s="1145">
        <f ca="1">SUMIF('710'!$B$21:$B$77,D39,'710'!$K$21:$K$77)</f>
        <v>0</v>
      </c>
      <c r="J39" s="335"/>
      <c r="K39" s="335"/>
      <c r="L39" s="335"/>
      <c r="M39" s="335" t="s">
        <v>1151</v>
      </c>
      <c r="N39" s="335"/>
      <c r="O39" s="335"/>
      <c r="P39" s="335"/>
      <c r="Q39" s="335"/>
      <c r="R39" s="335"/>
    </row>
    <row r="40" spans="1:19" ht="11.25" customHeight="1" x14ac:dyDescent="0.2">
      <c r="A40" s="330" t="str">
        <f t="shared" si="2"/>
        <v>01</v>
      </c>
      <c r="B40" s="330" t="s">
        <v>1660</v>
      </c>
      <c r="C40" s="339"/>
      <c r="D40" s="335" t="s">
        <v>1868</v>
      </c>
      <c r="E40" s="335"/>
      <c r="F40" s="335"/>
      <c r="G40" s="335"/>
      <c r="H40" s="335"/>
      <c r="I40" s="1145">
        <f ca="1">SUMIF('710'!$B$21:$B$77,D40,'710'!$K$21:$K$77)</f>
        <v>0</v>
      </c>
      <c r="J40" s="335"/>
      <c r="K40" s="335"/>
      <c r="L40" s="335"/>
      <c r="M40" s="335" t="s">
        <v>1152</v>
      </c>
      <c r="N40" s="335"/>
      <c r="O40" s="335"/>
      <c r="P40" s="335"/>
      <c r="Q40" s="335"/>
      <c r="R40" s="335"/>
    </row>
    <row r="41" spans="1:19" ht="11.25" customHeight="1" x14ac:dyDescent="0.2">
      <c r="A41" s="330" t="str">
        <f t="shared" si="2"/>
        <v>01</v>
      </c>
      <c r="B41" s="330" t="s">
        <v>1661</v>
      </c>
      <c r="C41" s="339"/>
      <c r="D41" s="335" t="s">
        <v>1869</v>
      </c>
      <c r="E41" s="335"/>
      <c r="F41" s="335"/>
      <c r="G41" s="335"/>
      <c r="H41" s="335"/>
      <c r="I41" s="1145">
        <f ca="1">SUMIF('710'!$B$21:$B$77,D41,'710'!$K$21:$K$77)</f>
        <v>0</v>
      </c>
      <c r="J41" s="335"/>
      <c r="K41" s="335"/>
      <c r="L41" s="335"/>
      <c r="M41" s="335" t="s">
        <v>4742</v>
      </c>
      <c r="N41" s="335"/>
      <c r="O41" s="335"/>
      <c r="P41" s="335"/>
      <c r="Q41" s="335"/>
      <c r="R41" s="335"/>
    </row>
    <row r="42" spans="1:19" ht="11.25" customHeight="1" x14ac:dyDescent="0.2">
      <c r="A42" s="330" t="str">
        <f t="shared" si="2"/>
        <v>01</v>
      </c>
      <c r="B42" s="330" t="s">
        <v>1662</v>
      </c>
      <c r="C42" s="339"/>
      <c r="D42" s="335" t="s">
        <v>1872</v>
      </c>
      <c r="E42" s="335"/>
      <c r="F42" s="335"/>
      <c r="G42" s="335"/>
      <c r="H42" s="335"/>
      <c r="I42" s="1145">
        <f ca="1">SUMIF('710'!$B$21:$B$77,D42,'710'!$K$21:$K$77)</f>
        <v>0</v>
      </c>
      <c r="J42" s="335"/>
      <c r="K42" s="335"/>
      <c r="L42" s="342"/>
      <c r="M42" s="335"/>
      <c r="N42" s="335"/>
      <c r="O42" s="335"/>
      <c r="P42" s="335"/>
      <c r="Q42" s="335"/>
      <c r="R42" s="335"/>
    </row>
    <row r="43" spans="1:19" ht="11.25" customHeight="1" x14ac:dyDescent="0.2">
      <c r="A43" s="330" t="str">
        <f t="shared" si="2"/>
        <v>01</v>
      </c>
      <c r="B43" s="330" t="s">
        <v>1663</v>
      </c>
      <c r="C43" s="339"/>
      <c r="D43" s="335" t="s">
        <v>1873</v>
      </c>
      <c r="E43" s="335"/>
      <c r="F43" s="335"/>
      <c r="G43" s="335"/>
      <c r="H43" s="335"/>
      <c r="I43" s="1145">
        <f ca="1">SUMIF('710'!$B$21:$B$77,D43,'710'!$K$21:$K$77)</f>
        <v>0</v>
      </c>
      <c r="J43" s="335"/>
      <c r="K43" s="335"/>
      <c r="L43" s="335"/>
      <c r="N43" s="335"/>
      <c r="O43" s="335"/>
      <c r="P43" s="335"/>
      <c r="Q43" s="335"/>
      <c r="R43" s="335"/>
    </row>
    <row r="44" spans="1:19" ht="11.25" customHeight="1" x14ac:dyDescent="0.2">
      <c r="A44" s="330" t="str">
        <f t="shared" si="2"/>
        <v>01</v>
      </c>
      <c r="B44" s="330" t="s">
        <v>1664</v>
      </c>
      <c r="C44" s="339"/>
      <c r="D44" s="335" t="s">
        <v>1874</v>
      </c>
      <c r="E44" s="335"/>
      <c r="F44" s="335"/>
      <c r="G44" s="335"/>
      <c r="H44" s="335"/>
      <c r="I44" s="1145">
        <f ca="1">SUMIF('710'!$B$21:$B$77,D44,'710'!$K$21:$K$77)</f>
        <v>0</v>
      </c>
      <c r="J44" s="335"/>
      <c r="K44" s="335"/>
      <c r="L44" s="335"/>
      <c r="M44" s="335"/>
      <c r="N44" s="335"/>
      <c r="O44" s="335"/>
      <c r="P44" s="335"/>
      <c r="Q44" s="335"/>
      <c r="R44" s="335"/>
    </row>
    <row r="45" spans="1:19" ht="11.25" customHeight="1" x14ac:dyDescent="0.2">
      <c r="A45" s="330" t="str">
        <f t="shared" si="2"/>
        <v>01</v>
      </c>
      <c r="B45" s="330" t="s">
        <v>1665</v>
      </c>
      <c r="C45" s="339"/>
      <c r="D45" s="335" t="s">
        <v>1875</v>
      </c>
      <c r="E45" s="335"/>
      <c r="F45" s="335"/>
      <c r="G45" s="335"/>
      <c r="H45" s="335"/>
      <c r="I45" s="1145">
        <f ca="1">SUMIF('710'!$B$21:$B$77,D45,'710'!$K$21:$K$77)</f>
        <v>0</v>
      </c>
      <c r="J45" s="335"/>
      <c r="K45" s="335"/>
      <c r="L45" s="335"/>
      <c r="M45" s="335"/>
      <c r="N45" s="335"/>
      <c r="O45" s="335"/>
      <c r="P45" s="335"/>
      <c r="Q45" s="335"/>
      <c r="R45" s="335"/>
    </row>
    <row r="46" spans="1:19" ht="11.25" customHeight="1" x14ac:dyDescent="0.2">
      <c r="A46" s="330" t="str">
        <f t="shared" si="2"/>
        <v>01</v>
      </c>
      <c r="B46" s="330" t="s">
        <v>1666</v>
      </c>
      <c r="C46" s="339"/>
      <c r="D46" s="335" t="s">
        <v>1876</v>
      </c>
      <c r="E46" s="335"/>
      <c r="F46" s="335"/>
      <c r="G46" s="335"/>
      <c r="H46" s="335"/>
      <c r="I46" s="1145">
        <f ca="1">SUMIF('710'!$B$21:$B$77,D46,'710'!$K$21:$K$77)</f>
        <v>0</v>
      </c>
      <c r="J46" s="335"/>
      <c r="K46" s="335"/>
      <c r="L46" s="335"/>
      <c r="M46" s="335"/>
      <c r="N46" s="335"/>
      <c r="O46" s="335"/>
      <c r="P46" s="335"/>
      <c r="Q46" s="335"/>
      <c r="R46" s="335"/>
    </row>
    <row r="47" spans="1:19" ht="11.25" customHeight="1" x14ac:dyDescent="0.2">
      <c r="A47" s="330" t="str">
        <f t="shared" si="2"/>
        <v>01</v>
      </c>
      <c r="B47" s="330" t="s">
        <v>3925</v>
      </c>
      <c r="C47" s="339"/>
      <c r="D47" s="335" t="s">
        <v>3923</v>
      </c>
      <c r="E47" s="335"/>
      <c r="F47" s="335"/>
      <c r="G47" s="335"/>
      <c r="H47" s="335"/>
      <c r="I47" s="1145">
        <f ca="1">SUMIF('710'!$B$21:$B$77,D47,'710'!$K$21:$K$77)</f>
        <v>0</v>
      </c>
      <c r="J47" s="335"/>
      <c r="K47" s="335"/>
      <c r="L47" s="335"/>
      <c r="M47" s="335"/>
      <c r="N47" s="335"/>
      <c r="O47" s="335"/>
      <c r="P47" s="335"/>
      <c r="Q47" s="335"/>
      <c r="R47" s="335"/>
    </row>
    <row r="48" spans="1:19" ht="11.25" customHeight="1" x14ac:dyDescent="0.2">
      <c r="A48" s="330" t="str">
        <f t="shared" si="2"/>
        <v>01</v>
      </c>
      <c r="B48" s="330" t="s">
        <v>1667</v>
      </c>
      <c r="C48" s="339"/>
      <c r="D48" s="149" t="s">
        <v>1297</v>
      </c>
      <c r="E48" s="335"/>
      <c r="F48" s="335"/>
      <c r="G48" s="335"/>
      <c r="H48" s="335"/>
      <c r="I48" s="1145">
        <f ca="1">SUMIF('710'!$B$21:$B$77,D48,'710'!$K$21:$K$77)</f>
        <v>0</v>
      </c>
      <c r="J48" s="335"/>
      <c r="K48" s="335"/>
      <c r="L48" s="335"/>
      <c r="M48" s="335"/>
      <c r="N48" s="335"/>
      <c r="O48" s="335"/>
      <c r="P48" s="335"/>
      <c r="Q48" s="335"/>
      <c r="R48" s="335"/>
    </row>
    <row r="49" spans="1:18" ht="11.25" customHeight="1" x14ac:dyDescent="0.2">
      <c r="A49" s="330" t="str">
        <f t="shared" si="2"/>
        <v>01</v>
      </c>
      <c r="B49" s="330" t="s">
        <v>1693</v>
      </c>
      <c r="C49" s="1169"/>
      <c r="D49" s="335" t="s">
        <v>1878</v>
      </c>
      <c r="E49" s="1170"/>
      <c r="F49" s="1170"/>
      <c r="G49" s="335"/>
      <c r="H49" s="335"/>
      <c r="I49" s="1145">
        <f ca="1">SUMIF('710'!$B$21:$B$77,D49,'710'!$K$21:$K$77)</f>
        <v>0</v>
      </c>
      <c r="J49" s="335"/>
      <c r="K49" s="335"/>
      <c r="L49" s="335"/>
      <c r="M49" s="335"/>
      <c r="N49" s="335"/>
      <c r="O49" s="335"/>
      <c r="P49" s="335"/>
      <c r="Q49" s="335"/>
      <c r="R49" s="335"/>
    </row>
    <row r="50" spans="1:18" ht="11.25" customHeight="1" x14ac:dyDescent="0.2">
      <c r="A50" s="330" t="str">
        <f t="shared" si="2"/>
        <v>01</v>
      </c>
      <c r="B50" s="330" t="s">
        <v>1668</v>
      </c>
      <c r="C50" s="339"/>
      <c r="D50" s="149" t="s">
        <v>1861</v>
      </c>
      <c r="E50" s="335"/>
      <c r="F50" s="335"/>
      <c r="G50" s="335"/>
      <c r="H50" s="335"/>
      <c r="I50" s="1145">
        <f ca="1">SUMIF('710'!$B$21:$B$77,D50,'710'!$K$21:$K$77)</f>
        <v>0</v>
      </c>
      <c r="J50" s="335"/>
      <c r="K50" s="335"/>
      <c r="L50" s="335"/>
      <c r="M50" s="335"/>
      <c r="N50" s="335"/>
      <c r="O50" s="335"/>
      <c r="P50" s="335"/>
      <c r="Q50" s="335"/>
      <c r="R50" s="335"/>
    </row>
    <row r="51" spans="1:18" ht="11.25" customHeight="1" x14ac:dyDescent="0.2">
      <c r="A51" s="330" t="str">
        <f t="shared" si="2"/>
        <v>01</v>
      </c>
      <c r="B51" s="330" t="s">
        <v>1669</v>
      </c>
      <c r="C51" s="339"/>
      <c r="D51" s="335" t="s">
        <v>1862</v>
      </c>
      <c r="E51" s="335"/>
      <c r="F51" s="335"/>
      <c r="G51" s="335"/>
      <c r="H51" s="335"/>
      <c r="I51" s="1145">
        <f ca="1">SUMIF('710'!$B$21:$B$77,D51,'710'!$K$21:$K$77)</f>
        <v>0</v>
      </c>
      <c r="J51" s="335"/>
      <c r="K51" s="335"/>
      <c r="L51" s="335"/>
      <c r="M51" s="335"/>
      <c r="N51" s="335"/>
      <c r="O51" s="335"/>
      <c r="P51" s="335"/>
      <c r="Q51" s="335"/>
      <c r="R51" s="335"/>
    </row>
    <row r="52" spans="1:18" ht="11.25" customHeight="1" x14ac:dyDescent="0.2">
      <c r="A52" s="330" t="str">
        <f t="shared" si="2"/>
        <v>01</v>
      </c>
      <c r="B52" s="330" t="s">
        <v>1670</v>
      </c>
      <c r="C52" s="339"/>
      <c r="D52" s="149" t="s">
        <v>1676</v>
      </c>
      <c r="E52" s="3255" t="s">
        <v>5103</v>
      </c>
      <c r="F52" s="3255"/>
      <c r="G52" s="3255"/>
      <c r="H52" s="335"/>
      <c r="I52" s="1145">
        <f ca="1">SUMIF('710'!$B$21:$B$77,D52,'710'!$K$21:$K$77)</f>
        <v>0</v>
      </c>
      <c r="J52" s="335"/>
      <c r="K52" s="335"/>
      <c r="L52" s="335"/>
      <c r="M52" s="335"/>
      <c r="N52" s="335"/>
      <c r="O52" s="335"/>
      <c r="P52" s="335"/>
      <c r="Q52" s="335"/>
      <c r="R52" s="335"/>
    </row>
    <row r="53" spans="1:18" ht="11.25" customHeight="1" x14ac:dyDescent="0.2">
      <c r="A53" s="330" t="str">
        <f t="shared" si="2"/>
        <v>01</v>
      </c>
      <c r="B53" s="330" t="s">
        <v>1671</v>
      </c>
      <c r="C53" s="339"/>
      <c r="D53" s="149" t="s">
        <v>1677</v>
      </c>
      <c r="E53" s="3255" t="s">
        <v>5103</v>
      </c>
      <c r="F53" s="3255"/>
      <c r="G53" s="3255"/>
      <c r="H53" s="335"/>
      <c r="I53" s="1145">
        <f ca="1">SUMIF('710'!$B$21:$B$77,D53,'710'!$K$21:$K$77)</f>
        <v>0</v>
      </c>
      <c r="J53" s="335"/>
      <c r="K53" s="335"/>
      <c r="L53" s="335"/>
      <c r="M53" s="335"/>
      <c r="N53" s="335"/>
      <c r="O53" s="335"/>
      <c r="P53" s="335"/>
      <c r="Q53" s="335"/>
      <c r="R53" s="335"/>
    </row>
    <row r="54" spans="1:18" ht="11.25" customHeight="1" x14ac:dyDescent="0.2">
      <c r="A54" s="330" t="str">
        <f t="shared" si="2"/>
        <v>01</v>
      </c>
      <c r="B54" s="330" t="s">
        <v>1672</v>
      </c>
      <c r="C54" s="339"/>
      <c r="D54" s="149" t="s">
        <v>1960</v>
      </c>
      <c r="E54" s="3255" t="s">
        <v>5103</v>
      </c>
      <c r="F54" s="3255"/>
      <c r="G54" s="3255"/>
      <c r="H54" s="335"/>
      <c r="I54" s="1145">
        <f ca="1">SUMIF('710'!$B$21:$B$77,D54,'710'!$K$21:$K$77)</f>
        <v>0</v>
      </c>
      <c r="J54" s="335"/>
      <c r="K54" s="335"/>
      <c r="L54" s="335"/>
      <c r="M54" s="335"/>
      <c r="N54" s="335"/>
      <c r="O54" s="335"/>
      <c r="P54" s="335"/>
      <c r="Q54" s="335"/>
      <c r="R54" s="335"/>
    </row>
    <row r="55" spans="1:18" ht="11.25" customHeight="1" x14ac:dyDescent="0.2">
      <c r="A55" s="330" t="str">
        <f t="shared" si="2"/>
        <v>01</v>
      </c>
      <c r="B55" s="330" t="s">
        <v>1678</v>
      </c>
      <c r="C55" s="339"/>
      <c r="D55" s="149" t="s">
        <v>1961</v>
      </c>
      <c r="E55" s="3255" t="s">
        <v>5103</v>
      </c>
      <c r="F55" s="3255"/>
      <c r="G55" s="3255"/>
      <c r="H55" s="335"/>
      <c r="I55" s="1145">
        <f ca="1">SUMIF('710'!$B$21:$B$77,D55,'710'!$K$21:$K$77)</f>
        <v>0</v>
      </c>
      <c r="J55" s="335"/>
      <c r="K55" s="335"/>
      <c r="L55" s="335"/>
      <c r="M55" s="335"/>
      <c r="N55" s="335"/>
      <c r="O55" s="335"/>
      <c r="P55" s="335"/>
      <c r="Q55" s="335"/>
      <c r="R55" s="335"/>
    </row>
    <row r="56" spans="1:18" ht="16.350000000000001" customHeight="1" thickBot="1" x14ac:dyDescent="0.3">
      <c r="A56" s="330" t="str">
        <f t="shared" si="2"/>
        <v>01</v>
      </c>
      <c r="B56" s="330" t="s">
        <v>1679</v>
      </c>
      <c r="C56" s="343" t="s">
        <v>155</v>
      </c>
      <c r="D56" s="335"/>
      <c r="E56" s="335"/>
      <c r="F56" s="335"/>
      <c r="G56" s="335"/>
      <c r="H56" s="335"/>
      <c r="I56" s="1146">
        <f ca="1">I35+SUM(I37:I55)</f>
        <v>0</v>
      </c>
      <c r="J56" s="335"/>
      <c r="K56" s="1437" t="s">
        <v>3719</v>
      </c>
      <c r="L56" s="335"/>
      <c r="M56" s="335"/>
      <c r="N56" s="335"/>
      <c r="O56" s="335"/>
      <c r="P56" s="335"/>
      <c r="Q56" s="335"/>
      <c r="R56" s="335"/>
    </row>
    <row r="57" spans="1:18" ht="6" customHeight="1" thickTop="1" x14ac:dyDescent="0.2">
      <c r="A57" s="330" t="str">
        <f t="shared" si="2"/>
        <v>01</v>
      </c>
      <c r="C57" s="335"/>
      <c r="D57" s="335"/>
      <c r="E57" s="335"/>
      <c r="F57" s="335"/>
      <c r="G57" s="335"/>
    </row>
    <row r="58" spans="1:18" ht="12" customHeight="1" x14ac:dyDescent="0.2">
      <c r="A58" s="330" t="str">
        <f t="shared" si="2"/>
        <v>01</v>
      </c>
      <c r="C58" s="344"/>
      <c r="D58" s="335"/>
      <c r="E58" s="335"/>
      <c r="F58" s="335"/>
      <c r="G58" s="335"/>
      <c r="I58" s="387">
        <f ca="1">I56-'710'!K70</f>
        <v>0</v>
      </c>
      <c r="K58" s="330" t="str">
        <f ca="1">IF(I58=0,"","Error")</f>
        <v/>
      </c>
    </row>
  </sheetData>
  <sheetProtection algorithmName="SHA-512" hashValue="5XmKZNZwe0kZubdH9k2T6xEKuVQeoaLBRWnZYhIuCIeRYUHp5W8i4fWnEcB2lrHzLpZoIb+8x+tjmAsyeBNSXg==" saltValue="dfwgZgWZEjgVVtkOK7oxyA==" spinCount="100000" sheet="1" objects="1" scenarios="1" autoFilter="0"/>
  <customSheetViews>
    <customSheetView guid="{B08879A4-635B-4C39-9937-AC7883D562FC}" showGridLines="0" fitToPage="1">
      <pane xSplit="7" ySplit="13" topLeftCell="H26" activePane="bottomRight" state="frozen"/>
      <selection pane="bottomRight" activeCell="D50" sqref="D50"/>
      <pageMargins left="0.5" right="0.5" top="0.5" bottom="0.5" header="0.5" footer="0.25"/>
      <pageSetup scale="80" orientation="landscape" r:id="rId1"/>
      <headerFooter alignWithMargins="0">
        <oddFooter>&amp;R&amp;A</oddFooter>
      </headerFooter>
    </customSheetView>
    <customSheetView guid="{1250FD07-FF56-4A9D-AF9E-C27124A7EBE9}" showGridLines="0" fitToPage="1" showRuler="0" topLeftCell="A13">
      <selection sqref="A1:O1"/>
      <pageMargins left="0.5" right="0.5" top="0.5" bottom="0.5" header="0.5" footer="0.25"/>
      <pageSetup orientation="landscape" r:id="rId2"/>
      <headerFooter alignWithMargins="0">
        <oddFooter>&amp;R&amp;A</oddFooter>
      </headerFooter>
    </customSheetView>
    <customSheetView guid="{BEA4BE86-04D1-4C96-9358-7A260B9D2B2D}" showGridLines="0" fitToPage="1" showRuler="0" topLeftCell="A13">
      <selection sqref="A1:O1"/>
      <pageMargins left="0.5" right="0.5" top="0.5" bottom="0.5" header="0.5" footer="0.25"/>
      <pageSetup orientation="landscape" r:id="rId3"/>
      <headerFooter alignWithMargins="0">
        <oddFooter>&amp;R&amp;A</oddFooter>
      </headerFooter>
    </customSheetView>
    <customSheetView guid="{9FCFC836-1CA5-48BF-958D-24D2EA94B219}" showGridLines="0" fitToPage="1">
      <pane xSplit="7" ySplit="13" topLeftCell="H26" activePane="bottomRight" state="frozen"/>
      <selection pane="bottomRight" activeCell="D50" sqref="D50"/>
      <pageMargins left="0.5" right="0.5" top="0.5" bottom="0.5" header="0.5" footer="0.25"/>
      <pageSetup scale="80" orientation="landscape" r:id="rId4"/>
      <headerFooter alignWithMargins="0">
        <oddFooter>&amp;R&amp;A</oddFooter>
      </headerFooter>
    </customSheetView>
  </customSheetViews>
  <mergeCells count="18">
    <mergeCell ref="E54:G54"/>
    <mergeCell ref="E55:G55"/>
    <mergeCell ref="M6:Q6"/>
    <mergeCell ref="M7:Q7"/>
    <mergeCell ref="M8:Q8"/>
    <mergeCell ref="M9:Q9"/>
    <mergeCell ref="E33:G33"/>
    <mergeCell ref="E34:G34"/>
    <mergeCell ref="E52:G52"/>
    <mergeCell ref="E53:G53"/>
    <mergeCell ref="C4:Q4"/>
    <mergeCell ref="F8:G8"/>
    <mergeCell ref="K37:L37"/>
    <mergeCell ref="C1:Q1"/>
    <mergeCell ref="C2:Q2"/>
    <mergeCell ref="C3:Q3"/>
    <mergeCell ref="C13:G13"/>
    <mergeCell ref="K12:Q12"/>
  </mergeCells>
  <phoneticPr fontId="15" type="noConversion"/>
  <conditionalFormatting sqref="R1:R3">
    <cfRule type="cellIs" dxfId="32" priority="1" stopIfTrue="1" operator="equal">
      <formula>"na"</formula>
    </cfRule>
  </conditionalFormatting>
  <hyperlinks>
    <hyperlink ref="C1:Q1" location="Index!A1" display="Office of the State Controller" xr:uid="{00000000-0004-0000-4000-000000000000}"/>
  </hyperlinks>
  <pageMargins left="0.5" right="0.5" top="0.5" bottom="0.5" header="0.5" footer="0.25"/>
  <pageSetup scale="80" orientation="landscape" r:id="rId5"/>
  <headerFooter alignWithMargins="0">
    <oddFooter>&amp;R&amp;A</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Notes!$X$3:$X$6</xm:f>
          </x14:formula1>
          <xm:sqref>E33:E34</xm:sqref>
        </x14:dataValidation>
        <x14:dataValidation type="list" allowBlank="1" showInputMessage="1" showErrorMessage="1" xr:uid="{9C257846-E437-4316-9D1B-A7DD57D677BD}">
          <x14:formula1>
            <xm:f>Notes!$X$10:$X$20</xm:f>
          </x14:formula1>
          <xm:sqref>E52:G55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workbookViewId="0">
      <selection activeCell="C4" sqref="C4:Q4"/>
    </sheetView>
  </sheetViews>
  <sheetFormatPr defaultColWidth="9.42578125" defaultRowHeight="11.25" x14ac:dyDescent="0.2"/>
  <cols>
    <col min="1" max="1" width="5.42578125" style="337" hidden="1" customWidth="1"/>
    <col min="2" max="2" width="12.5703125" style="337" hidden="1" customWidth="1"/>
    <col min="3" max="3" width="2" style="335" customWidth="1"/>
    <col min="4" max="4" width="6.5703125" style="335" customWidth="1"/>
    <col min="5" max="5" width="28.85546875" style="335" customWidth="1"/>
    <col min="6" max="6" width="14.42578125" style="335" customWidth="1"/>
    <col min="7" max="7" width="0.5703125" style="335" customWidth="1"/>
    <col min="8" max="8" width="14.42578125" style="335" customWidth="1"/>
    <col min="9" max="9" width="0.5703125" style="335" customWidth="1"/>
    <col min="10" max="10" width="14.42578125" style="335" customWidth="1"/>
    <col min="11" max="11" width="0.5703125" style="335" customWidth="1"/>
    <col min="12" max="12" width="14.42578125" style="335" customWidth="1"/>
    <col min="13" max="13" width="0.5703125" style="335" customWidth="1"/>
    <col min="14" max="14" width="13" style="335" customWidth="1"/>
    <col min="15" max="15" width="0.5703125" style="335" customWidth="1"/>
    <col min="16" max="16" width="12.42578125" style="335" customWidth="1"/>
    <col min="17" max="17" width="0.5703125" style="335" customWidth="1"/>
    <col min="18" max="18" width="12.5703125" style="335" customWidth="1"/>
    <col min="19" max="19" width="16.5703125" style="335" customWidth="1"/>
    <col min="20" max="20" width="4.5703125" style="335" customWidth="1"/>
    <col min="21" max="24" width="9.42578125" style="335"/>
    <col min="25" max="25" width="9.42578125" style="2288"/>
    <col min="26" max="26" width="9.42578125" style="2298"/>
    <col min="27" max="16384" width="9.42578125" style="335"/>
  </cols>
  <sheetData>
    <row r="1" spans="1:26" ht="15.75" x14ac:dyDescent="0.25">
      <c r="A1" s="353" t="str">
        <f>AgyIdx</f>
        <v>01</v>
      </c>
      <c r="C1" s="2767" t="str">
        <f>+Index!$A$1</f>
        <v xml:space="preserve">                                                               Office of the State Controller                                                                </v>
      </c>
      <c r="D1" s="2767"/>
      <c r="E1" s="2767"/>
      <c r="F1" s="2767"/>
      <c r="G1" s="2767"/>
      <c r="H1" s="2767"/>
      <c r="I1" s="2767"/>
      <c r="J1" s="2767"/>
      <c r="K1" s="2767"/>
      <c r="L1" s="2767"/>
      <c r="M1" s="2767"/>
      <c r="N1" s="2767"/>
      <c r="O1" s="2767"/>
      <c r="P1" s="2767"/>
      <c r="Q1" s="2767"/>
      <c r="R1" s="2767"/>
      <c r="S1" s="1423"/>
      <c r="T1" s="395"/>
      <c r="U1" s="395"/>
      <c r="V1" s="395"/>
      <c r="Z1" s="2288" t="s">
        <v>5109</v>
      </c>
    </row>
    <row r="2" spans="1:26" ht="15.75" x14ac:dyDescent="0.25">
      <c r="A2" s="337" t="str">
        <f t="shared" ref="A2:A33" si="0">AgyIdx</f>
        <v>01</v>
      </c>
      <c r="C2" s="2749" t="str">
        <f>+Index!$A$2</f>
        <v>2022 ACFR Worksheets</v>
      </c>
      <c r="D2" s="2749"/>
      <c r="E2" s="2749"/>
      <c r="F2" s="2749"/>
      <c r="G2" s="2749"/>
      <c r="H2" s="2749"/>
      <c r="I2" s="2749"/>
      <c r="J2" s="2749"/>
      <c r="K2" s="2749"/>
      <c r="L2" s="2749"/>
      <c r="M2" s="2749"/>
      <c r="N2" s="2749"/>
      <c r="O2" s="2749"/>
      <c r="P2" s="2749"/>
      <c r="Q2" s="2749"/>
      <c r="R2" s="2749"/>
      <c r="S2" s="1423"/>
    </row>
    <row r="3" spans="1:26" ht="15.75" x14ac:dyDescent="0.25">
      <c r="A3" s="337" t="str">
        <f t="shared" si="0"/>
        <v>01</v>
      </c>
      <c r="C3" s="2749" t="s">
        <v>1075</v>
      </c>
      <c r="D3" s="2749"/>
      <c r="E3" s="2749"/>
      <c r="F3" s="2749"/>
      <c r="G3" s="2749"/>
      <c r="H3" s="2749"/>
      <c r="I3" s="2749"/>
      <c r="J3" s="2749"/>
      <c r="K3" s="2749"/>
      <c r="L3" s="2749"/>
      <c r="M3" s="2749"/>
      <c r="N3" s="2749"/>
      <c r="O3" s="2749"/>
      <c r="P3" s="2749"/>
      <c r="Q3" s="2749"/>
      <c r="R3" s="2749"/>
      <c r="S3" s="1423"/>
    </row>
    <row r="4" spans="1:26" ht="15.75" x14ac:dyDescent="0.25">
      <c r="A4" s="337" t="str">
        <f t="shared" si="0"/>
        <v>01</v>
      </c>
      <c r="C4" s="2749" t="s">
        <v>3613</v>
      </c>
      <c r="D4" s="2749"/>
      <c r="E4" s="2749"/>
      <c r="F4" s="2749"/>
      <c r="G4" s="2749"/>
      <c r="H4" s="2749"/>
      <c r="I4" s="2749"/>
      <c r="J4" s="2749"/>
      <c r="K4" s="2749"/>
      <c r="L4" s="2749"/>
      <c r="M4" s="2749"/>
      <c r="N4" s="2749"/>
      <c r="O4" s="2749"/>
      <c r="P4" s="2749"/>
      <c r="Q4" s="2749"/>
      <c r="R4" s="2652" t="str">
        <f>IF(Index!$B$91="na","NA","")</f>
        <v/>
      </c>
      <c r="S4" s="281"/>
    </row>
    <row r="5" spans="1:26" ht="15.75" customHeight="1" x14ac:dyDescent="0.2">
      <c r="A5" s="337" t="str">
        <f t="shared" si="0"/>
        <v>01</v>
      </c>
      <c r="N5" s="430"/>
      <c r="R5" s="2652"/>
    </row>
    <row r="6" spans="1:26" ht="14.1" customHeight="1" x14ac:dyDescent="0.2">
      <c r="A6" s="337" t="str">
        <f t="shared" si="0"/>
        <v>01</v>
      </c>
      <c r="C6" s="790" t="s">
        <v>327</v>
      </c>
      <c r="F6" s="1147" t="str">
        <f>+Index!$E$10</f>
        <v>01</v>
      </c>
      <c r="L6" s="345" t="s">
        <v>1154</v>
      </c>
      <c r="N6" s="3257" t="str">
        <f>+Index!$E$11</f>
        <v>North Carolina General Assembly</v>
      </c>
      <c r="O6" s="3257"/>
      <c r="P6" s="3257"/>
      <c r="Q6" s="3257"/>
      <c r="R6" s="2882"/>
    </row>
    <row r="7" spans="1:26" ht="14.1" customHeight="1" x14ac:dyDescent="0.2">
      <c r="A7" s="337" t="str">
        <f t="shared" si="0"/>
        <v>01</v>
      </c>
      <c r="L7" s="345" t="s">
        <v>972</v>
      </c>
      <c r="N7" s="3259" t="str">
        <f>CONCATENATE(Index!$E$12," ",Index!$E$14)</f>
        <v xml:space="preserve"> </v>
      </c>
      <c r="O7" s="3259"/>
      <c r="P7" s="3259"/>
      <c r="Q7" s="3259"/>
      <c r="R7" s="3224"/>
    </row>
    <row r="8" spans="1:26" ht="14.1" customHeight="1" x14ac:dyDescent="0.2">
      <c r="A8" s="337" t="str">
        <f t="shared" si="0"/>
        <v>01</v>
      </c>
      <c r="C8" s="296" t="s">
        <v>477</v>
      </c>
      <c r="D8" s="330"/>
      <c r="F8" s="3251" t="s">
        <v>971</v>
      </c>
      <c r="G8" s="3251"/>
      <c r="L8" s="345" t="s">
        <v>348</v>
      </c>
      <c r="N8" s="3259">
        <f>+Index!$E$13</f>
        <v>0</v>
      </c>
      <c r="O8" s="3259"/>
      <c r="P8" s="3259"/>
      <c r="Q8" s="3259"/>
      <c r="R8" s="3224"/>
    </row>
    <row r="9" spans="1:26" ht="6.75" customHeight="1" thickBot="1" x14ac:dyDescent="0.25">
      <c r="A9" s="337" t="str">
        <f t="shared" si="0"/>
        <v>01</v>
      </c>
      <c r="C9" s="331"/>
      <c r="D9" s="331"/>
      <c r="E9" s="331"/>
      <c r="F9" s="331"/>
      <c r="G9" s="331"/>
      <c r="H9" s="331"/>
      <c r="I9" s="331"/>
      <c r="J9" s="331"/>
      <c r="K9" s="331"/>
      <c r="L9" s="331"/>
      <c r="M9" s="331"/>
      <c r="N9" s="331"/>
      <c r="O9" s="331"/>
      <c r="P9" s="331"/>
      <c r="Q9" s="331"/>
      <c r="R9" s="331"/>
      <c r="S9" s="346"/>
    </row>
    <row r="10" spans="1:26" ht="12" x14ac:dyDescent="0.2">
      <c r="A10" s="337" t="str">
        <f t="shared" si="0"/>
        <v>01</v>
      </c>
      <c r="C10" s="330"/>
      <c r="D10" s="330"/>
      <c r="E10" s="330"/>
      <c r="F10" s="3262" t="s">
        <v>1150</v>
      </c>
      <c r="G10" s="3262"/>
      <c r="H10" s="3262"/>
      <c r="I10" s="3262"/>
      <c r="J10" s="3262"/>
      <c r="K10" s="3262"/>
      <c r="L10" s="3262"/>
      <c r="M10" s="3262"/>
      <c r="N10" s="3262"/>
      <c r="O10" s="3262"/>
      <c r="P10" s="3262"/>
      <c r="Q10" s="3262"/>
      <c r="R10" s="3262"/>
    </row>
    <row r="11" spans="1:26" ht="12" x14ac:dyDescent="0.2">
      <c r="A11" s="337" t="str">
        <f t="shared" si="0"/>
        <v>01</v>
      </c>
      <c r="C11" s="330"/>
      <c r="D11" s="330"/>
      <c r="E11" s="330"/>
      <c r="F11" s="3263" t="s">
        <v>287</v>
      </c>
      <c r="G11" s="3263"/>
      <c r="H11" s="3263"/>
      <c r="I11" s="3263"/>
      <c r="J11" s="3263"/>
      <c r="K11" s="3263"/>
      <c r="L11" s="3263"/>
      <c r="M11" s="3263"/>
      <c r="N11" s="3263"/>
      <c r="O11" s="3263"/>
      <c r="P11" s="3263"/>
      <c r="Q11" s="3263"/>
      <c r="R11" s="3263"/>
      <c r="S11" s="337"/>
    </row>
    <row r="12" spans="1:26" ht="12" x14ac:dyDescent="0.2">
      <c r="A12" s="337" t="str">
        <f t="shared" si="0"/>
        <v>01</v>
      </c>
      <c r="C12" s="330"/>
      <c r="D12" s="330"/>
      <c r="E12" s="330"/>
      <c r="F12" s="1148">
        <v>100</v>
      </c>
      <c r="G12" s="1148"/>
      <c r="H12" s="1148">
        <v>120</v>
      </c>
      <c r="I12" s="1148"/>
      <c r="J12" s="1148">
        <v>140</v>
      </c>
      <c r="K12" s="1148"/>
      <c r="L12" s="1148">
        <v>160</v>
      </c>
      <c r="M12" s="1148"/>
      <c r="N12" s="1148">
        <v>180</v>
      </c>
      <c r="O12" s="1148"/>
      <c r="P12" s="1148">
        <v>200</v>
      </c>
      <c r="Q12" s="1148"/>
      <c r="R12" s="1148">
        <v>220</v>
      </c>
      <c r="S12" s="1148">
        <v>240</v>
      </c>
      <c r="U12" s="337"/>
    </row>
    <row r="13" spans="1:26" ht="36" x14ac:dyDescent="0.2">
      <c r="A13" s="337" t="str">
        <f t="shared" si="0"/>
        <v>01</v>
      </c>
      <c r="C13" s="1149"/>
      <c r="D13" s="3265" t="s">
        <v>70</v>
      </c>
      <c r="E13" s="3265"/>
      <c r="F13" s="1150" t="s">
        <v>347</v>
      </c>
      <c r="G13" s="1151"/>
      <c r="H13" s="1150" t="s">
        <v>1148</v>
      </c>
      <c r="I13" s="1151"/>
      <c r="J13" s="1150" t="s">
        <v>118</v>
      </c>
      <c r="K13" s="1151"/>
      <c r="L13" s="1150" t="s">
        <v>1149</v>
      </c>
      <c r="M13" s="1151"/>
      <c r="N13" s="1150" t="s">
        <v>1685</v>
      </c>
      <c r="O13" s="1151"/>
      <c r="P13" s="1150" t="s">
        <v>147</v>
      </c>
      <c r="Q13" s="1151"/>
      <c r="R13" s="1150" t="s">
        <v>1688</v>
      </c>
      <c r="S13" s="1158" t="s">
        <v>84</v>
      </c>
      <c r="U13" s="337"/>
    </row>
    <row r="14" spans="1:26" x14ac:dyDescent="0.2">
      <c r="A14" s="337" t="str">
        <f t="shared" si="0"/>
        <v>01</v>
      </c>
      <c r="B14" s="337" t="s">
        <v>1641</v>
      </c>
      <c r="C14" s="1152"/>
      <c r="D14" s="335" t="s">
        <v>1851</v>
      </c>
      <c r="F14" s="1153"/>
      <c r="G14" s="1154"/>
      <c r="H14" s="1153"/>
      <c r="I14" s="1155"/>
      <c r="J14" s="1153"/>
      <c r="K14" s="1155"/>
      <c r="L14" s="1153"/>
      <c r="M14" s="1155"/>
      <c r="N14" s="1153"/>
      <c r="O14" s="1155"/>
      <c r="P14" s="1153"/>
      <c r="Q14" s="1155"/>
      <c r="R14" s="1153"/>
      <c r="S14" s="1155">
        <f ca="1">SUM(F14:R14)-INDEX('720'!$B$14:$I$57,MATCH('725'!B14,'720'!$B$14:$B$57,0),8)</f>
        <v>0</v>
      </c>
      <c r="Y14" s="2288" t="s">
        <v>1851</v>
      </c>
    </row>
    <row r="15" spans="1:26" x14ac:dyDescent="0.2">
      <c r="A15" s="337" t="str">
        <f t="shared" si="0"/>
        <v>01</v>
      </c>
      <c r="B15" s="337" t="s">
        <v>1642</v>
      </c>
      <c r="C15" s="1152"/>
      <c r="D15" s="335" t="s">
        <v>1879</v>
      </c>
      <c r="F15" s="1153"/>
      <c r="G15" s="1154"/>
      <c r="H15" s="1153"/>
      <c r="I15" s="1155"/>
      <c r="J15" s="1153"/>
      <c r="K15" s="1155"/>
      <c r="L15" s="1153"/>
      <c r="M15" s="1155"/>
      <c r="N15" s="1153"/>
      <c r="O15" s="1155"/>
      <c r="P15" s="1153"/>
      <c r="Q15" s="1155"/>
      <c r="R15" s="1153"/>
      <c r="S15" s="1155">
        <f ca="1">SUM(F15:R15)-INDEX('720'!$B$14:$I$57,MATCH('725'!B15,'720'!$B$14:$B$57,0),8)</f>
        <v>0</v>
      </c>
      <c r="Y15" s="2288" t="s">
        <v>1852</v>
      </c>
    </row>
    <row r="16" spans="1:26" x14ac:dyDescent="0.2">
      <c r="A16" s="337" t="str">
        <f t="shared" si="0"/>
        <v>01</v>
      </c>
      <c r="B16" s="337" t="s">
        <v>1643</v>
      </c>
      <c r="C16" s="1152"/>
      <c r="D16" s="335" t="s">
        <v>1853</v>
      </c>
      <c r="F16" s="1153"/>
      <c r="G16" s="1154"/>
      <c r="H16" s="1153"/>
      <c r="I16" s="1155"/>
      <c r="J16" s="1153"/>
      <c r="K16" s="1155"/>
      <c r="L16" s="1153"/>
      <c r="M16" s="1155"/>
      <c r="N16" s="1153"/>
      <c r="O16" s="1155"/>
      <c r="P16" s="1153"/>
      <c r="Q16" s="1155"/>
      <c r="R16" s="1153"/>
      <c r="S16" s="1155">
        <f ca="1">SUM(F16:R16)-INDEX('720'!$B$14:$I$57,MATCH('725'!B16,'720'!$B$14:$B$57,0),8)</f>
        <v>0</v>
      </c>
      <c r="Y16" s="2288" t="s">
        <v>1853</v>
      </c>
    </row>
    <row r="17" spans="1:25" x14ac:dyDescent="0.2">
      <c r="A17" s="337" t="str">
        <f t="shared" si="0"/>
        <v>01</v>
      </c>
      <c r="B17" s="337" t="s">
        <v>1644</v>
      </c>
      <c r="C17" s="1152"/>
      <c r="D17" s="335" t="s">
        <v>1854</v>
      </c>
      <c r="F17" s="1153"/>
      <c r="G17" s="1154"/>
      <c r="H17" s="1153"/>
      <c r="I17" s="1155"/>
      <c r="J17" s="1153"/>
      <c r="K17" s="1155"/>
      <c r="L17" s="1153"/>
      <c r="M17" s="1155"/>
      <c r="N17" s="1153"/>
      <c r="O17" s="1155"/>
      <c r="P17" s="1153"/>
      <c r="Q17" s="1155"/>
      <c r="R17" s="1153"/>
      <c r="S17" s="1155">
        <f ca="1">SUM(F17:R17)-INDEX('720'!$B$14:$I$57,MATCH('725'!B17,'720'!$B$14:$B$57,0),8)</f>
        <v>0</v>
      </c>
      <c r="Y17" s="2288" t="s">
        <v>1854</v>
      </c>
    </row>
    <row r="18" spans="1:25" x14ac:dyDescent="0.2">
      <c r="A18" s="337" t="str">
        <f t="shared" si="0"/>
        <v>01</v>
      </c>
      <c r="B18" s="337" t="s">
        <v>1645</v>
      </c>
      <c r="C18" s="1152"/>
      <c r="D18" s="335" t="s">
        <v>1855</v>
      </c>
      <c r="F18" s="1153"/>
      <c r="G18" s="1154"/>
      <c r="H18" s="1153"/>
      <c r="I18" s="1155"/>
      <c r="J18" s="1153"/>
      <c r="K18" s="1155"/>
      <c r="L18" s="1153"/>
      <c r="M18" s="1155"/>
      <c r="N18" s="1153"/>
      <c r="O18" s="1155"/>
      <c r="P18" s="1153"/>
      <c r="Q18" s="1155"/>
      <c r="R18" s="1153"/>
      <c r="S18" s="1155">
        <f ca="1">SUM(F18:R18)-INDEX('720'!$B$14:$I$57,MATCH('725'!B18,'720'!$B$14:$B$57,0),8)</f>
        <v>0</v>
      </c>
      <c r="Y18" s="2288" t="s">
        <v>1855</v>
      </c>
    </row>
    <row r="19" spans="1:25" x14ac:dyDescent="0.2">
      <c r="A19" s="337" t="str">
        <f t="shared" si="0"/>
        <v>01</v>
      </c>
      <c r="B19" s="337" t="s">
        <v>1646</v>
      </c>
      <c r="C19" s="1152"/>
      <c r="D19" s="313" t="s">
        <v>1856</v>
      </c>
      <c r="F19" s="1153"/>
      <c r="G19" s="1154"/>
      <c r="H19" s="1153"/>
      <c r="I19" s="1155"/>
      <c r="J19" s="1153"/>
      <c r="K19" s="1155"/>
      <c r="L19" s="1153"/>
      <c r="M19" s="1155"/>
      <c r="N19" s="1153"/>
      <c r="O19" s="1155"/>
      <c r="P19" s="1153"/>
      <c r="Q19" s="1155"/>
      <c r="R19" s="1153"/>
      <c r="S19" s="1155">
        <f ca="1">SUM(F19:R19)-INDEX('720'!$B$14:$I$57,MATCH('725'!B19,'720'!$B$14:$B$57,0),8)</f>
        <v>0</v>
      </c>
      <c r="Y19" s="2288" t="s">
        <v>1856</v>
      </c>
    </row>
    <row r="20" spans="1:25" x14ac:dyDescent="0.2">
      <c r="A20" s="337" t="str">
        <f t="shared" si="0"/>
        <v>01</v>
      </c>
      <c r="B20" s="337" t="s">
        <v>1647</v>
      </c>
      <c r="C20" s="1152"/>
      <c r="D20" s="335" t="s">
        <v>1857</v>
      </c>
      <c r="F20" s="1153"/>
      <c r="G20" s="1154"/>
      <c r="H20" s="1153"/>
      <c r="I20" s="1155"/>
      <c r="J20" s="1153"/>
      <c r="K20" s="1155"/>
      <c r="L20" s="1153"/>
      <c r="M20" s="1155"/>
      <c r="N20" s="1153"/>
      <c r="O20" s="1155"/>
      <c r="P20" s="1153"/>
      <c r="Q20" s="1155"/>
      <c r="R20" s="1153"/>
      <c r="S20" s="1155">
        <f ca="1">SUM(F20:R20)-INDEX('720'!$B$14:$I$57,MATCH('725'!B20,'720'!$B$14:$B$57,0),8)</f>
        <v>0</v>
      </c>
      <c r="Y20" s="2288" t="s">
        <v>1857</v>
      </c>
    </row>
    <row r="21" spans="1:25" x14ac:dyDescent="0.2">
      <c r="A21" s="337" t="str">
        <f t="shared" si="0"/>
        <v>01</v>
      </c>
      <c r="B21" s="337" t="s">
        <v>1648</v>
      </c>
      <c r="C21" s="1152"/>
      <c r="D21" s="335" t="s">
        <v>655</v>
      </c>
      <c r="F21" s="1153"/>
      <c r="G21" s="1154"/>
      <c r="H21" s="1153"/>
      <c r="I21" s="1155"/>
      <c r="J21" s="1153"/>
      <c r="K21" s="1155"/>
      <c r="L21" s="1153"/>
      <c r="M21" s="1155"/>
      <c r="N21" s="1153"/>
      <c r="O21" s="1155"/>
      <c r="P21" s="1153"/>
      <c r="Q21" s="1155"/>
      <c r="R21" s="1153"/>
      <c r="S21" s="1155">
        <f ca="1">SUM(F21:R21)-INDEX('720'!$B$14:$I$57,MATCH('725'!B21,'720'!$B$14:$B$57,0),8)</f>
        <v>0</v>
      </c>
      <c r="Y21" s="2288" t="s">
        <v>655</v>
      </c>
    </row>
    <row r="22" spans="1:25" x14ac:dyDescent="0.2">
      <c r="A22" s="337" t="str">
        <f t="shared" si="0"/>
        <v>01</v>
      </c>
      <c r="B22" s="337" t="s">
        <v>1649</v>
      </c>
      <c r="C22" s="1152"/>
      <c r="D22" s="149" t="s">
        <v>1871</v>
      </c>
      <c r="F22" s="1153"/>
      <c r="G22" s="1154"/>
      <c r="H22" s="1153"/>
      <c r="I22" s="1155"/>
      <c r="J22" s="1153"/>
      <c r="K22" s="1155"/>
      <c r="L22" s="1153"/>
      <c r="M22" s="1155"/>
      <c r="N22" s="1153"/>
      <c r="O22" s="1155"/>
      <c r="P22" s="1153"/>
      <c r="Q22" s="1155"/>
      <c r="R22" s="1153"/>
      <c r="S22" s="1155">
        <f ca="1">SUM(F22:R22)-INDEX('720'!$B$14:$I$57,MATCH('725'!B22,'720'!$B$14:$B$57,0),8)</f>
        <v>0</v>
      </c>
      <c r="Y22" s="2288" t="s">
        <v>1871</v>
      </c>
    </row>
    <row r="23" spans="1:25" ht="12.75" x14ac:dyDescent="0.2">
      <c r="A23" s="337" t="str">
        <f t="shared" si="0"/>
        <v>01</v>
      </c>
      <c r="B23" s="337" t="s">
        <v>1650</v>
      </c>
      <c r="C23" s="1152"/>
      <c r="D23" s="335" t="s">
        <v>1866</v>
      </c>
      <c r="F23" s="1153"/>
      <c r="G23" s="1155"/>
      <c r="H23" s="1153"/>
      <c r="I23" s="1155"/>
      <c r="J23" s="1153"/>
      <c r="K23" s="1155"/>
      <c r="L23" s="1153"/>
      <c r="M23" s="1155"/>
      <c r="N23" s="1153"/>
      <c r="O23" s="1155"/>
      <c r="P23" s="1153"/>
      <c r="Q23" s="1155"/>
      <c r="R23" s="1638"/>
      <c r="S23" s="1155">
        <f ca="1">SUM(F23:R23)-INDEX('720'!$B$14:$I$57,MATCH('725'!B23,'720'!$B$14:$B$57,0),8)</f>
        <v>0</v>
      </c>
      <c r="Y23" s="2288" t="s">
        <v>1866</v>
      </c>
    </row>
    <row r="24" spans="1:25" ht="12.75" x14ac:dyDescent="0.2">
      <c r="A24" s="337" t="str">
        <f t="shared" si="0"/>
        <v>01</v>
      </c>
      <c r="B24" s="337" t="s">
        <v>1651</v>
      </c>
      <c r="C24" s="1152"/>
      <c r="D24" s="335" t="s">
        <v>1877</v>
      </c>
      <c r="F24" s="1153"/>
      <c r="G24" s="1155"/>
      <c r="H24" s="1153"/>
      <c r="I24" s="1155"/>
      <c r="J24" s="1153"/>
      <c r="K24" s="1155"/>
      <c r="L24" s="1153"/>
      <c r="M24" s="1155"/>
      <c r="N24" s="1153"/>
      <c r="O24" s="1155"/>
      <c r="P24" s="1153"/>
      <c r="Q24" s="1155"/>
      <c r="R24" s="1638"/>
      <c r="S24" s="1155">
        <f ca="1">SUM(F24:R24)-INDEX('720'!$B$14:$I$57,MATCH('725'!B24,'720'!$B$14:$B$57,0),8)</f>
        <v>0</v>
      </c>
      <c r="Y24" s="2288" t="s">
        <v>1877</v>
      </c>
    </row>
    <row r="25" spans="1:25" x14ac:dyDescent="0.2">
      <c r="A25" s="337" t="str">
        <f t="shared" si="0"/>
        <v>01</v>
      </c>
      <c r="B25" s="337" t="s">
        <v>1652</v>
      </c>
      <c r="C25" s="1152"/>
      <c r="D25" s="335" t="s">
        <v>1870</v>
      </c>
      <c r="F25" s="1153"/>
      <c r="G25" s="1155"/>
      <c r="H25" s="1153"/>
      <c r="I25" s="1155"/>
      <c r="J25" s="1153"/>
      <c r="K25" s="1155"/>
      <c r="L25" s="1153"/>
      <c r="M25" s="1155"/>
      <c r="N25" s="1153"/>
      <c r="O25" s="1155"/>
      <c r="P25" s="1153"/>
      <c r="Q25" s="1155"/>
      <c r="R25" s="1153"/>
      <c r="S25" s="1155">
        <f ca="1">SUM(F25:R25)-INDEX('720'!$B$14:$I$57,MATCH('725'!B25,'720'!$B$14:$B$57,0),8)</f>
        <v>0</v>
      </c>
      <c r="Y25" s="2288" t="s">
        <v>1870</v>
      </c>
    </row>
    <row r="26" spans="1:25" x14ac:dyDescent="0.2">
      <c r="A26" s="337" t="str">
        <f t="shared" si="0"/>
        <v>01</v>
      </c>
      <c r="B26" s="337" t="s">
        <v>1653</v>
      </c>
      <c r="C26" s="1152"/>
      <c r="D26" s="335" t="s">
        <v>1858</v>
      </c>
      <c r="F26" s="1153"/>
      <c r="G26" s="1155"/>
      <c r="H26" s="1153"/>
      <c r="I26" s="1155"/>
      <c r="J26" s="1153"/>
      <c r="K26" s="1155"/>
      <c r="L26" s="1153"/>
      <c r="M26" s="1155"/>
      <c r="N26" s="1153"/>
      <c r="O26" s="1155"/>
      <c r="P26" s="1153"/>
      <c r="Q26" s="1155"/>
      <c r="R26" s="1153"/>
      <c r="S26" s="1155">
        <f ca="1">SUM(F26:R26)-INDEX('720'!$B$14:$I$57,MATCH('725'!B26,'720'!$B$14:$B$57,0),8)</f>
        <v>0</v>
      </c>
      <c r="Y26" s="2288" t="s">
        <v>1858</v>
      </c>
    </row>
    <row r="27" spans="1:25" x14ac:dyDescent="0.2">
      <c r="A27" s="337" t="str">
        <f t="shared" si="0"/>
        <v>01</v>
      </c>
      <c r="B27" s="337" t="s">
        <v>1654</v>
      </c>
      <c r="C27" s="1152"/>
      <c r="D27" s="335" t="s">
        <v>1859</v>
      </c>
      <c r="F27" s="1153"/>
      <c r="G27" s="1155"/>
      <c r="H27" s="1153"/>
      <c r="I27" s="1155"/>
      <c r="J27" s="1153"/>
      <c r="K27" s="1155"/>
      <c r="L27" s="1153"/>
      <c r="M27" s="1155"/>
      <c r="N27" s="1153"/>
      <c r="O27" s="1155"/>
      <c r="P27" s="1153"/>
      <c r="Q27" s="1155"/>
      <c r="R27" s="1153"/>
      <c r="S27" s="1155">
        <f ca="1">SUM(F27:R27)-INDEX('720'!$B$14:$I$57,MATCH('725'!B27,'720'!$B$14:$B$57,0),8)</f>
        <v>0</v>
      </c>
      <c r="Y27" s="2288" t="s">
        <v>1859</v>
      </c>
    </row>
    <row r="28" spans="1:25" x14ac:dyDescent="0.2">
      <c r="A28" s="337" t="str">
        <f t="shared" si="0"/>
        <v>01</v>
      </c>
      <c r="B28" s="337" t="s">
        <v>1655</v>
      </c>
      <c r="C28" s="1152"/>
      <c r="D28" s="335" t="s">
        <v>1860</v>
      </c>
      <c r="F28" s="1153"/>
      <c r="G28" s="1155"/>
      <c r="H28" s="1153"/>
      <c r="I28" s="1155"/>
      <c r="J28" s="1153"/>
      <c r="K28" s="1155"/>
      <c r="L28" s="1153"/>
      <c r="M28" s="1155"/>
      <c r="N28" s="1153"/>
      <c r="O28" s="1155"/>
      <c r="P28" s="1153"/>
      <c r="Q28" s="1155"/>
      <c r="R28" s="1153"/>
      <c r="S28" s="1155">
        <f ca="1">SUM(F28:R28)-INDEX('720'!$B$14:$I$57,MATCH('725'!B28,'720'!$B$14:$B$57,0),8)</f>
        <v>0</v>
      </c>
      <c r="Y28" s="2288" t="s">
        <v>1860</v>
      </c>
    </row>
    <row r="29" spans="1:25" x14ac:dyDescent="0.2">
      <c r="A29" s="337" t="str">
        <f t="shared" si="0"/>
        <v>01</v>
      </c>
      <c r="B29" s="337" t="s">
        <v>1656</v>
      </c>
      <c r="C29" s="1152"/>
      <c r="D29" s="335" t="s">
        <v>1885</v>
      </c>
      <c r="E29" s="1318" t="s">
        <v>5103</v>
      </c>
      <c r="F29" s="1153"/>
      <c r="G29" s="1155"/>
      <c r="H29" s="1153"/>
      <c r="I29" s="1155"/>
      <c r="J29" s="1153"/>
      <c r="K29" s="1155"/>
      <c r="L29" s="1153"/>
      <c r="M29" s="1155"/>
      <c r="N29" s="1153"/>
      <c r="O29" s="1155"/>
      <c r="P29" s="1153"/>
      <c r="Q29" s="1155"/>
      <c r="R29" s="1153"/>
      <c r="S29" s="1155">
        <f ca="1">SUM(F29:R29)-INDEX('720'!$B$14:$I$57,MATCH('725'!B29,'720'!$B$14:$B$57,0),8)</f>
        <v>0</v>
      </c>
      <c r="Y29" s="2397" t="str">
        <f>E29</f>
        <v>Select Other Investment (Click here)</v>
      </c>
    </row>
    <row r="30" spans="1:25" x14ac:dyDescent="0.2">
      <c r="A30" s="337" t="str">
        <f t="shared" si="0"/>
        <v>01</v>
      </c>
      <c r="B30" s="337" t="s">
        <v>1883</v>
      </c>
      <c r="C30" s="1152"/>
      <c r="D30" s="335" t="s">
        <v>1886</v>
      </c>
      <c r="E30" s="1318" t="s">
        <v>5103</v>
      </c>
      <c r="F30" s="1309"/>
      <c r="G30" s="1155"/>
      <c r="H30" s="1154"/>
      <c r="I30" s="1155"/>
      <c r="J30" s="1154"/>
      <c r="K30" s="1155"/>
      <c r="L30" s="1154"/>
      <c r="M30" s="1155"/>
      <c r="N30" s="1154"/>
      <c r="O30" s="1155"/>
      <c r="P30" s="1154"/>
      <c r="Q30" s="1155"/>
      <c r="R30" s="1153"/>
      <c r="S30" s="1155">
        <f ca="1">SUM(F30:R30)-INDEX('720'!$B$14:$I$57,MATCH('725'!B30,'720'!$B$14:$B$57,0),8)</f>
        <v>0</v>
      </c>
      <c r="Y30" s="2397" t="str">
        <f>E30</f>
        <v>Select Other Investment (Click here)</v>
      </c>
    </row>
    <row r="31" spans="1:25" ht="12" thickBot="1" x14ac:dyDescent="0.25">
      <c r="A31" s="337" t="str">
        <f t="shared" si="0"/>
        <v>01</v>
      </c>
      <c r="B31" s="337" t="s">
        <v>1884</v>
      </c>
      <c r="C31" s="1152"/>
      <c r="D31" s="339" t="s">
        <v>84</v>
      </c>
      <c r="F31" s="1156">
        <f>SUM(F14:F30)</f>
        <v>0</v>
      </c>
      <c r="G31" s="1155"/>
      <c r="H31" s="1156">
        <f>SUM(H14:H30)</f>
        <v>0</v>
      </c>
      <c r="I31" s="1155"/>
      <c r="J31" s="1156">
        <f>SUM(J14:J30)</f>
        <v>0</v>
      </c>
      <c r="K31" s="1155"/>
      <c r="L31" s="1156">
        <f>SUM(L14:L30)</f>
        <v>0</v>
      </c>
      <c r="M31" s="1155"/>
      <c r="N31" s="1156">
        <f>SUM(N14:N30)</f>
        <v>0</v>
      </c>
      <c r="O31" s="1155"/>
      <c r="P31" s="1156">
        <f>SUM(P14:P30)</f>
        <v>0</v>
      </c>
      <c r="Q31" s="1155"/>
      <c r="R31" s="1156">
        <f>SUM(R14:R30)</f>
        <v>0</v>
      </c>
      <c r="S31" s="1156">
        <f ca="1">SUM(S14:S30)</f>
        <v>0</v>
      </c>
    </row>
    <row r="32" spans="1:25" ht="12.75" thickTop="1" x14ac:dyDescent="0.2">
      <c r="A32" s="337" t="str">
        <f t="shared" si="0"/>
        <v>01</v>
      </c>
      <c r="C32" s="1157"/>
      <c r="D32" s="330"/>
      <c r="E32" s="330"/>
      <c r="F32" s="1155"/>
      <c r="G32" s="1155"/>
      <c r="H32" s="1155"/>
      <c r="I32" s="1155"/>
      <c r="J32" s="1155"/>
      <c r="K32" s="1155"/>
      <c r="L32" s="1155"/>
      <c r="M32" s="1155"/>
      <c r="N32" s="1155"/>
      <c r="O32" s="1155"/>
      <c r="P32" s="1155"/>
      <c r="Q32" s="1155"/>
      <c r="R32" s="1155"/>
      <c r="S32" s="1159" t="str">
        <f ca="1">IF(S31=0,"Ok","Out with 720")</f>
        <v>Ok</v>
      </c>
    </row>
    <row r="33" spans="1:20" ht="9" customHeight="1" x14ac:dyDescent="0.2">
      <c r="A33" s="337" t="str">
        <f t="shared" si="0"/>
        <v>01</v>
      </c>
      <c r="C33" s="349"/>
    </row>
    <row r="34" spans="1:20" ht="9" customHeight="1" x14ac:dyDescent="0.2">
      <c r="A34" s="337" t="str">
        <f t="shared" ref="A34:A59" si="1">AgyIdx</f>
        <v>01</v>
      </c>
      <c r="C34" s="363" t="s">
        <v>1686</v>
      </c>
      <c r="F34" s="348"/>
      <c r="H34" s="348"/>
      <c r="J34" s="348"/>
      <c r="L34" s="348"/>
      <c r="N34" s="348"/>
      <c r="P34" s="348"/>
      <c r="R34" s="348"/>
      <c r="S34" s="348"/>
      <c r="T34" s="348"/>
    </row>
    <row r="35" spans="1:20" ht="9" customHeight="1" x14ac:dyDescent="0.2">
      <c r="A35" s="337" t="str">
        <f t="shared" si="1"/>
        <v>01</v>
      </c>
      <c r="D35" s="313" t="s">
        <v>704</v>
      </c>
    </row>
    <row r="36" spans="1:20" x14ac:dyDescent="0.2">
      <c r="A36" s="337" t="str">
        <f t="shared" si="1"/>
        <v>01</v>
      </c>
      <c r="D36" s="313" t="s">
        <v>705</v>
      </c>
    </row>
    <row r="37" spans="1:20" x14ac:dyDescent="0.2">
      <c r="A37" s="337" t="str">
        <f t="shared" si="1"/>
        <v>01</v>
      </c>
      <c r="H37" s="351" t="s">
        <v>969</v>
      </c>
      <c r="J37" s="617"/>
      <c r="L37" s="351" t="s">
        <v>970</v>
      </c>
      <c r="N37" s="617"/>
      <c r="P37" s="351" t="s">
        <v>775</v>
      </c>
      <c r="R37" s="618"/>
      <c r="S37" s="692"/>
      <c r="T37" s="692"/>
    </row>
    <row r="38" spans="1:20" x14ac:dyDescent="0.2">
      <c r="A38" s="337" t="str">
        <f t="shared" si="1"/>
        <v>01</v>
      </c>
      <c r="L38" s="351"/>
      <c r="P38" s="351"/>
    </row>
    <row r="39" spans="1:20" x14ac:dyDescent="0.2">
      <c r="A39" s="337" t="str">
        <f t="shared" si="1"/>
        <v>01</v>
      </c>
      <c r="C39" s="335" t="s">
        <v>706</v>
      </c>
      <c r="L39" s="351"/>
      <c r="P39" s="351"/>
    </row>
    <row r="40" spans="1:20" x14ac:dyDescent="0.2">
      <c r="A40" s="337" t="str">
        <f t="shared" si="1"/>
        <v>01</v>
      </c>
      <c r="L40" s="337" t="s">
        <v>264</v>
      </c>
      <c r="M40" s="337"/>
      <c r="N40" s="337"/>
      <c r="O40" s="337"/>
      <c r="R40" s="337" t="s">
        <v>650</v>
      </c>
      <c r="S40" s="337"/>
      <c r="T40" s="337"/>
    </row>
    <row r="41" spans="1:20" x14ac:dyDescent="0.2">
      <c r="A41" s="337" t="str">
        <f t="shared" si="1"/>
        <v>01</v>
      </c>
      <c r="C41" s="3264" t="s">
        <v>70</v>
      </c>
      <c r="D41" s="3264"/>
      <c r="E41" s="3264"/>
      <c r="F41" s="3264"/>
      <c r="G41" s="3264"/>
      <c r="H41" s="3264"/>
      <c r="I41" s="337"/>
      <c r="J41" s="336" t="s">
        <v>985</v>
      </c>
      <c r="K41" s="337"/>
      <c r="L41" s="336" t="s">
        <v>287</v>
      </c>
      <c r="M41" s="337"/>
      <c r="N41" s="3254" t="s">
        <v>707</v>
      </c>
      <c r="O41" s="3254"/>
      <c r="P41" s="3254"/>
      <c r="R41" s="336" t="s">
        <v>287</v>
      </c>
      <c r="S41" s="337"/>
      <c r="T41" s="337"/>
    </row>
    <row r="42" spans="1:20" x14ac:dyDescent="0.2">
      <c r="A42" s="337" t="str">
        <f t="shared" si="1"/>
        <v>01</v>
      </c>
      <c r="D42" s="3261"/>
      <c r="E42" s="3261"/>
      <c r="F42" s="3261"/>
      <c r="G42" s="3261"/>
      <c r="H42" s="3261"/>
      <c r="I42" s="313"/>
      <c r="J42" s="615"/>
      <c r="K42" s="313"/>
      <c r="L42" s="619"/>
      <c r="M42" s="337"/>
      <c r="N42" s="3261"/>
      <c r="O42" s="3261"/>
      <c r="P42" s="3261"/>
      <c r="R42" s="620"/>
      <c r="S42" s="620"/>
      <c r="T42" s="620"/>
    </row>
    <row r="43" spans="1:20" x14ac:dyDescent="0.2">
      <c r="A43" s="337" t="str">
        <f t="shared" si="1"/>
        <v>01</v>
      </c>
      <c r="D43" s="3261"/>
      <c r="E43" s="3261"/>
      <c r="F43" s="3261"/>
      <c r="G43" s="3261"/>
      <c r="H43" s="3261"/>
      <c r="I43" s="313"/>
      <c r="J43" s="615"/>
      <c r="K43" s="313"/>
      <c r="L43" s="619"/>
      <c r="M43" s="337"/>
      <c r="N43" s="3261"/>
      <c r="O43" s="3261"/>
      <c r="P43" s="3261"/>
      <c r="R43" s="619"/>
      <c r="S43" s="620"/>
      <c r="T43" s="620"/>
    </row>
    <row r="44" spans="1:20" ht="12.75" x14ac:dyDescent="0.2">
      <c r="A44" s="337" t="str">
        <f t="shared" si="1"/>
        <v>01</v>
      </c>
      <c r="C44" s="350"/>
      <c r="D44" s="349"/>
      <c r="E44"/>
      <c r="F44"/>
      <c r="G44"/>
      <c r="H44"/>
      <c r="I44"/>
      <c r="J44"/>
      <c r="K44"/>
      <c r="L44"/>
      <c r="M44"/>
      <c r="N44"/>
      <c r="O44"/>
      <c r="P44"/>
      <c r="Q44"/>
      <c r="R44"/>
      <c r="S44"/>
      <c r="T44"/>
    </row>
    <row r="45" spans="1:20" x14ac:dyDescent="0.2">
      <c r="A45" s="337" t="str">
        <f t="shared" si="1"/>
        <v>01</v>
      </c>
      <c r="C45" s="349"/>
      <c r="D45" s="349"/>
    </row>
    <row r="46" spans="1:20" x14ac:dyDescent="0.2">
      <c r="A46" s="337" t="str">
        <f t="shared" si="1"/>
        <v>01</v>
      </c>
    </row>
    <row r="47" spans="1:20" x14ac:dyDescent="0.2">
      <c r="A47" s="337" t="str">
        <f t="shared" si="1"/>
        <v>01</v>
      </c>
    </row>
    <row r="48" spans="1:20" x14ac:dyDescent="0.2">
      <c r="A48" s="337" t="str">
        <f t="shared" si="1"/>
        <v>01</v>
      </c>
    </row>
    <row r="49" spans="1:1" x14ac:dyDescent="0.2">
      <c r="A49" s="337" t="str">
        <f t="shared" si="1"/>
        <v>01</v>
      </c>
    </row>
    <row r="50" spans="1:1" x14ac:dyDescent="0.2">
      <c r="A50" s="337" t="str">
        <f t="shared" si="1"/>
        <v>01</v>
      </c>
    </row>
    <row r="51" spans="1:1" x14ac:dyDescent="0.2">
      <c r="A51" s="337" t="str">
        <f t="shared" si="1"/>
        <v>01</v>
      </c>
    </row>
    <row r="52" spans="1:1" x14ac:dyDescent="0.2">
      <c r="A52" s="337" t="str">
        <f t="shared" si="1"/>
        <v>01</v>
      </c>
    </row>
    <row r="53" spans="1:1" x14ac:dyDescent="0.2">
      <c r="A53" s="337" t="str">
        <f t="shared" si="1"/>
        <v>01</v>
      </c>
    </row>
    <row r="54" spans="1:1" x14ac:dyDescent="0.2">
      <c r="A54" s="337" t="str">
        <f t="shared" si="1"/>
        <v>01</v>
      </c>
    </row>
    <row r="55" spans="1:1" x14ac:dyDescent="0.2">
      <c r="A55" s="337" t="str">
        <f t="shared" si="1"/>
        <v>01</v>
      </c>
    </row>
    <row r="56" spans="1:1" x14ac:dyDescent="0.2">
      <c r="A56" s="337" t="str">
        <f t="shared" si="1"/>
        <v>01</v>
      </c>
    </row>
    <row r="57" spans="1:1" x14ac:dyDescent="0.2">
      <c r="A57" s="337" t="str">
        <f t="shared" si="1"/>
        <v>01</v>
      </c>
    </row>
    <row r="58" spans="1:1" x14ac:dyDescent="0.2">
      <c r="A58" s="337" t="str">
        <f t="shared" si="1"/>
        <v>01</v>
      </c>
    </row>
    <row r="59" spans="1:1" x14ac:dyDescent="0.2">
      <c r="A59" s="337" t="str">
        <f t="shared" si="1"/>
        <v>01</v>
      </c>
    </row>
  </sheetData>
  <sheetProtection algorithmName="SHA-512" hashValue="gtgRKt7SY2NACkMezs2vU7qJwqws7DLNu3XxewI0h8LXNtSYaqLQJLsEZElqLBRDJL0CZRX8nUK7zj8hJjFy5w==" saltValue="T9qT4DxGZ/Rlw92a0bFJoQ==" spinCount="100000" sheet="1" objects="1" scenarios="1" autoFilter="0"/>
  <customSheetViews>
    <customSheetView guid="{B08879A4-635B-4C39-9937-AC7883D562FC}" showGridLines="0" hiddenColumns="1" topLeftCell="C1">
      <selection activeCell="B12" sqref="B12"/>
      <pageMargins left="0.45" right="0.45" top="0.28999999999999998" bottom="0.33" header="0.21" footer="0.17"/>
      <pageSetup orientation="landscape" horizontalDpi="1200" verticalDpi="1200" r:id="rId1"/>
      <headerFooter>
        <oddFooter>&amp;R&amp;A</oddFooter>
      </headerFooter>
    </customSheetView>
    <customSheetView guid="{9FCFC836-1CA5-48BF-958D-24D2EA94B219}" showGridLines="0" hiddenColumns="1" topLeftCell="C1">
      <selection activeCell="B12" sqref="B12"/>
      <pageMargins left="0.45" right="0.45" top="0.28999999999999998" bottom="0.33" header="0.21" footer="0.17"/>
      <pageSetup orientation="landscape" horizontalDpi="1200" verticalDpi="1200" r:id="rId2"/>
      <headerFooter>
        <oddFooter>&amp;R&amp;A</oddFooter>
      </headerFooter>
    </customSheetView>
  </customSheetViews>
  <mergeCells count="17">
    <mergeCell ref="C1:R1"/>
    <mergeCell ref="C2:R2"/>
    <mergeCell ref="C3:R3"/>
    <mergeCell ref="N6:R6"/>
    <mergeCell ref="D13:E13"/>
    <mergeCell ref="C4:Q4"/>
    <mergeCell ref="D42:H42"/>
    <mergeCell ref="N42:P42"/>
    <mergeCell ref="D43:H43"/>
    <mergeCell ref="N43:P43"/>
    <mergeCell ref="N7:R7"/>
    <mergeCell ref="F8:G8"/>
    <mergeCell ref="N8:R8"/>
    <mergeCell ref="F10:R10"/>
    <mergeCell ref="F11:R11"/>
    <mergeCell ref="C41:H41"/>
    <mergeCell ref="N41:P41"/>
  </mergeCells>
  <conditionalFormatting sqref="S1:S3">
    <cfRule type="cellIs" dxfId="31" priority="2" stopIfTrue="1" operator="equal">
      <formula>"na"</formula>
    </cfRule>
  </conditionalFormatting>
  <conditionalFormatting sqref="R4:R5">
    <cfRule type="cellIs" dxfId="30" priority="1" stopIfTrue="1" operator="equal">
      <formula>"na"</formula>
    </cfRule>
  </conditionalFormatting>
  <hyperlinks>
    <hyperlink ref="C1:Q1" location="Index!A1" display="Index!A1" xr:uid="{00000000-0004-0000-4100-000000000000}"/>
  </hyperlinks>
  <pageMargins left="0.45" right="0.45" top="0.28999999999999998" bottom="0.33" header="0.21" footer="0.17"/>
  <pageSetup scale="90" orientation="landscape" r:id="rId3"/>
  <headerFooter>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Notes!$X$3:$X$6</xm:f>
          </x14:formula1>
          <xm:sqref>E29:E30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pageSetUpPr fitToPage="1"/>
  </sheetPr>
  <dimension ref="A1:S56"/>
  <sheetViews>
    <sheetView showGridLines="0" topLeftCell="B1" zoomScaleNormal="100" workbookViewId="0">
      <selection sqref="A1:R1"/>
    </sheetView>
  </sheetViews>
  <sheetFormatPr defaultColWidth="9.42578125" defaultRowHeight="12" x14ac:dyDescent="0.2"/>
  <cols>
    <col min="1" max="1" width="0" style="330" hidden="1" customWidth="1"/>
    <col min="2" max="2" width="2" style="330" customWidth="1"/>
    <col min="3" max="3" width="5.5703125" style="330" customWidth="1"/>
    <col min="4" max="4" width="8.5703125" style="330" customWidth="1"/>
    <col min="5" max="5" width="12.5703125" style="330" customWidth="1"/>
    <col min="6" max="6" width="5.5703125" style="330" customWidth="1"/>
    <col min="7" max="7" width="0.5703125" style="330" customWidth="1"/>
    <col min="8" max="8" width="15.5703125" style="330" customWidth="1"/>
    <col min="9" max="9" width="0.5703125" style="330" customWidth="1"/>
    <col min="10" max="10" width="14.5703125" style="330" customWidth="1"/>
    <col min="11" max="11" width="0.5703125" style="330" customWidth="1"/>
    <col min="12" max="12" width="14.5703125" style="330" customWidth="1"/>
    <col min="13" max="13" width="0.5703125" style="330" customWidth="1"/>
    <col min="14" max="14" width="14.5703125" style="330" customWidth="1"/>
    <col min="15" max="15" width="0.5703125" style="330" customWidth="1"/>
    <col min="16" max="16" width="14.5703125" style="330" customWidth="1"/>
    <col min="17" max="17" width="0.5703125" style="330" customWidth="1"/>
    <col min="18" max="18" width="10.42578125" style="330" customWidth="1"/>
    <col min="19" max="19" width="4.5703125" style="330" customWidth="1"/>
    <col min="20" max="16384" width="9.42578125" style="330"/>
  </cols>
  <sheetData>
    <row r="1" spans="1:19" ht="15.75" x14ac:dyDescent="0.25">
      <c r="A1" s="330" t="str">
        <f t="shared" ref="A1:A32" si="0">AgyIdx</f>
        <v>01</v>
      </c>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829" t="str">
        <f>IF(Index!$B$92="na","NA","")</f>
        <v/>
      </c>
    </row>
    <row r="2" spans="1:19" ht="15.75" x14ac:dyDescent="0.25">
      <c r="A2" s="330" t="str">
        <f t="shared" si="0"/>
        <v>01</v>
      </c>
      <c r="B2" s="2749" t="str">
        <f>+Index!$A$2</f>
        <v>2022 ACFR Worksheets</v>
      </c>
      <c r="C2" s="2749"/>
      <c r="D2" s="2749"/>
      <c r="E2" s="2749"/>
      <c r="F2" s="2749"/>
      <c r="G2" s="2749"/>
      <c r="H2" s="2749"/>
      <c r="I2" s="2749"/>
      <c r="J2" s="2749"/>
      <c r="K2" s="2749"/>
      <c r="L2" s="2749"/>
      <c r="M2" s="2749"/>
      <c r="N2" s="2749"/>
      <c r="O2" s="2749"/>
      <c r="P2" s="2749"/>
      <c r="Q2" s="2749"/>
      <c r="R2" s="2749"/>
      <c r="S2" s="2829"/>
    </row>
    <row r="3" spans="1:19" ht="15.75" x14ac:dyDescent="0.25">
      <c r="A3" s="330" t="str">
        <f t="shared" si="0"/>
        <v>01</v>
      </c>
      <c r="B3" s="2749" t="s">
        <v>1075</v>
      </c>
      <c r="C3" s="2749"/>
      <c r="D3" s="2749"/>
      <c r="E3" s="2749"/>
      <c r="F3" s="2749"/>
      <c r="G3" s="2749"/>
      <c r="H3" s="2749"/>
      <c r="I3" s="2749"/>
      <c r="J3" s="2749"/>
      <c r="K3" s="2749"/>
      <c r="L3" s="2749"/>
      <c r="M3" s="2749"/>
      <c r="N3" s="2749"/>
      <c r="O3" s="2749"/>
      <c r="P3" s="2749"/>
      <c r="Q3" s="2749"/>
      <c r="R3" s="2749"/>
      <c r="S3" s="2829"/>
    </row>
    <row r="4" spans="1:19" ht="15.75" x14ac:dyDescent="0.25">
      <c r="A4" s="330" t="str">
        <f t="shared" si="0"/>
        <v>01</v>
      </c>
      <c r="B4" s="2749" t="s">
        <v>3603</v>
      </c>
      <c r="C4" s="2749"/>
      <c r="D4" s="2749"/>
      <c r="E4" s="2749"/>
      <c r="F4" s="2749"/>
      <c r="G4" s="2749"/>
      <c r="H4" s="2749"/>
      <c r="I4" s="2749"/>
      <c r="J4" s="2749"/>
      <c r="K4" s="2749"/>
      <c r="L4" s="2749"/>
      <c r="M4" s="2749"/>
      <c r="N4" s="2749"/>
      <c r="O4" s="2749"/>
      <c r="P4" s="2749"/>
      <c r="Q4" s="2749"/>
      <c r="R4" s="2749"/>
    </row>
    <row r="5" spans="1:19" ht="15" customHeight="1" x14ac:dyDescent="0.2">
      <c r="A5" s="330" t="str">
        <f t="shared" si="0"/>
        <v>01</v>
      </c>
      <c r="L5" s="430"/>
    </row>
    <row r="6" spans="1:19" ht="15" customHeight="1" x14ac:dyDescent="0.2">
      <c r="A6" s="330" t="str">
        <f t="shared" si="0"/>
        <v>01</v>
      </c>
      <c r="B6" s="791" t="s">
        <v>327</v>
      </c>
      <c r="E6" s="3257" t="str">
        <f>+Index!$E$10</f>
        <v>01</v>
      </c>
      <c r="F6" s="3257"/>
      <c r="J6" s="9" t="s">
        <v>1154</v>
      </c>
      <c r="L6" s="3257" t="str">
        <f>+Index!$E$11</f>
        <v>North Carolina General Assembly</v>
      </c>
      <c r="M6" s="3257"/>
      <c r="N6" s="3257"/>
      <c r="O6" s="3257"/>
      <c r="P6" s="3257"/>
      <c r="Q6" s="3257"/>
      <c r="R6" s="3257"/>
    </row>
    <row r="7" spans="1:19" ht="15" customHeight="1" x14ac:dyDescent="0.2">
      <c r="A7" s="330" t="str">
        <f t="shared" si="0"/>
        <v>01</v>
      </c>
      <c r="J7" s="9" t="s">
        <v>972</v>
      </c>
      <c r="L7" s="3213" t="str">
        <f>CONCATENATE(Index!$E$12," ",Index!$E$14)</f>
        <v xml:space="preserve"> </v>
      </c>
      <c r="M7" s="3213"/>
      <c r="N7" s="3213"/>
      <c r="O7" s="3213"/>
      <c r="P7" s="3213"/>
      <c r="Q7" s="3213"/>
      <c r="R7" s="3213"/>
    </row>
    <row r="8" spans="1:19" ht="15" customHeight="1" x14ac:dyDescent="0.2">
      <c r="A8" s="330" t="str">
        <f t="shared" si="0"/>
        <v>01</v>
      </c>
      <c r="B8" s="8" t="s">
        <v>477</v>
      </c>
      <c r="E8" s="3251" t="s">
        <v>971</v>
      </c>
      <c r="F8" s="3251"/>
      <c r="J8" s="9" t="s">
        <v>348</v>
      </c>
      <c r="L8" s="3213">
        <f>+Index!$E$13</f>
        <v>0</v>
      </c>
      <c r="M8" s="3213"/>
      <c r="N8" s="3213"/>
      <c r="O8" s="3213"/>
      <c r="P8" s="3213"/>
      <c r="Q8" s="3213"/>
      <c r="R8" s="3213"/>
    </row>
    <row r="9" spans="1:19" ht="15" customHeight="1" thickBot="1" x14ac:dyDescent="0.25">
      <c r="A9" s="330" t="str">
        <f t="shared" si="0"/>
        <v>01</v>
      </c>
      <c r="B9" s="331"/>
      <c r="C9" s="332"/>
      <c r="D9" s="332"/>
      <c r="E9" s="333"/>
      <c r="F9" s="333"/>
      <c r="G9" s="333"/>
      <c r="H9" s="333"/>
      <c r="I9" s="333"/>
      <c r="J9" s="334"/>
      <c r="K9" s="333"/>
      <c r="L9" s="333"/>
      <c r="M9" s="333"/>
      <c r="N9" s="333"/>
      <c r="O9" s="333"/>
      <c r="P9" s="333"/>
      <c r="Q9" s="333"/>
      <c r="R9" s="333"/>
    </row>
    <row r="10" spans="1:19" ht="15" customHeight="1" x14ac:dyDescent="0.2">
      <c r="A10" s="330" t="str">
        <f t="shared" si="0"/>
        <v>01</v>
      </c>
    </row>
    <row r="11" spans="1:19" ht="12" customHeight="1" x14ac:dyDescent="0.2">
      <c r="A11" s="330" t="str">
        <f t="shared" si="0"/>
        <v>01</v>
      </c>
      <c r="B11" s="330" t="s">
        <v>777</v>
      </c>
    </row>
    <row r="12" spans="1:19" ht="12" customHeight="1" x14ac:dyDescent="0.2">
      <c r="A12" s="330" t="str">
        <f t="shared" si="0"/>
        <v>01</v>
      </c>
      <c r="B12" s="330" t="s">
        <v>776</v>
      </c>
      <c r="C12" s="352"/>
      <c r="E12" s="352"/>
      <c r="J12" s="352"/>
      <c r="L12" s="751"/>
      <c r="N12" s="352"/>
      <c r="P12" s="751"/>
    </row>
    <row r="13" spans="1:19" ht="10.35" customHeight="1" x14ac:dyDescent="0.2">
      <c r="A13" s="330" t="str">
        <f t="shared" si="0"/>
        <v>01</v>
      </c>
      <c r="C13" s="352"/>
      <c r="E13" s="352"/>
      <c r="J13" s="352"/>
      <c r="L13" s="353"/>
      <c r="N13" s="352"/>
      <c r="P13" s="353"/>
    </row>
    <row r="14" spans="1:19" ht="12" customHeight="1" x14ac:dyDescent="0.2">
      <c r="A14" s="330" t="str">
        <f t="shared" si="0"/>
        <v>01</v>
      </c>
    </row>
    <row r="15" spans="1:19" ht="8.1" customHeight="1" x14ac:dyDescent="0.2">
      <c r="A15" s="330" t="str">
        <f t="shared" si="0"/>
        <v>01</v>
      </c>
    </row>
    <row r="16" spans="1:19" ht="11.85" customHeight="1" x14ac:dyDescent="0.2">
      <c r="A16" s="330" t="str">
        <f t="shared" si="0"/>
        <v>01</v>
      </c>
      <c r="B16" s="24"/>
      <c r="C16" s="44"/>
      <c r="D16" s="44"/>
      <c r="E16" s="44"/>
      <c r="F16" s="44"/>
      <c r="G16" s="44"/>
      <c r="H16" s="44"/>
      <c r="I16" s="44"/>
      <c r="J16" s="3268" t="s">
        <v>215</v>
      </c>
      <c r="K16" s="3268"/>
      <c r="L16" s="3268"/>
      <c r="M16" s="3268"/>
      <c r="N16" s="3268"/>
      <c r="O16" s="3268"/>
      <c r="P16" s="3268"/>
      <c r="Q16" s="335"/>
      <c r="R16" s="337"/>
    </row>
    <row r="17" spans="1:18" ht="12.75" customHeight="1" x14ac:dyDescent="0.2">
      <c r="A17" s="330" t="str">
        <f t="shared" si="0"/>
        <v>01</v>
      </c>
      <c r="B17" s="3268" t="s">
        <v>415</v>
      </c>
      <c r="C17" s="3268"/>
      <c r="D17" s="3268"/>
      <c r="E17" s="3268"/>
      <c r="F17" s="3268"/>
      <c r="G17" s="44"/>
      <c r="H17" s="354" t="s">
        <v>1158</v>
      </c>
      <c r="I17" s="259"/>
      <c r="J17" s="354" t="s">
        <v>71</v>
      </c>
      <c r="K17" s="259"/>
      <c r="L17" s="354" t="s">
        <v>72</v>
      </c>
      <c r="M17" s="259"/>
      <c r="N17" s="354" t="s">
        <v>73</v>
      </c>
      <c r="O17" s="259"/>
      <c r="P17" s="354" t="s">
        <v>74</v>
      </c>
      <c r="Q17" s="335"/>
      <c r="R17" s="336" t="s">
        <v>416</v>
      </c>
    </row>
    <row r="18" spans="1:18" ht="10.35" customHeight="1" x14ac:dyDescent="0.2">
      <c r="A18" s="330" t="str">
        <f t="shared" si="0"/>
        <v>01</v>
      </c>
      <c r="B18" s="335"/>
      <c r="C18" s="335"/>
      <c r="D18" s="335"/>
      <c r="E18" s="335"/>
      <c r="F18" s="335"/>
      <c r="G18" s="335"/>
      <c r="H18" s="335"/>
      <c r="I18" s="335"/>
      <c r="J18" s="335"/>
      <c r="K18" s="335"/>
      <c r="L18" s="335"/>
      <c r="M18" s="335"/>
      <c r="N18" s="335"/>
      <c r="O18" s="335"/>
      <c r="P18" s="335"/>
      <c r="Q18" s="335"/>
      <c r="R18" s="337"/>
    </row>
    <row r="19" spans="1:18" ht="12" customHeight="1" x14ac:dyDescent="0.2">
      <c r="A19" s="330" t="str">
        <f t="shared" si="0"/>
        <v>01</v>
      </c>
      <c r="B19" s="313" t="s">
        <v>1077</v>
      </c>
      <c r="C19" s="335"/>
      <c r="D19" s="335"/>
      <c r="E19" s="335"/>
      <c r="F19" s="335"/>
      <c r="G19" s="335"/>
      <c r="H19" s="335"/>
      <c r="I19" s="335"/>
      <c r="J19" s="335"/>
      <c r="K19" s="335"/>
      <c r="L19" s="335"/>
      <c r="M19" s="335"/>
      <c r="N19" s="335"/>
      <c r="O19" s="335"/>
      <c r="P19" s="335"/>
      <c r="Q19" s="335"/>
      <c r="R19" s="337"/>
    </row>
    <row r="20" spans="1:18" ht="13.35" customHeight="1" x14ac:dyDescent="0.2">
      <c r="A20" s="330" t="str">
        <f t="shared" si="0"/>
        <v>01</v>
      </c>
      <c r="B20" s="339"/>
      <c r="C20" s="3267"/>
      <c r="D20" s="3267"/>
      <c r="E20" s="3267"/>
      <c r="F20" s="3267"/>
      <c r="G20" s="335"/>
      <c r="H20" s="335"/>
      <c r="I20" s="335"/>
      <c r="J20" s="335"/>
      <c r="K20" s="335"/>
      <c r="L20" s="335"/>
      <c r="M20" s="335"/>
      <c r="N20" s="335"/>
      <c r="O20" s="335"/>
      <c r="P20" s="335"/>
      <c r="Q20" s="335"/>
      <c r="R20" s="337"/>
    </row>
    <row r="21" spans="1:18" ht="6" customHeight="1" x14ac:dyDescent="0.2">
      <c r="A21" s="330" t="str">
        <f t="shared" si="0"/>
        <v>01</v>
      </c>
      <c r="B21" s="339"/>
      <c r="C21" s="335"/>
      <c r="D21" s="335"/>
      <c r="E21" s="335"/>
      <c r="F21" s="335"/>
      <c r="G21" s="335"/>
      <c r="H21" s="335"/>
      <c r="I21" s="335"/>
      <c r="J21" s="335"/>
      <c r="K21" s="335"/>
      <c r="L21" s="335"/>
      <c r="M21" s="335"/>
      <c r="N21" s="335"/>
      <c r="O21" s="335"/>
      <c r="P21" s="335"/>
      <c r="Q21" s="335"/>
      <c r="R21" s="337"/>
    </row>
    <row r="22" spans="1:18" ht="12" customHeight="1" x14ac:dyDescent="0.2">
      <c r="A22" s="330" t="str">
        <f t="shared" si="0"/>
        <v>01</v>
      </c>
      <c r="C22" s="313" t="s">
        <v>1142</v>
      </c>
      <c r="D22" s="335"/>
      <c r="E22" s="335"/>
      <c r="F22" s="335"/>
      <c r="G22" s="335"/>
      <c r="H22" s="335"/>
      <c r="I22" s="335"/>
      <c r="J22" s="335"/>
      <c r="K22" s="335"/>
      <c r="L22" s="335"/>
      <c r="M22" s="335"/>
      <c r="N22" s="335"/>
      <c r="O22" s="335"/>
      <c r="P22" s="335"/>
      <c r="Q22" s="335"/>
      <c r="R22" s="337"/>
    </row>
    <row r="23" spans="1:18" ht="13.35" customHeight="1" x14ac:dyDescent="0.2">
      <c r="A23" s="330" t="str">
        <f t="shared" si="0"/>
        <v>01</v>
      </c>
      <c r="B23" s="339"/>
      <c r="C23" s="3267"/>
      <c r="D23" s="3267"/>
      <c r="E23" s="3267"/>
      <c r="F23" s="3267"/>
      <c r="G23" s="335"/>
      <c r="H23" s="615"/>
      <c r="I23" s="335"/>
      <c r="J23" s="615"/>
      <c r="K23" s="335"/>
      <c r="L23" s="615"/>
      <c r="M23" s="335"/>
      <c r="N23" s="615"/>
      <c r="O23" s="335"/>
      <c r="P23" s="615"/>
      <c r="Q23" s="335"/>
      <c r="R23" s="617"/>
    </row>
    <row r="24" spans="1:18" ht="13.35" customHeight="1" x14ac:dyDescent="0.2">
      <c r="A24" s="330" t="str">
        <f t="shared" si="0"/>
        <v>01</v>
      </c>
      <c r="B24" s="335"/>
      <c r="C24" s="3266"/>
      <c r="D24" s="3266"/>
      <c r="E24" s="3266"/>
      <c r="F24" s="3266"/>
      <c r="G24" s="335"/>
      <c r="H24" s="615"/>
      <c r="I24" s="335"/>
      <c r="J24" s="615"/>
      <c r="K24" s="335"/>
      <c r="L24" s="615"/>
      <c r="M24" s="335"/>
      <c r="N24" s="615"/>
      <c r="O24" s="335"/>
      <c r="P24" s="615"/>
      <c r="Q24" s="335"/>
      <c r="R24" s="619"/>
    </row>
    <row r="25" spans="1:18" ht="12" customHeight="1" x14ac:dyDescent="0.2">
      <c r="A25" s="330" t="str">
        <f t="shared" si="0"/>
        <v>01</v>
      </c>
      <c r="B25" s="335"/>
      <c r="C25" s="335"/>
      <c r="D25" s="335"/>
      <c r="E25" s="335"/>
      <c r="F25" s="335"/>
      <c r="G25" s="335"/>
      <c r="H25" s="335"/>
      <c r="I25" s="335"/>
      <c r="J25" s="335"/>
      <c r="K25" s="335"/>
      <c r="L25" s="335"/>
      <c r="M25" s="335"/>
      <c r="N25" s="335"/>
      <c r="O25" s="335"/>
      <c r="P25" s="335"/>
      <c r="Q25" s="335"/>
      <c r="R25" s="337"/>
    </row>
    <row r="26" spans="1:18" ht="12" customHeight="1" x14ac:dyDescent="0.2">
      <c r="A26" s="330" t="str">
        <f t="shared" si="0"/>
        <v>01</v>
      </c>
      <c r="B26" s="313" t="s">
        <v>211</v>
      </c>
      <c r="C26" s="335"/>
      <c r="D26" s="335"/>
      <c r="E26" s="335"/>
      <c r="F26" s="335"/>
      <c r="G26" s="335"/>
      <c r="H26" s="335"/>
      <c r="I26" s="335"/>
      <c r="J26" s="335"/>
      <c r="K26" s="335"/>
      <c r="L26" s="335"/>
      <c r="M26" s="335"/>
      <c r="N26" s="335"/>
      <c r="O26" s="335"/>
      <c r="P26" s="335"/>
      <c r="Q26" s="335"/>
      <c r="R26" s="337"/>
    </row>
    <row r="27" spans="1:18" ht="13.35" customHeight="1" x14ac:dyDescent="0.2">
      <c r="A27" s="330" t="str">
        <f t="shared" si="0"/>
        <v>01</v>
      </c>
      <c r="B27" s="335"/>
      <c r="C27" s="3267"/>
      <c r="D27" s="3267"/>
      <c r="E27" s="3267"/>
      <c r="F27" s="3267"/>
      <c r="G27" s="335"/>
      <c r="H27" s="335"/>
      <c r="I27" s="335"/>
      <c r="J27" s="335"/>
      <c r="K27" s="335"/>
      <c r="L27" s="335"/>
      <c r="M27" s="335"/>
      <c r="N27" s="335"/>
      <c r="O27" s="335"/>
      <c r="P27" s="335"/>
      <c r="Q27" s="335"/>
      <c r="R27" s="337"/>
    </row>
    <row r="28" spans="1:18" ht="6" customHeight="1" x14ac:dyDescent="0.2">
      <c r="A28" s="330" t="str">
        <f t="shared" si="0"/>
        <v>01</v>
      </c>
      <c r="B28" s="335"/>
      <c r="C28" s="335"/>
      <c r="D28" s="335"/>
      <c r="E28" s="335"/>
      <c r="F28" s="335"/>
      <c r="G28" s="335"/>
      <c r="H28" s="335"/>
      <c r="I28" s="335"/>
      <c r="J28" s="335"/>
      <c r="K28" s="335"/>
      <c r="L28" s="335"/>
      <c r="M28" s="335"/>
      <c r="N28" s="335"/>
      <c r="O28" s="335"/>
      <c r="P28" s="335"/>
      <c r="Q28" s="335"/>
      <c r="R28" s="337"/>
    </row>
    <row r="29" spans="1:18" ht="12" customHeight="1" x14ac:dyDescent="0.2">
      <c r="A29" s="330" t="str">
        <f t="shared" si="0"/>
        <v>01</v>
      </c>
      <c r="B29" s="335"/>
      <c r="C29" s="313" t="s">
        <v>1142</v>
      </c>
      <c r="D29" s="335"/>
      <c r="E29" s="335"/>
      <c r="F29" s="335"/>
      <c r="G29" s="335"/>
      <c r="H29" s="335"/>
      <c r="I29" s="335"/>
      <c r="J29" s="335"/>
      <c r="K29" s="335"/>
      <c r="L29" s="335"/>
      <c r="M29" s="335"/>
      <c r="N29" s="335"/>
      <c r="O29" s="335"/>
      <c r="P29" s="335"/>
      <c r="Q29" s="335"/>
      <c r="R29" s="337"/>
    </row>
    <row r="30" spans="1:18" ht="13.35" customHeight="1" x14ac:dyDescent="0.2">
      <c r="A30" s="330" t="str">
        <f t="shared" si="0"/>
        <v>01</v>
      </c>
      <c r="B30" s="339"/>
      <c r="C30" s="3267"/>
      <c r="D30" s="3267"/>
      <c r="E30" s="3267"/>
      <c r="F30" s="3267"/>
      <c r="G30" s="335"/>
      <c r="H30" s="615"/>
      <c r="I30" s="335"/>
      <c r="J30" s="615"/>
      <c r="K30" s="335"/>
      <c r="L30" s="615"/>
      <c r="M30" s="335"/>
      <c r="N30" s="615"/>
      <c r="O30" s="335"/>
      <c r="P30" s="615"/>
      <c r="Q30" s="335"/>
      <c r="R30" s="617"/>
    </row>
    <row r="31" spans="1:18" ht="13.35" customHeight="1" x14ac:dyDescent="0.2">
      <c r="A31" s="330" t="str">
        <f t="shared" si="0"/>
        <v>01</v>
      </c>
      <c r="B31" s="335"/>
      <c r="C31" s="3266"/>
      <c r="D31" s="3266"/>
      <c r="E31" s="3266"/>
      <c r="F31" s="3266"/>
      <c r="G31" s="335"/>
      <c r="H31" s="615"/>
      <c r="I31" s="335"/>
      <c r="J31" s="615"/>
      <c r="K31" s="335"/>
      <c r="L31" s="615"/>
      <c r="M31" s="335"/>
      <c r="N31" s="615"/>
      <c r="O31" s="335"/>
      <c r="P31" s="615"/>
      <c r="Q31" s="335"/>
      <c r="R31" s="617"/>
    </row>
    <row r="32" spans="1:18" ht="12" customHeight="1" x14ac:dyDescent="0.2">
      <c r="A32" s="330" t="str">
        <f t="shared" si="0"/>
        <v>01</v>
      </c>
      <c r="C32" s="335"/>
      <c r="D32" s="335"/>
      <c r="E32" s="335"/>
      <c r="F32" s="335"/>
      <c r="G32" s="335"/>
      <c r="H32" s="335"/>
      <c r="I32" s="335"/>
      <c r="J32" s="335"/>
      <c r="K32" s="335"/>
      <c r="L32" s="335"/>
      <c r="M32" s="335"/>
      <c r="N32" s="335"/>
      <c r="O32" s="335"/>
      <c r="P32" s="335"/>
      <c r="Q32" s="335"/>
      <c r="R32" s="337"/>
    </row>
    <row r="33" spans="1:18" ht="12" customHeight="1" x14ac:dyDescent="0.2">
      <c r="A33" s="330" t="str">
        <f t="shared" ref="A33:A56" si="1">AgyIdx</f>
        <v>01</v>
      </c>
      <c r="B33" s="313" t="s">
        <v>212</v>
      </c>
      <c r="C33" s="335"/>
      <c r="D33" s="335"/>
      <c r="E33" s="335"/>
      <c r="F33" s="335"/>
      <c r="G33" s="335"/>
      <c r="H33" s="335"/>
      <c r="I33" s="335"/>
      <c r="J33" s="335"/>
      <c r="K33" s="335"/>
      <c r="L33" s="335"/>
      <c r="M33" s="335"/>
      <c r="N33" s="335"/>
      <c r="O33" s="335"/>
      <c r="P33" s="335"/>
      <c r="Q33" s="335"/>
      <c r="R33" s="337"/>
    </row>
    <row r="34" spans="1:18" ht="13.35" customHeight="1" x14ac:dyDescent="0.2">
      <c r="A34" s="330" t="str">
        <f t="shared" si="1"/>
        <v>01</v>
      </c>
      <c r="B34" s="335"/>
      <c r="C34" s="3267"/>
      <c r="D34" s="3267"/>
      <c r="E34" s="3267"/>
      <c r="F34" s="3267"/>
      <c r="G34" s="335"/>
      <c r="H34" s="335"/>
      <c r="I34" s="335"/>
      <c r="J34" s="335"/>
      <c r="K34" s="335"/>
      <c r="L34" s="335"/>
      <c r="M34" s="335"/>
      <c r="N34" s="335"/>
      <c r="O34" s="335"/>
      <c r="P34" s="335"/>
      <c r="Q34" s="335"/>
      <c r="R34" s="337"/>
    </row>
    <row r="35" spans="1:18" ht="6" customHeight="1" x14ac:dyDescent="0.2">
      <c r="A35" s="330" t="str">
        <f t="shared" si="1"/>
        <v>01</v>
      </c>
      <c r="B35" s="335"/>
      <c r="C35" s="335"/>
      <c r="D35" s="335"/>
      <c r="E35" s="335"/>
      <c r="F35" s="335"/>
      <c r="G35" s="335"/>
      <c r="H35" s="335"/>
      <c r="I35" s="335"/>
      <c r="J35" s="335"/>
      <c r="K35" s="335"/>
      <c r="L35" s="335"/>
      <c r="M35" s="335"/>
      <c r="N35" s="335"/>
      <c r="O35" s="335"/>
      <c r="P35" s="335"/>
      <c r="Q35" s="335"/>
      <c r="R35" s="337"/>
    </row>
    <row r="36" spans="1:18" ht="12" customHeight="1" x14ac:dyDescent="0.2">
      <c r="A36" s="330" t="str">
        <f t="shared" si="1"/>
        <v>01</v>
      </c>
      <c r="B36" s="335"/>
      <c r="C36" s="313" t="s">
        <v>1142</v>
      </c>
      <c r="D36" s="335"/>
      <c r="E36" s="335"/>
      <c r="F36" s="335"/>
      <c r="G36" s="335"/>
      <c r="H36" s="335"/>
      <c r="I36" s="335"/>
      <c r="J36" s="335"/>
      <c r="K36" s="335"/>
      <c r="L36" s="335"/>
      <c r="M36" s="335"/>
      <c r="N36" s="335"/>
      <c r="O36" s="335"/>
      <c r="P36" s="335"/>
      <c r="Q36" s="335"/>
      <c r="R36" s="337"/>
    </row>
    <row r="37" spans="1:18" ht="13.35" customHeight="1" x14ac:dyDescent="0.2">
      <c r="A37" s="330" t="str">
        <f t="shared" si="1"/>
        <v>01</v>
      </c>
      <c r="B37" s="339"/>
      <c r="C37" s="3267"/>
      <c r="D37" s="3267"/>
      <c r="E37" s="3267"/>
      <c r="F37" s="3267"/>
      <c r="G37" s="335"/>
      <c r="H37" s="615"/>
      <c r="I37" s="335"/>
      <c r="J37" s="615"/>
      <c r="K37" s="342"/>
      <c r="L37" s="615"/>
      <c r="M37" s="335"/>
      <c r="N37" s="615"/>
      <c r="O37" s="335"/>
      <c r="P37" s="615"/>
      <c r="Q37" s="335"/>
      <c r="R37" s="617"/>
    </row>
    <row r="38" spans="1:18" ht="13.35" customHeight="1" x14ac:dyDescent="0.2">
      <c r="A38" s="330" t="str">
        <f t="shared" si="1"/>
        <v>01</v>
      </c>
      <c r="B38" s="339"/>
      <c r="C38" s="3266"/>
      <c r="D38" s="3266"/>
      <c r="E38" s="3266"/>
      <c r="F38" s="3266"/>
      <c r="G38" s="335"/>
      <c r="H38" s="615"/>
      <c r="I38" s="335"/>
      <c r="J38" s="615"/>
      <c r="K38" s="335"/>
      <c r="L38" s="615"/>
      <c r="M38" s="335"/>
      <c r="N38" s="615"/>
      <c r="O38" s="335"/>
      <c r="P38" s="615"/>
      <c r="Q38" s="335"/>
      <c r="R38" s="619"/>
    </row>
    <row r="39" spans="1:18" ht="10.35" customHeight="1" x14ac:dyDescent="0.2">
      <c r="A39" s="330" t="str">
        <f t="shared" si="1"/>
        <v>01</v>
      </c>
      <c r="B39" s="339"/>
      <c r="C39" s="335"/>
      <c r="D39" s="335"/>
      <c r="E39" s="335"/>
      <c r="F39" s="335"/>
      <c r="G39" s="335"/>
      <c r="H39" s="335"/>
      <c r="I39" s="335"/>
      <c r="J39" s="335"/>
      <c r="K39" s="335"/>
      <c r="L39" s="335"/>
      <c r="M39" s="335"/>
      <c r="N39" s="335"/>
      <c r="O39" s="335"/>
      <c r="P39" s="335"/>
      <c r="Q39" s="335"/>
      <c r="R39" s="335"/>
    </row>
    <row r="40" spans="1:18" ht="10.35" customHeight="1" x14ac:dyDescent="0.2">
      <c r="A40" s="330" t="str">
        <f t="shared" si="1"/>
        <v>01</v>
      </c>
      <c r="B40" s="339"/>
      <c r="C40" s="335"/>
      <c r="D40" s="335"/>
      <c r="E40" s="335"/>
      <c r="F40" s="335"/>
      <c r="G40" s="335"/>
      <c r="H40" s="335"/>
      <c r="I40" s="335"/>
      <c r="J40" s="335"/>
      <c r="K40" s="335"/>
      <c r="L40" s="335"/>
      <c r="M40" s="335"/>
      <c r="N40" s="335"/>
      <c r="O40" s="335"/>
      <c r="P40" s="335"/>
      <c r="Q40" s="335"/>
      <c r="R40" s="335"/>
    </row>
    <row r="41" spans="1:18" ht="11.1" customHeight="1" x14ac:dyDescent="0.2">
      <c r="A41" s="330" t="str">
        <f t="shared" si="1"/>
        <v>01</v>
      </c>
      <c r="B41" s="313" t="s">
        <v>213</v>
      </c>
      <c r="C41" s="335" t="s">
        <v>370</v>
      </c>
      <c r="D41" s="335"/>
      <c r="E41" s="335"/>
      <c r="F41" s="335"/>
      <c r="G41" s="335"/>
      <c r="H41" s="335"/>
      <c r="I41" s="335"/>
      <c r="J41" s="335"/>
      <c r="K41" s="335"/>
      <c r="L41" s="335"/>
      <c r="M41" s="335"/>
      <c r="N41" s="335"/>
      <c r="O41" s="335"/>
      <c r="P41" s="335"/>
      <c r="Q41" s="335"/>
    </row>
    <row r="42" spans="1:18" ht="11.1" customHeight="1" x14ac:dyDescent="0.2">
      <c r="A42" s="330" t="str">
        <f t="shared" si="1"/>
        <v>01</v>
      </c>
      <c r="B42" s="339"/>
      <c r="C42" s="335" t="s">
        <v>4327</v>
      </c>
      <c r="D42" s="335"/>
      <c r="E42" s="335"/>
      <c r="F42" s="335"/>
      <c r="G42" s="335"/>
      <c r="H42" s="335"/>
      <c r="I42" s="335"/>
      <c r="J42" s="335"/>
      <c r="K42" s="335"/>
      <c r="L42" s="335"/>
      <c r="M42" s="335"/>
      <c r="N42" s="335"/>
      <c r="O42" s="335"/>
      <c r="P42" s="335"/>
      <c r="Q42" s="335"/>
    </row>
    <row r="43" spans="1:18" ht="11.1" customHeight="1" x14ac:dyDescent="0.2">
      <c r="A43" s="330" t="str">
        <f t="shared" si="1"/>
        <v>01</v>
      </c>
      <c r="B43" s="339"/>
      <c r="C43" s="335" t="s">
        <v>4743</v>
      </c>
      <c r="D43" s="335"/>
      <c r="E43" s="335"/>
      <c r="F43" s="335"/>
      <c r="G43" s="335"/>
      <c r="H43" s="335"/>
      <c r="I43" s="335"/>
      <c r="J43" s="335"/>
      <c r="K43" s="335"/>
      <c r="L43" s="335"/>
      <c r="M43" s="335"/>
      <c r="N43" s="335"/>
      <c r="O43" s="335"/>
      <c r="P43" s="335"/>
      <c r="Q43" s="335"/>
    </row>
    <row r="44" spans="1:18" ht="6" customHeight="1" x14ac:dyDescent="0.2">
      <c r="A44" s="330" t="str">
        <f t="shared" si="1"/>
        <v>01</v>
      </c>
      <c r="B44" s="339"/>
      <c r="C44" s="335"/>
      <c r="D44" s="335"/>
      <c r="E44" s="335"/>
      <c r="F44" s="335"/>
      <c r="G44" s="335"/>
      <c r="H44" s="335"/>
      <c r="I44" s="335"/>
      <c r="J44" s="335"/>
      <c r="K44" s="335"/>
      <c r="L44" s="335"/>
      <c r="M44" s="335"/>
      <c r="N44" s="335"/>
      <c r="O44" s="335"/>
      <c r="P44" s="335"/>
      <c r="Q44" s="335"/>
    </row>
    <row r="45" spans="1:18" ht="11.1" customHeight="1" x14ac:dyDescent="0.2">
      <c r="A45" s="330" t="str">
        <f t="shared" si="1"/>
        <v>01</v>
      </c>
      <c r="B45" s="313" t="s">
        <v>214</v>
      </c>
      <c r="C45" s="335" t="s">
        <v>812</v>
      </c>
      <c r="D45" s="335"/>
      <c r="E45" s="335"/>
      <c r="F45" s="335"/>
      <c r="G45" s="335"/>
      <c r="H45" s="335"/>
      <c r="I45" s="335"/>
      <c r="J45" s="335"/>
      <c r="K45" s="335"/>
      <c r="L45" s="335"/>
      <c r="M45" s="335"/>
      <c r="N45" s="335"/>
      <c r="O45" s="335"/>
      <c r="P45" s="335"/>
      <c r="Q45" s="335"/>
    </row>
    <row r="46" spans="1:18" ht="11.1" customHeight="1" x14ac:dyDescent="0.2">
      <c r="A46" s="330" t="str">
        <f t="shared" si="1"/>
        <v>01</v>
      </c>
      <c r="B46" s="339"/>
      <c r="C46" s="335" t="s">
        <v>510</v>
      </c>
      <c r="D46" s="335"/>
      <c r="E46" s="335"/>
      <c r="F46" s="335"/>
      <c r="G46" s="335"/>
      <c r="H46" s="335"/>
      <c r="I46" s="335"/>
      <c r="J46" s="335"/>
      <c r="K46" s="335"/>
      <c r="L46" s="335"/>
      <c r="M46" s="335"/>
      <c r="N46" s="335"/>
      <c r="O46" s="335"/>
      <c r="P46" s="335"/>
      <c r="Q46" s="335"/>
    </row>
    <row r="47" spans="1:18" ht="10.35" customHeight="1" x14ac:dyDescent="0.2">
      <c r="A47" s="330" t="str">
        <f t="shared" si="1"/>
        <v>01</v>
      </c>
      <c r="B47" s="339"/>
      <c r="C47" s="335"/>
      <c r="D47" s="335"/>
      <c r="E47" s="335"/>
      <c r="F47" s="335"/>
      <c r="G47" s="335"/>
      <c r="H47" s="335"/>
      <c r="I47" s="335"/>
      <c r="J47" s="335"/>
      <c r="K47" s="335"/>
      <c r="L47" s="335"/>
      <c r="M47" s="335"/>
      <c r="N47" s="335"/>
      <c r="O47" s="335"/>
      <c r="P47" s="335"/>
      <c r="Q47" s="335"/>
    </row>
    <row r="48" spans="1:18" ht="8.1" customHeight="1" x14ac:dyDescent="0.2">
      <c r="A48" s="330" t="str">
        <f t="shared" si="1"/>
        <v>01</v>
      </c>
      <c r="B48" s="339"/>
      <c r="C48" s="335"/>
      <c r="D48" s="335"/>
      <c r="E48" s="335"/>
      <c r="F48" s="335"/>
      <c r="G48" s="335"/>
      <c r="H48" s="335"/>
      <c r="I48" s="335"/>
      <c r="J48" s="335"/>
      <c r="K48" s="335"/>
      <c r="L48" s="335"/>
      <c r="M48" s="335"/>
      <c r="N48" s="335"/>
      <c r="O48" s="335"/>
      <c r="P48" s="335"/>
      <c r="Q48" s="335"/>
    </row>
    <row r="49" spans="1:17" ht="12" customHeight="1" x14ac:dyDescent="0.2">
      <c r="A49" s="330" t="str">
        <f t="shared" si="1"/>
        <v>01</v>
      </c>
      <c r="B49" s="313"/>
      <c r="D49" s="335"/>
      <c r="E49" s="335"/>
      <c r="F49" s="335"/>
      <c r="G49" s="335"/>
      <c r="H49" s="335"/>
      <c r="I49" s="335"/>
      <c r="J49" s="335"/>
      <c r="K49" s="335"/>
      <c r="L49" s="335"/>
      <c r="M49" s="335"/>
      <c r="N49" s="335"/>
      <c r="O49" s="335"/>
      <c r="P49" s="335"/>
      <c r="Q49" s="335"/>
    </row>
    <row r="50" spans="1:17" ht="10.35" customHeight="1" x14ac:dyDescent="0.2">
      <c r="A50" s="330" t="str">
        <f t="shared" si="1"/>
        <v>01</v>
      </c>
      <c r="B50" s="335"/>
      <c r="D50" s="335"/>
      <c r="E50" s="335"/>
      <c r="F50" s="335"/>
    </row>
    <row r="51" spans="1:17" ht="12" customHeight="1" x14ac:dyDescent="0.2">
      <c r="A51" s="330" t="str">
        <f t="shared" si="1"/>
        <v>01</v>
      </c>
      <c r="B51" s="344"/>
      <c r="C51" s="335"/>
      <c r="D51" s="335"/>
      <c r="E51" s="335"/>
      <c r="F51" s="335"/>
    </row>
    <row r="52" spans="1:17" x14ac:dyDescent="0.2">
      <c r="A52" s="330" t="str">
        <f t="shared" si="1"/>
        <v>01</v>
      </c>
    </row>
    <row r="53" spans="1:17" x14ac:dyDescent="0.2">
      <c r="A53" s="330" t="str">
        <f t="shared" si="1"/>
        <v>01</v>
      </c>
    </row>
    <row r="54" spans="1:17" x14ac:dyDescent="0.2">
      <c r="A54" s="330" t="str">
        <f t="shared" si="1"/>
        <v>01</v>
      </c>
    </row>
    <row r="55" spans="1:17" x14ac:dyDescent="0.2">
      <c r="A55" s="330" t="str">
        <f t="shared" si="1"/>
        <v>01</v>
      </c>
    </row>
    <row r="56" spans="1:17" x14ac:dyDescent="0.2">
      <c r="A56" s="330" t="str">
        <f t="shared" si="1"/>
        <v>01</v>
      </c>
    </row>
  </sheetData>
  <sheetProtection algorithmName="SHA-512" hashValue="/Ck1kxjLRUmr6URKgzQaGHmzzBF8Wkvco4OoJ3kQl9QnGMLLX7n4Kru6WfwY5zhr8WpPOxkapfULrfUwD6cSUw==" saltValue="VQLeCQFdYgTOXwVweq9LeQ==" spinCount="100000" sheet="1" objects="1" scenarios="1" autoFilter="0"/>
  <customSheetViews>
    <customSheetView guid="{B08879A4-635B-4C39-9937-AC7883D562FC}" showGridLines="0" fitToPage="1" hiddenColumns="1" topLeftCell="B1">
      <selection activeCell="B12" sqref="B12"/>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B1">
      <selection activeCell="B12" sqref="B12"/>
      <pageMargins left="0.5" right="0.5" top="0.5" bottom="0.5" header="0.5" footer="0.25"/>
      <pageSetup orientation="landscape" r:id="rId4"/>
      <headerFooter alignWithMargins="0">
        <oddFooter>&amp;R&amp;A</oddFooter>
      </headerFooter>
    </customSheetView>
  </customSheetViews>
  <mergeCells count="21">
    <mergeCell ref="B17:F17"/>
    <mergeCell ref="J16:P16"/>
    <mergeCell ref="L8:R8"/>
    <mergeCell ref="B3:R3"/>
    <mergeCell ref="B4:R4"/>
    <mergeCell ref="E8:F8"/>
    <mergeCell ref="S1:S3"/>
    <mergeCell ref="L6:R6"/>
    <mergeCell ref="L7:R7"/>
    <mergeCell ref="E6:F6"/>
    <mergeCell ref="B2:R2"/>
    <mergeCell ref="B1:R1"/>
    <mergeCell ref="C38:F38"/>
    <mergeCell ref="C20:F20"/>
    <mergeCell ref="C27:F27"/>
    <mergeCell ref="C34:F34"/>
    <mergeCell ref="C23:F23"/>
    <mergeCell ref="C37:F37"/>
    <mergeCell ref="C31:F31"/>
    <mergeCell ref="C30:F30"/>
    <mergeCell ref="C24:F24"/>
  </mergeCells>
  <phoneticPr fontId="15" type="noConversion"/>
  <conditionalFormatting sqref="S1:S3">
    <cfRule type="cellIs" dxfId="29" priority="1" stopIfTrue="1" operator="equal">
      <formula>"na"</formula>
    </cfRule>
  </conditionalFormatting>
  <hyperlinks>
    <hyperlink ref="B1:R1" location="Index!A1" display="Index!A1" xr:uid="{00000000-0004-0000-4200-000000000000}"/>
  </hyperlinks>
  <pageMargins left="0.5" right="0.5" top="0.5" bottom="0.5" header="0.5" footer="0.25"/>
  <pageSetup scale="98" orientation="landscape" r:id="rId5"/>
  <headerFooter alignWithMargins="0">
    <oddFooter>&amp;R&amp;A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workbookViewId="0">
      <selection activeCell="C11" sqref="C11:O12"/>
    </sheetView>
  </sheetViews>
  <sheetFormatPr defaultColWidth="9.42578125" defaultRowHeight="12" x14ac:dyDescent="0.2"/>
  <cols>
    <col min="1" max="2" width="0" style="330" hidden="1" customWidth="1"/>
    <col min="3" max="3" width="2" style="330" customWidth="1"/>
    <col min="4" max="4" width="5.5703125" style="330" customWidth="1"/>
    <col min="5" max="5" width="8.42578125" style="330" customWidth="1"/>
    <col min="6" max="6" width="12.5703125" style="330" customWidth="1"/>
    <col min="7" max="7" width="8.5703125" style="330" customWidth="1"/>
    <col min="8" max="8" width="1.42578125" style="330" customWidth="1"/>
    <col min="9" max="9" width="17.5703125" style="330" customWidth="1"/>
    <col min="10" max="10" width="1.42578125" style="330" customWidth="1"/>
    <col min="11" max="11" width="16.5703125" style="330" customWidth="1"/>
    <col min="12" max="12" width="1.42578125" style="330" customWidth="1"/>
    <col min="13" max="13" width="15.5703125" style="330" customWidth="1"/>
    <col min="14" max="14" width="1.42578125" style="330" customWidth="1"/>
    <col min="15" max="15" width="17.5703125" style="330" customWidth="1"/>
    <col min="16" max="16" width="4.5703125" style="330" customWidth="1"/>
    <col min="17" max="16384" width="9.42578125" style="330"/>
  </cols>
  <sheetData>
    <row r="1" spans="1:16" ht="15.75" x14ac:dyDescent="0.25">
      <c r="A1" s="330" t="str">
        <f t="shared" ref="A1:A32" si="0">AgyIdx</f>
        <v>01</v>
      </c>
      <c r="C1" s="2767" t="str">
        <f>+Index!$A$1</f>
        <v xml:space="preserve">                                                               Office of the State Controller                                                                </v>
      </c>
      <c r="D1" s="2767"/>
      <c r="E1" s="2767"/>
      <c r="F1" s="2767"/>
      <c r="G1" s="2767"/>
      <c r="H1" s="2767"/>
      <c r="I1" s="2767"/>
      <c r="J1" s="2767"/>
      <c r="K1" s="2767"/>
      <c r="L1" s="2767"/>
      <c r="M1" s="2767"/>
      <c r="N1" s="2767"/>
      <c r="O1" s="2767"/>
      <c r="P1" s="2829" t="str">
        <f>IF(Index!$B$93="na","NA","")</f>
        <v/>
      </c>
    </row>
    <row r="2" spans="1:16" ht="15.75" x14ac:dyDescent="0.25">
      <c r="A2" s="330" t="str">
        <f t="shared" si="0"/>
        <v>01</v>
      </c>
      <c r="C2" s="2749" t="str">
        <f>+Index!$A$2</f>
        <v>2022 ACFR Worksheets</v>
      </c>
      <c r="D2" s="2749"/>
      <c r="E2" s="2749"/>
      <c r="F2" s="2749"/>
      <c r="G2" s="2749"/>
      <c r="H2" s="2749"/>
      <c r="I2" s="2749"/>
      <c r="J2" s="2749"/>
      <c r="K2" s="2749"/>
      <c r="L2" s="2749"/>
      <c r="M2" s="2749"/>
      <c r="N2" s="2749"/>
      <c r="O2" s="2749"/>
      <c r="P2" s="2829"/>
    </row>
    <row r="3" spans="1:16" ht="15.75" x14ac:dyDescent="0.25">
      <c r="A3" s="330" t="str">
        <f t="shared" si="0"/>
        <v>01</v>
      </c>
      <c r="C3" s="2749" t="s">
        <v>1075</v>
      </c>
      <c r="D3" s="2749"/>
      <c r="E3" s="2749"/>
      <c r="F3" s="2749"/>
      <c r="G3" s="2749"/>
      <c r="H3" s="2749"/>
      <c r="I3" s="2749"/>
      <c r="J3" s="2749"/>
      <c r="K3" s="2749"/>
      <c r="L3" s="2749"/>
      <c r="M3" s="2749"/>
      <c r="N3" s="2749"/>
      <c r="O3" s="2749"/>
      <c r="P3" s="2829"/>
    </row>
    <row r="4" spans="1:16" ht="15.75" x14ac:dyDescent="0.25">
      <c r="A4" s="330" t="str">
        <f t="shared" si="0"/>
        <v>01</v>
      </c>
      <c r="C4" s="2749" t="s">
        <v>3604</v>
      </c>
      <c r="D4" s="2749"/>
      <c r="E4" s="2749"/>
      <c r="F4" s="2749"/>
      <c r="G4" s="2749"/>
      <c r="H4" s="2749"/>
      <c r="I4" s="2749"/>
      <c r="J4" s="2749"/>
      <c r="K4" s="2749"/>
      <c r="L4" s="2749"/>
      <c r="M4" s="2749"/>
      <c r="N4" s="2749"/>
      <c r="O4" s="2749"/>
      <c r="P4" s="281"/>
    </row>
    <row r="5" spans="1:16" ht="15" customHeight="1" x14ac:dyDescent="0.2">
      <c r="A5" s="330" t="str">
        <f t="shared" si="0"/>
        <v>01</v>
      </c>
    </row>
    <row r="6" spans="1:16" ht="15" customHeight="1" x14ac:dyDescent="0.2">
      <c r="A6" s="330" t="str">
        <f t="shared" si="0"/>
        <v>01</v>
      </c>
      <c r="C6" s="14" t="s">
        <v>430</v>
      </c>
      <c r="F6" s="2915" t="str">
        <f>+Index!$E$10</f>
        <v>01</v>
      </c>
      <c r="G6" s="2915"/>
      <c r="J6" s="9" t="s">
        <v>1154</v>
      </c>
      <c r="K6" s="3257" t="str">
        <f>+Index!$E$11</f>
        <v>North Carolina General Assembly</v>
      </c>
      <c r="L6" s="3257"/>
      <c r="M6" s="3257"/>
      <c r="N6" s="3257"/>
      <c r="O6" s="3257"/>
    </row>
    <row r="7" spans="1:16" ht="15" customHeight="1" x14ac:dyDescent="0.2">
      <c r="A7" s="330" t="str">
        <f t="shared" si="0"/>
        <v>01</v>
      </c>
      <c r="J7" s="9" t="s">
        <v>972</v>
      </c>
      <c r="K7" s="3259" t="str">
        <f>CONCATENATE(Index!$E$12," ",Index!$E$14)</f>
        <v xml:space="preserve"> </v>
      </c>
      <c r="L7" s="3259"/>
      <c r="M7" s="3259"/>
      <c r="N7" s="3259"/>
      <c r="O7" s="3259"/>
    </row>
    <row r="8" spans="1:16" ht="15" customHeight="1" x14ac:dyDescent="0.2">
      <c r="A8" s="330" t="str">
        <f t="shared" si="0"/>
        <v>01</v>
      </c>
      <c r="C8" s="8" t="s">
        <v>477</v>
      </c>
      <c r="F8" s="3251" t="s">
        <v>971</v>
      </c>
      <c r="G8" s="3251"/>
      <c r="J8" s="9" t="s">
        <v>348</v>
      </c>
      <c r="K8" s="3213">
        <f>+Index!$E$13</f>
        <v>0</v>
      </c>
      <c r="L8" s="3213"/>
      <c r="M8" s="3213"/>
      <c r="N8" s="3213"/>
      <c r="O8" s="3213"/>
    </row>
    <row r="9" spans="1:16" ht="15" customHeight="1" thickBot="1" x14ac:dyDescent="0.25">
      <c r="A9" s="330" t="str">
        <f t="shared" si="0"/>
        <v>01</v>
      </c>
      <c r="C9" s="331"/>
      <c r="D9" s="332"/>
      <c r="E9" s="332"/>
      <c r="F9" s="333"/>
      <c r="G9" s="333"/>
      <c r="H9" s="333"/>
      <c r="I9" s="333"/>
      <c r="J9" s="333"/>
      <c r="K9" s="334"/>
      <c r="L9" s="333"/>
      <c r="M9" s="333"/>
      <c r="N9" s="333"/>
      <c r="O9" s="333"/>
    </row>
    <row r="10" spans="1:16" ht="15" customHeight="1" x14ac:dyDescent="0.2">
      <c r="A10" s="330" t="str">
        <f t="shared" si="0"/>
        <v>01</v>
      </c>
    </row>
    <row r="11" spans="1:16" ht="12.75" customHeight="1" x14ac:dyDescent="0.2">
      <c r="A11" s="330" t="str">
        <f t="shared" si="0"/>
        <v>01</v>
      </c>
      <c r="C11" s="3271" t="s">
        <v>4162</v>
      </c>
      <c r="D11" s="3272"/>
      <c r="E11" s="3272"/>
      <c r="F11" s="3272"/>
      <c r="G11" s="3272"/>
      <c r="H11" s="3272"/>
      <c r="I11" s="3272"/>
      <c r="J11" s="3272"/>
      <c r="K11" s="3272"/>
      <c r="L11" s="3272"/>
      <c r="M11" s="3272"/>
      <c r="N11" s="3272"/>
      <c r="O11" s="3272"/>
    </row>
    <row r="12" spans="1:16" ht="12.75" customHeight="1" x14ac:dyDescent="0.2">
      <c r="A12" s="330" t="str">
        <f t="shared" si="0"/>
        <v>01</v>
      </c>
      <c r="C12" s="3272"/>
      <c r="D12" s="3272"/>
      <c r="E12" s="3272"/>
      <c r="F12" s="3272"/>
      <c r="G12" s="3272"/>
      <c r="H12" s="3272"/>
      <c r="I12" s="3272"/>
      <c r="J12" s="3272"/>
      <c r="K12" s="3272"/>
      <c r="L12" s="3272"/>
      <c r="M12" s="3272"/>
      <c r="N12" s="3272"/>
      <c r="O12" s="3272"/>
    </row>
    <row r="13" spans="1:16" ht="10.35" customHeight="1" x14ac:dyDescent="0.2">
      <c r="A13" s="330" t="str">
        <f t="shared" si="0"/>
        <v>01</v>
      </c>
    </row>
    <row r="14" spans="1:16" ht="14.1" customHeight="1" x14ac:dyDescent="0.2">
      <c r="A14" s="330" t="str">
        <f t="shared" si="0"/>
        <v>01</v>
      </c>
      <c r="C14" s="330" t="s">
        <v>189</v>
      </c>
    </row>
    <row r="15" spans="1:16" ht="14.1" customHeight="1" x14ac:dyDescent="0.2">
      <c r="A15" s="330" t="str">
        <f t="shared" si="0"/>
        <v>01</v>
      </c>
      <c r="C15" s="330" t="s">
        <v>140</v>
      </c>
    </row>
    <row r="16" spans="1:16" ht="12" customHeight="1" x14ac:dyDescent="0.2">
      <c r="A16" s="330" t="str">
        <f t="shared" si="0"/>
        <v>01</v>
      </c>
      <c r="C16" s="364" t="s">
        <v>813</v>
      </c>
    </row>
    <row r="17" spans="1:16" ht="15" customHeight="1" x14ac:dyDescent="0.2">
      <c r="A17" s="330" t="str">
        <f t="shared" si="0"/>
        <v>01</v>
      </c>
      <c r="D17" s="352"/>
      <c r="F17" s="352"/>
      <c r="I17" s="352"/>
      <c r="K17" s="751"/>
      <c r="M17" s="352"/>
      <c r="O17" s="751"/>
    </row>
    <row r="18" spans="1:16" ht="10.35" customHeight="1" x14ac:dyDescent="0.2">
      <c r="A18" s="330" t="str">
        <f t="shared" si="0"/>
        <v>01</v>
      </c>
      <c r="D18" s="352"/>
      <c r="F18" s="352"/>
      <c r="I18" s="352"/>
      <c r="K18" s="353"/>
      <c r="M18" s="352"/>
      <c r="O18" s="353"/>
    </row>
    <row r="19" spans="1:16" ht="12" customHeight="1" x14ac:dyDescent="0.2">
      <c r="A19" s="330" t="str">
        <f t="shared" si="0"/>
        <v>01</v>
      </c>
      <c r="C19" s="330" t="s">
        <v>773</v>
      </c>
      <c r="D19" s="352"/>
      <c r="F19" s="352"/>
      <c r="I19" s="352"/>
      <c r="K19" s="353"/>
      <c r="M19" s="352"/>
      <c r="O19" s="353"/>
    </row>
    <row r="20" spans="1:16" ht="12.75" customHeight="1" x14ac:dyDescent="0.2">
      <c r="A20" s="330" t="str">
        <f t="shared" si="0"/>
        <v>01</v>
      </c>
      <c r="D20" s="335"/>
      <c r="E20" s="335"/>
      <c r="F20" s="335"/>
      <c r="G20" s="335"/>
      <c r="H20" s="335"/>
      <c r="I20" s="3264"/>
      <c r="J20" s="3264"/>
      <c r="K20" s="3264"/>
      <c r="L20" s="337"/>
      <c r="M20" s="337"/>
      <c r="N20" s="337"/>
      <c r="O20" s="337"/>
      <c r="P20" s="335"/>
    </row>
    <row r="21" spans="1:16" ht="12.75" customHeight="1" x14ac:dyDescent="0.2">
      <c r="A21" s="330" t="str">
        <f t="shared" si="0"/>
        <v>01</v>
      </c>
      <c r="C21" s="3264" t="s">
        <v>70</v>
      </c>
      <c r="D21" s="3264"/>
      <c r="E21" s="3264"/>
      <c r="F21" s="3264"/>
      <c r="G21" s="3264"/>
      <c r="H21" s="335"/>
      <c r="I21" s="3264" t="s">
        <v>188</v>
      </c>
      <c r="J21" s="3264"/>
      <c r="K21" s="3264"/>
      <c r="L21" s="3264"/>
      <c r="M21" s="3264"/>
      <c r="N21" s="337"/>
      <c r="O21" s="337" t="s">
        <v>1158</v>
      </c>
      <c r="P21" s="335"/>
    </row>
    <row r="22" spans="1:16" ht="12.75" customHeight="1" x14ac:dyDescent="0.2">
      <c r="A22" s="330" t="str">
        <f t="shared" si="0"/>
        <v>01</v>
      </c>
      <c r="C22" s="3269" t="s">
        <v>118</v>
      </c>
      <c r="D22" s="3269"/>
      <c r="E22" s="3269"/>
      <c r="F22" s="3269"/>
      <c r="G22" s="3269"/>
      <c r="H22" s="335"/>
      <c r="I22" s="3269" t="s">
        <v>119</v>
      </c>
      <c r="J22" s="3269"/>
      <c r="K22" s="3269"/>
      <c r="L22" s="3269"/>
      <c r="M22" s="3269"/>
      <c r="N22" s="337"/>
      <c r="O22" s="1144" t="s">
        <v>996</v>
      </c>
      <c r="P22" s="335"/>
    </row>
    <row r="23" spans="1:16" ht="21.75" customHeight="1" x14ac:dyDescent="0.2">
      <c r="A23" s="330" t="str">
        <f t="shared" si="0"/>
        <v>01</v>
      </c>
      <c r="B23" s="330">
        <v>100</v>
      </c>
      <c r="C23" s="3270"/>
      <c r="D23" s="3270"/>
      <c r="E23" s="3270"/>
      <c r="F23" s="3270"/>
      <c r="G23" s="3270"/>
      <c r="H23" s="335"/>
      <c r="I23" s="3270"/>
      <c r="J23" s="3270"/>
      <c r="K23" s="3270"/>
      <c r="L23" s="3270"/>
      <c r="M23" s="3270"/>
      <c r="N23" s="335"/>
      <c r="O23" s="625"/>
      <c r="P23" s="335"/>
    </row>
    <row r="24" spans="1:16" ht="14.85" customHeight="1" x14ac:dyDescent="0.2">
      <c r="A24" s="330" t="str">
        <f t="shared" si="0"/>
        <v>01</v>
      </c>
      <c r="B24" s="330">
        <v>120</v>
      </c>
      <c r="C24" s="3270"/>
      <c r="D24" s="3270"/>
      <c r="E24" s="3270"/>
      <c r="F24" s="3270"/>
      <c r="G24" s="3270"/>
      <c r="H24" s="335"/>
      <c r="I24" s="3270"/>
      <c r="J24" s="3270"/>
      <c r="K24" s="3270"/>
      <c r="L24" s="3270"/>
      <c r="M24" s="3270"/>
      <c r="N24" s="335"/>
      <c r="O24" s="625"/>
      <c r="P24" s="335"/>
    </row>
    <row r="25" spans="1:16" ht="14.85" customHeight="1" x14ac:dyDescent="0.2">
      <c r="A25" s="330" t="str">
        <f t="shared" si="0"/>
        <v>01</v>
      </c>
      <c r="B25" s="330">
        <v>140</v>
      </c>
      <c r="C25" s="3270"/>
      <c r="D25" s="3270"/>
      <c r="E25" s="3270"/>
      <c r="F25" s="3270"/>
      <c r="G25" s="3270"/>
      <c r="H25" s="335"/>
      <c r="I25" s="3270"/>
      <c r="J25" s="3270"/>
      <c r="K25" s="3270"/>
      <c r="L25" s="3270"/>
      <c r="M25" s="3270"/>
      <c r="N25" s="335"/>
      <c r="O25" s="625"/>
      <c r="P25" s="335"/>
    </row>
    <row r="26" spans="1:16" ht="14.85" customHeight="1" x14ac:dyDescent="0.2">
      <c r="A26" s="330" t="str">
        <f t="shared" si="0"/>
        <v>01</v>
      </c>
      <c r="B26" s="330">
        <v>160</v>
      </c>
      <c r="C26" s="3270"/>
      <c r="D26" s="3270"/>
      <c r="E26" s="3270"/>
      <c r="F26" s="3270"/>
      <c r="G26" s="3270"/>
      <c r="H26" s="335"/>
      <c r="I26" s="3270"/>
      <c r="J26" s="3270"/>
      <c r="K26" s="3270"/>
      <c r="L26" s="3270"/>
      <c r="M26" s="3270"/>
      <c r="N26" s="335"/>
      <c r="O26" s="625"/>
      <c r="P26" s="335"/>
    </row>
    <row r="27" spans="1:16" ht="14.85" customHeight="1" x14ac:dyDescent="0.2">
      <c r="A27" s="330" t="str">
        <f t="shared" si="0"/>
        <v>01</v>
      </c>
      <c r="B27" s="330">
        <v>180</v>
      </c>
      <c r="C27" s="3270"/>
      <c r="D27" s="3270"/>
      <c r="E27" s="3270"/>
      <c r="F27" s="3270"/>
      <c r="G27" s="3270"/>
      <c r="H27" s="335"/>
      <c r="I27" s="3270"/>
      <c r="J27" s="3270"/>
      <c r="K27" s="3270"/>
      <c r="L27" s="3270"/>
      <c r="M27" s="3270"/>
      <c r="N27" s="335"/>
      <c r="O27" s="625"/>
      <c r="P27" s="335"/>
    </row>
    <row r="28" spans="1:16" ht="14.85" customHeight="1" x14ac:dyDescent="0.2">
      <c r="A28" s="330" t="str">
        <f t="shared" si="0"/>
        <v>01</v>
      </c>
      <c r="B28" s="330">
        <v>200</v>
      </c>
      <c r="C28" s="3270"/>
      <c r="D28" s="3270"/>
      <c r="E28" s="3270"/>
      <c r="F28" s="3270"/>
      <c r="G28" s="3270"/>
      <c r="H28" s="335"/>
      <c r="I28" s="3270"/>
      <c r="J28" s="3270"/>
      <c r="K28" s="3270"/>
      <c r="L28" s="3270"/>
      <c r="M28" s="3270"/>
      <c r="N28" s="335"/>
      <c r="O28" s="625"/>
      <c r="P28" s="335"/>
    </row>
    <row r="29" spans="1:16" ht="14.85" customHeight="1" x14ac:dyDescent="0.2">
      <c r="A29" s="330" t="str">
        <f t="shared" si="0"/>
        <v>01</v>
      </c>
      <c r="B29" s="330">
        <v>220</v>
      </c>
      <c r="C29" s="3270"/>
      <c r="D29" s="3270"/>
      <c r="E29" s="3270"/>
      <c r="F29" s="3270"/>
      <c r="G29" s="3270"/>
      <c r="H29" s="335"/>
      <c r="I29" s="3270"/>
      <c r="J29" s="3270"/>
      <c r="K29" s="3270"/>
      <c r="L29" s="3270"/>
      <c r="M29" s="3270"/>
      <c r="N29" s="335"/>
      <c r="O29" s="625"/>
      <c r="P29" s="335"/>
    </row>
    <row r="30" spans="1:16" ht="14.85" customHeight="1" x14ac:dyDescent="0.2">
      <c r="A30" s="330" t="str">
        <f t="shared" si="0"/>
        <v>01</v>
      </c>
      <c r="B30" s="330">
        <v>240</v>
      </c>
      <c r="C30" s="3270"/>
      <c r="D30" s="3270"/>
      <c r="E30" s="3270"/>
      <c r="F30" s="3270"/>
      <c r="G30" s="3270"/>
      <c r="H30" s="335"/>
      <c r="I30" s="3270"/>
      <c r="J30" s="3270"/>
      <c r="K30" s="3270"/>
      <c r="L30" s="3270"/>
      <c r="M30" s="3270"/>
      <c r="N30" s="335"/>
      <c r="O30" s="625"/>
      <c r="P30" s="335"/>
    </row>
    <row r="31" spans="1:16" ht="14.85" customHeight="1" x14ac:dyDescent="0.2">
      <c r="A31" s="330" t="str">
        <f t="shared" si="0"/>
        <v>01</v>
      </c>
      <c r="B31" s="330">
        <v>260</v>
      </c>
      <c r="C31" s="3270"/>
      <c r="D31" s="3270"/>
      <c r="E31" s="3270"/>
      <c r="F31" s="3270"/>
      <c r="G31" s="3270"/>
      <c r="H31" s="335"/>
      <c r="I31" s="3270"/>
      <c r="J31" s="3270"/>
      <c r="K31" s="3270"/>
      <c r="L31" s="3270"/>
      <c r="M31" s="3270"/>
      <c r="N31" s="335"/>
      <c r="O31" s="625"/>
      <c r="P31" s="335"/>
    </row>
    <row r="32" spans="1:16" ht="18.75" customHeight="1" thickBot="1" x14ac:dyDescent="0.25">
      <c r="A32" s="330" t="str">
        <f t="shared" si="0"/>
        <v>01</v>
      </c>
      <c r="B32" s="330">
        <v>280</v>
      </c>
      <c r="C32" s="339"/>
      <c r="D32" s="335"/>
      <c r="E32" s="335"/>
      <c r="F32" s="335"/>
      <c r="G32" s="335"/>
      <c r="H32" s="335"/>
      <c r="I32" s="335"/>
      <c r="J32" s="335"/>
      <c r="M32" s="355" t="s">
        <v>84</v>
      </c>
      <c r="N32" s="335"/>
      <c r="O32" s="328">
        <f>SUM(O23:O31)</f>
        <v>0</v>
      </c>
      <c r="P32" s="335"/>
    </row>
    <row r="33" spans="1:16" ht="8.1" customHeight="1" thickTop="1" x14ac:dyDescent="0.2">
      <c r="A33" s="330" t="str">
        <f t="shared" ref="A33:A56" si="1">AgyIdx</f>
        <v>01</v>
      </c>
      <c r="C33" s="339"/>
      <c r="D33" s="335"/>
      <c r="E33" s="335"/>
      <c r="F33" s="335"/>
      <c r="G33" s="335"/>
      <c r="H33" s="335"/>
      <c r="I33" s="335"/>
      <c r="J33" s="335"/>
      <c r="K33" s="355"/>
      <c r="L33" s="335"/>
      <c r="M33" s="335"/>
      <c r="N33" s="335"/>
      <c r="O33" s="335"/>
      <c r="P33" s="335"/>
    </row>
    <row r="34" spans="1:16" ht="8.1" customHeight="1" x14ac:dyDescent="0.2">
      <c r="A34" s="330" t="str">
        <f t="shared" si="1"/>
        <v>01</v>
      </c>
      <c r="C34" s="339"/>
      <c r="D34" s="335"/>
      <c r="E34" s="335"/>
      <c r="F34" s="335"/>
      <c r="G34" s="335"/>
      <c r="H34" s="335"/>
      <c r="I34" s="335"/>
      <c r="J34" s="335"/>
      <c r="K34" s="335"/>
      <c r="L34" s="335"/>
      <c r="M34" s="335"/>
      <c r="N34" s="335"/>
      <c r="O34" s="335"/>
      <c r="P34" s="335"/>
    </row>
    <row r="35" spans="1:16" ht="11.1" customHeight="1" x14ac:dyDescent="0.2">
      <c r="A35" s="330" t="str">
        <f t="shared" si="1"/>
        <v>01</v>
      </c>
      <c r="C35" s="347" t="s">
        <v>517</v>
      </c>
      <c r="D35" s="335" t="s">
        <v>431</v>
      </c>
      <c r="E35" s="335"/>
      <c r="F35" s="335"/>
      <c r="G35" s="335"/>
      <c r="H35" s="335"/>
      <c r="I35" s="335"/>
      <c r="J35" s="335"/>
      <c r="K35" s="335"/>
      <c r="L35" s="335"/>
      <c r="M35" s="335"/>
      <c r="N35" s="335"/>
      <c r="O35" s="335"/>
      <c r="P35" s="335"/>
    </row>
    <row r="36" spans="1:16" ht="11.1" customHeight="1" x14ac:dyDescent="0.25">
      <c r="A36" s="330" t="str">
        <f t="shared" si="1"/>
        <v>01</v>
      </c>
      <c r="C36" s="339"/>
      <c r="D36" s="335"/>
      <c r="E36" s="411" t="s">
        <v>3630</v>
      </c>
      <c r="F36" s="335"/>
      <c r="G36" s="335"/>
      <c r="H36" s="335"/>
      <c r="I36" s="335"/>
      <c r="J36" s="335"/>
      <c r="K36" s="335"/>
      <c r="L36" s="335"/>
      <c r="M36" s="335"/>
      <c r="N36" s="335"/>
      <c r="O36" s="335"/>
      <c r="P36" s="335"/>
    </row>
    <row r="37" spans="1:16" ht="11.1" customHeight="1" x14ac:dyDescent="0.25">
      <c r="A37" s="330" t="str">
        <f t="shared" si="1"/>
        <v>01</v>
      </c>
      <c r="C37" s="339"/>
      <c r="D37" s="335"/>
      <c r="E37" s="900" t="s">
        <v>3631</v>
      </c>
      <c r="F37" s="337"/>
      <c r="G37" s="337"/>
      <c r="H37" s="337"/>
      <c r="I37" s="337"/>
      <c r="J37" s="337"/>
      <c r="K37" s="337"/>
      <c r="L37" s="337"/>
      <c r="M37" s="337"/>
      <c r="N37" s="337"/>
      <c r="O37" s="335"/>
      <c r="P37" s="335"/>
    </row>
    <row r="38" spans="1:16" ht="11.1" customHeight="1" x14ac:dyDescent="0.25">
      <c r="A38" s="330" t="str">
        <f t="shared" si="1"/>
        <v>01</v>
      </c>
      <c r="C38" s="339"/>
      <c r="D38" s="335"/>
      <c r="E38" s="361" t="s">
        <v>187</v>
      </c>
      <c r="F38" s="359"/>
      <c r="G38" s="359"/>
      <c r="H38" s="359"/>
      <c r="I38" s="359"/>
      <c r="J38" s="359"/>
      <c r="K38" s="335"/>
      <c r="L38" s="335"/>
      <c r="M38" s="335"/>
      <c r="N38" s="335"/>
      <c r="O38" s="335"/>
      <c r="P38" s="335"/>
    </row>
    <row r="39" spans="1:16" ht="12" customHeight="1" thickBot="1" x14ac:dyDescent="0.3">
      <c r="A39" s="330" t="str">
        <f t="shared" si="1"/>
        <v>01</v>
      </c>
      <c r="C39" s="339"/>
      <c r="D39" s="335"/>
      <c r="E39" s="362" t="s">
        <v>167</v>
      </c>
      <c r="F39" s="360"/>
      <c r="G39" s="360"/>
      <c r="H39" s="360"/>
      <c r="I39" s="360"/>
      <c r="J39" s="360"/>
      <c r="K39" s="335"/>
      <c r="L39" s="335"/>
      <c r="M39" s="335"/>
      <c r="N39" s="335"/>
      <c r="O39" s="335"/>
      <c r="P39" s="335"/>
    </row>
    <row r="40" spans="1:16" ht="8.1" customHeight="1" thickTop="1" x14ac:dyDescent="0.2">
      <c r="A40" s="330" t="str">
        <f t="shared" si="1"/>
        <v>01</v>
      </c>
      <c r="C40" s="339"/>
      <c r="D40" s="335"/>
      <c r="E40" s="335"/>
      <c r="F40" s="335"/>
      <c r="G40" s="335"/>
      <c r="H40" s="335"/>
      <c r="I40" s="335"/>
      <c r="J40" s="335"/>
      <c r="K40" s="335"/>
      <c r="L40" s="335"/>
      <c r="M40" s="335"/>
      <c r="N40" s="335"/>
      <c r="O40" s="335"/>
      <c r="P40" s="335"/>
    </row>
    <row r="41" spans="1:16" ht="11.1" customHeight="1" x14ac:dyDescent="0.2">
      <c r="A41" s="330" t="str">
        <f t="shared" si="1"/>
        <v>01</v>
      </c>
      <c r="C41" s="347" t="s">
        <v>518</v>
      </c>
      <c r="D41" s="335" t="s">
        <v>774</v>
      </c>
      <c r="E41" s="335"/>
      <c r="F41" s="335"/>
      <c r="G41" s="335"/>
      <c r="H41" s="335"/>
      <c r="I41" s="335"/>
      <c r="J41" s="335"/>
      <c r="K41" s="335"/>
      <c r="L41" s="335"/>
      <c r="M41" s="335"/>
      <c r="N41" s="335"/>
      <c r="O41" s="335"/>
      <c r="P41" s="335"/>
    </row>
    <row r="42" spans="1:16" ht="11.1" customHeight="1" x14ac:dyDescent="0.2">
      <c r="A42" s="330" t="str">
        <f t="shared" si="1"/>
        <v>01</v>
      </c>
      <c r="C42" s="339"/>
      <c r="D42" s="335" t="s">
        <v>1210</v>
      </c>
      <c r="E42" s="335"/>
      <c r="F42" s="335"/>
      <c r="G42" s="335"/>
      <c r="H42" s="335"/>
      <c r="I42" s="335"/>
      <c r="J42" s="335"/>
      <c r="K42" s="335"/>
      <c r="L42" s="335"/>
      <c r="M42" s="335"/>
      <c r="N42" s="335"/>
      <c r="O42" s="335"/>
      <c r="P42" s="335"/>
    </row>
    <row r="43" spans="1:16" ht="10.35" customHeight="1" x14ac:dyDescent="0.2">
      <c r="A43" s="330" t="str">
        <f t="shared" si="1"/>
        <v>01</v>
      </c>
      <c r="C43" s="313"/>
      <c r="D43" s="335"/>
      <c r="E43" s="335"/>
      <c r="F43" s="335"/>
      <c r="G43" s="335"/>
      <c r="H43" s="335"/>
      <c r="I43" s="335"/>
      <c r="J43" s="335"/>
      <c r="K43" s="335"/>
      <c r="L43" s="335"/>
      <c r="M43" s="335"/>
      <c r="N43" s="335"/>
      <c r="O43" s="335"/>
      <c r="P43" s="335"/>
    </row>
    <row r="44" spans="1:16" ht="10.35" customHeight="1" x14ac:dyDescent="0.2">
      <c r="A44" s="330" t="str">
        <f t="shared" si="1"/>
        <v>01</v>
      </c>
      <c r="C44" s="335"/>
      <c r="D44" s="335"/>
      <c r="E44" s="335"/>
      <c r="F44" s="335"/>
      <c r="G44" s="335"/>
    </row>
    <row r="45" spans="1:16" ht="12" customHeight="1" x14ac:dyDescent="0.2">
      <c r="A45" s="330" t="str">
        <f t="shared" si="1"/>
        <v>01</v>
      </c>
      <c r="C45" s="344"/>
      <c r="D45" s="335"/>
      <c r="E45" s="335"/>
      <c r="F45" s="335"/>
      <c r="G45" s="335"/>
    </row>
    <row r="46" spans="1:16" x14ac:dyDescent="0.2">
      <c r="A46" s="330" t="str">
        <f t="shared" si="1"/>
        <v>01</v>
      </c>
    </row>
    <row r="47" spans="1:16" x14ac:dyDescent="0.2">
      <c r="A47" s="330" t="str">
        <f t="shared" si="1"/>
        <v>01</v>
      </c>
    </row>
    <row r="48" spans="1:16" x14ac:dyDescent="0.2">
      <c r="A48" s="330" t="str">
        <f t="shared" si="1"/>
        <v>01</v>
      </c>
    </row>
    <row r="49" spans="1:1" x14ac:dyDescent="0.2">
      <c r="A49" s="330" t="str">
        <f t="shared" si="1"/>
        <v>01</v>
      </c>
    </row>
    <row r="50" spans="1:1" x14ac:dyDescent="0.2">
      <c r="A50" s="330" t="str">
        <f t="shared" si="1"/>
        <v>01</v>
      </c>
    </row>
    <row r="51" spans="1:1" x14ac:dyDescent="0.2">
      <c r="A51" s="330" t="str">
        <f t="shared" si="1"/>
        <v>01</v>
      </c>
    </row>
    <row r="52" spans="1:1" x14ac:dyDescent="0.2">
      <c r="A52" s="330" t="str">
        <f t="shared" si="1"/>
        <v>01</v>
      </c>
    </row>
    <row r="53" spans="1:1" x14ac:dyDescent="0.2">
      <c r="A53" s="330" t="str">
        <f t="shared" si="1"/>
        <v>01</v>
      </c>
    </row>
    <row r="54" spans="1:1" x14ac:dyDescent="0.2">
      <c r="A54" s="330" t="str">
        <f t="shared" si="1"/>
        <v>01</v>
      </c>
    </row>
    <row r="55" spans="1:1" x14ac:dyDescent="0.2">
      <c r="A55" s="330" t="str">
        <f t="shared" si="1"/>
        <v>01</v>
      </c>
    </row>
    <row r="56" spans="1:1" x14ac:dyDescent="0.2">
      <c r="A56" s="330" t="str">
        <f t="shared" si="1"/>
        <v>01</v>
      </c>
    </row>
  </sheetData>
  <sheetProtection algorithmName="SHA-512" hashValue="ZPPG2bvILFzmtYcMytZ0qUMJIEnY8nWVKDEQizN33l9aRY4XRZckyPT8kCFMB3gdr8NnXUL8AtbF/6fRm5Yqlg==" saltValue="B5FKOPvatbTSZ2F9CtJQDg==" spinCount="100000" sheet="1" objects="1" scenarios="1" autoFilter="0"/>
  <customSheetViews>
    <customSheetView guid="{B08879A4-635B-4C39-9937-AC7883D562FC}" showGridLines="0" fitToPage="1" hiddenColumns="1" topLeftCell="C1">
      <selection activeCell="B12" sqref="B12"/>
      <pageMargins left="0.5" right="0.5" top="0.5" bottom="0.5" header="0.5" footer="0.25"/>
      <pageSetup scale="96"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ageSetup scale="96" orientation="landscape" r:id="rId4"/>
      <headerFooter alignWithMargins="0">
        <oddFooter>&amp;R&amp;A</oddFooter>
      </headerFooter>
    </customSheetView>
  </customSheetViews>
  <mergeCells count="34">
    <mergeCell ref="P1:P3"/>
    <mergeCell ref="C11:O12"/>
    <mergeCell ref="K6:O6"/>
    <mergeCell ref="K7:O7"/>
    <mergeCell ref="K8:O8"/>
    <mergeCell ref="F8:G8"/>
    <mergeCell ref="C1:O1"/>
    <mergeCell ref="I27:M27"/>
    <mergeCell ref="I28:M28"/>
    <mergeCell ref="C28:G28"/>
    <mergeCell ref="C31:G31"/>
    <mergeCell ref="C30:G30"/>
    <mergeCell ref="I30:M30"/>
    <mergeCell ref="I31:M31"/>
    <mergeCell ref="I29:M29"/>
    <mergeCell ref="C29:G29"/>
    <mergeCell ref="C27:G27"/>
    <mergeCell ref="C21:G21"/>
    <mergeCell ref="I20:K20"/>
    <mergeCell ref="I21:M21"/>
    <mergeCell ref="C2:O2"/>
    <mergeCell ref="C3:O3"/>
    <mergeCell ref="C4:O4"/>
    <mergeCell ref="F6:G6"/>
    <mergeCell ref="C22:G22"/>
    <mergeCell ref="I22:M22"/>
    <mergeCell ref="C26:G26"/>
    <mergeCell ref="I25:M25"/>
    <mergeCell ref="I26:M26"/>
    <mergeCell ref="C23:G23"/>
    <mergeCell ref="C24:G24"/>
    <mergeCell ref="I23:M23"/>
    <mergeCell ref="I24:M24"/>
    <mergeCell ref="C25:G25"/>
  </mergeCells>
  <phoneticPr fontId="15" type="noConversion"/>
  <conditionalFormatting sqref="P1:P3">
    <cfRule type="cellIs" dxfId="28" priority="1" stopIfTrue="1" operator="equal">
      <formula>"na"</formula>
    </cfRule>
  </conditionalFormatting>
  <hyperlinks>
    <hyperlink ref="C1:O1" location="Index!A1" display="Index!A1" xr:uid="{00000000-0004-0000-4300-000000000000}"/>
  </hyperlinks>
  <pageMargins left="0.5" right="0.5" top="0.5" bottom="0.5" header="0.5" footer="0.25"/>
  <pageSetup scale="96" orientation="landscape" r:id="rId5"/>
  <headerFooter alignWithMargins="0">
    <oddFooter>&amp;R&amp;A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0"/>
  <sheetViews>
    <sheetView showGridLines="0" topLeftCell="C1" zoomScaleNormal="100" workbookViewId="0">
      <selection activeCell="O39" sqref="O39"/>
    </sheetView>
  </sheetViews>
  <sheetFormatPr defaultColWidth="9.42578125" defaultRowHeight="12" x14ac:dyDescent="0.2"/>
  <cols>
    <col min="1" max="2" width="0" style="330" hidden="1" customWidth="1"/>
    <col min="3" max="3" width="2" style="330" customWidth="1"/>
    <col min="4" max="4" width="5.5703125" style="330" customWidth="1"/>
    <col min="5" max="5" width="8.42578125" style="330" customWidth="1"/>
    <col min="6" max="6" width="12.5703125" style="330" customWidth="1"/>
    <col min="7" max="7" width="14.5703125" style="330" bestFit="1" customWidth="1"/>
    <col min="8" max="8" width="12.5703125" style="330" customWidth="1"/>
    <col min="9" max="9" width="8.5703125" style="330" customWidth="1"/>
    <col min="10" max="10" width="1.42578125" style="330" customWidth="1"/>
    <col min="11" max="11" width="17.5703125" style="330" customWidth="1"/>
    <col min="12" max="12" width="1.42578125" style="330" customWidth="1"/>
    <col min="13" max="13" width="16.5703125" style="330" customWidth="1"/>
    <col min="14" max="14" width="1.42578125" style="330" customWidth="1"/>
    <col min="15" max="15" width="17.5703125" style="330" customWidth="1"/>
    <col min="16" max="16" width="4.5703125" style="330" customWidth="1"/>
    <col min="17" max="17" width="9.42578125" style="330"/>
    <col min="18" max="18" width="9.42578125" style="2350"/>
    <col min="19" max="16384" width="9.42578125" style="330"/>
  </cols>
  <sheetData>
    <row r="1" spans="1:18" ht="15.75" x14ac:dyDescent="0.25">
      <c r="A1" s="330" t="str">
        <f t="shared" ref="A1:A42" si="0">AgyIdx</f>
        <v>01</v>
      </c>
      <c r="C1" s="2767" t="str">
        <f>+Index!$A$1</f>
        <v xml:space="preserve">                                                               Office of the State Controller                                                                </v>
      </c>
      <c r="D1" s="2767"/>
      <c r="E1" s="2767"/>
      <c r="F1" s="2767"/>
      <c r="G1" s="2767"/>
      <c r="H1" s="2767"/>
      <c r="I1" s="2767"/>
      <c r="J1" s="2767"/>
      <c r="K1" s="2767"/>
      <c r="L1" s="2767"/>
      <c r="M1" s="2767"/>
      <c r="N1" s="2767"/>
      <c r="O1" s="2767"/>
      <c r="P1" s="2829" t="str">
        <f>IF(Index!$B$94="na","NA","")</f>
        <v/>
      </c>
    </row>
    <row r="2" spans="1:18" ht="15.75" x14ac:dyDescent="0.25">
      <c r="A2" s="330" t="str">
        <f t="shared" si="0"/>
        <v>01</v>
      </c>
      <c r="C2" s="2749" t="str">
        <f>+Index!$A$2</f>
        <v>2022 ACFR Worksheets</v>
      </c>
      <c r="D2" s="2749"/>
      <c r="E2" s="2749"/>
      <c r="F2" s="2749"/>
      <c r="G2" s="2749"/>
      <c r="H2" s="2749"/>
      <c r="I2" s="2749"/>
      <c r="J2" s="2749"/>
      <c r="K2" s="2749"/>
      <c r="L2" s="2749"/>
      <c r="M2" s="2749"/>
      <c r="N2" s="2749"/>
      <c r="O2" s="2749"/>
      <c r="P2" s="2829"/>
    </row>
    <row r="3" spans="1:18" ht="15.75" x14ac:dyDescent="0.25">
      <c r="A3" s="330" t="str">
        <f t="shared" si="0"/>
        <v>01</v>
      </c>
      <c r="C3" s="2749" t="s">
        <v>1075</v>
      </c>
      <c r="D3" s="2749"/>
      <c r="E3" s="2749"/>
      <c r="F3" s="2749"/>
      <c r="G3" s="2749"/>
      <c r="H3" s="2749"/>
      <c r="I3" s="2749"/>
      <c r="J3" s="2749"/>
      <c r="K3" s="2749"/>
      <c r="L3" s="2749"/>
      <c r="M3" s="2749"/>
      <c r="N3" s="2749"/>
      <c r="O3" s="2749"/>
      <c r="P3" s="2829"/>
    </row>
    <row r="4" spans="1:18" ht="15.75" x14ac:dyDescent="0.25">
      <c r="A4" s="330" t="str">
        <f t="shared" si="0"/>
        <v>01</v>
      </c>
      <c r="C4" s="2749" t="s">
        <v>3606</v>
      </c>
      <c r="D4" s="2749"/>
      <c r="E4" s="2749"/>
      <c r="F4" s="2749"/>
      <c r="G4" s="2749"/>
      <c r="H4" s="2749"/>
      <c r="I4" s="2749"/>
      <c r="J4" s="2749"/>
      <c r="K4" s="2749"/>
      <c r="L4" s="2749"/>
      <c r="M4" s="2749"/>
      <c r="N4" s="2749"/>
      <c r="O4" s="2749"/>
      <c r="P4" s="281"/>
    </row>
    <row r="5" spans="1:18" ht="15" customHeight="1" x14ac:dyDescent="0.2">
      <c r="A5" s="330" t="str">
        <f t="shared" si="0"/>
        <v>01</v>
      </c>
      <c r="K5" s="430"/>
    </row>
    <row r="6" spans="1:18" ht="15" customHeight="1" x14ac:dyDescent="0.2">
      <c r="A6" s="330" t="str">
        <f t="shared" si="0"/>
        <v>01</v>
      </c>
      <c r="C6" s="14" t="s">
        <v>327</v>
      </c>
      <c r="F6" s="2915" t="str">
        <f>+Index!$E$10</f>
        <v>01</v>
      </c>
      <c r="G6" s="2915"/>
      <c r="I6" s="9" t="s">
        <v>1154</v>
      </c>
      <c r="K6" s="3257" t="str">
        <f>+Index!$E$11</f>
        <v>North Carolina General Assembly</v>
      </c>
      <c r="L6" s="3257"/>
      <c r="M6" s="3257"/>
      <c r="N6" s="3257"/>
      <c r="O6" s="3257"/>
    </row>
    <row r="7" spans="1:18" ht="15" customHeight="1" x14ac:dyDescent="0.2">
      <c r="A7" s="330" t="str">
        <f t="shared" si="0"/>
        <v>01</v>
      </c>
      <c r="I7" s="9" t="s">
        <v>972</v>
      </c>
      <c r="K7" s="3259" t="str">
        <f>CONCATENATE(Index!$E$12," ",Index!$E$14)</f>
        <v xml:space="preserve"> </v>
      </c>
      <c r="L7" s="3259"/>
      <c r="M7" s="3259"/>
      <c r="N7" s="3259"/>
      <c r="O7" s="3259"/>
    </row>
    <row r="8" spans="1:18" ht="15" customHeight="1" x14ac:dyDescent="0.2">
      <c r="A8" s="330" t="str">
        <f t="shared" si="0"/>
        <v>01</v>
      </c>
      <c r="C8" s="8" t="s">
        <v>477</v>
      </c>
      <c r="D8" s="272"/>
      <c r="F8" s="3251" t="s">
        <v>971</v>
      </c>
      <c r="G8" s="3251"/>
      <c r="H8" s="357"/>
      <c r="I8" s="9" t="s">
        <v>348</v>
      </c>
      <c r="K8" s="3213">
        <f>+Index!$E$13</f>
        <v>0</v>
      </c>
      <c r="L8" s="3213"/>
      <c r="M8" s="3213"/>
      <c r="N8" s="3213"/>
      <c r="O8" s="3213"/>
    </row>
    <row r="9" spans="1:18" ht="15" customHeight="1" thickBot="1" x14ac:dyDescent="0.25">
      <c r="A9" s="330" t="str">
        <f t="shared" si="0"/>
        <v>01</v>
      </c>
      <c r="C9" s="331"/>
      <c r="D9" s="332"/>
      <c r="E9" s="332"/>
      <c r="F9" s="333"/>
      <c r="G9" s="333"/>
      <c r="H9" s="333"/>
      <c r="I9" s="333"/>
      <c r="J9" s="333"/>
      <c r="K9" s="333"/>
      <c r="L9" s="333"/>
      <c r="M9" s="334"/>
      <c r="N9" s="333"/>
      <c r="O9" s="333"/>
    </row>
    <row r="10" spans="1:18" ht="15" customHeight="1" x14ac:dyDescent="0.2">
      <c r="A10" s="330" t="str">
        <f t="shared" si="0"/>
        <v>01</v>
      </c>
      <c r="C10" s="346"/>
      <c r="D10" s="388"/>
      <c r="E10" s="388"/>
      <c r="M10" s="9"/>
    </row>
    <row r="11" spans="1:18" ht="15" customHeight="1" x14ac:dyDescent="0.2">
      <c r="A11" s="330" t="str">
        <f t="shared" si="0"/>
        <v>01</v>
      </c>
      <c r="C11" s="1422" t="s">
        <v>3607</v>
      </c>
      <c r="D11" s="388"/>
      <c r="E11" s="388"/>
      <c r="M11" s="9"/>
    </row>
    <row r="12" spans="1:18" ht="15" customHeight="1" x14ac:dyDescent="0.2">
      <c r="A12" s="330" t="str">
        <f t="shared" si="0"/>
        <v>01</v>
      </c>
      <c r="C12" s="3273" t="s">
        <v>4935</v>
      </c>
      <c r="D12" s="3273"/>
      <c r="E12" s="3273"/>
      <c r="F12" s="3273"/>
      <c r="G12" s="3273"/>
      <c r="H12" s="3273"/>
      <c r="I12" s="3273"/>
      <c r="J12" s="3273"/>
      <c r="K12" s="3273"/>
      <c r="L12" s="3273"/>
      <c r="M12" s="3273"/>
      <c r="N12" s="3273"/>
      <c r="O12" s="3273"/>
    </row>
    <row r="13" spans="1:18" ht="15" customHeight="1" x14ac:dyDescent="0.2">
      <c r="A13" s="330" t="str">
        <f t="shared" si="0"/>
        <v>01</v>
      </c>
      <c r="C13" s="3273"/>
      <c r="D13" s="3273"/>
      <c r="E13" s="3273"/>
      <c r="F13" s="3273"/>
      <c r="G13" s="3273"/>
      <c r="H13" s="3273"/>
      <c r="I13" s="3273"/>
      <c r="J13" s="3273"/>
      <c r="K13" s="3273"/>
      <c r="L13" s="3273"/>
      <c r="M13" s="3273"/>
      <c r="N13" s="3273"/>
      <c r="O13" s="3273"/>
    </row>
    <row r="14" spans="1:18" x14ac:dyDescent="0.2">
      <c r="A14" s="330" t="str">
        <f t="shared" si="0"/>
        <v>01</v>
      </c>
      <c r="D14" s="335"/>
      <c r="E14" s="335"/>
      <c r="F14" s="335"/>
      <c r="G14" s="335"/>
      <c r="H14" s="335"/>
      <c r="I14" s="335"/>
      <c r="J14" s="335"/>
      <c r="K14" s="3264" t="s">
        <v>3922</v>
      </c>
      <c r="L14" s="3264"/>
      <c r="M14" s="3264"/>
      <c r="N14" s="337"/>
      <c r="O14" s="337" t="s">
        <v>1158</v>
      </c>
    </row>
    <row r="15" spans="1:18" ht="12.75" customHeight="1" x14ac:dyDescent="0.2">
      <c r="A15" s="330" t="str">
        <f t="shared" si="0"/>
        <v>01</v>
      </c>
      <c r="C15" s="3264" t="s">
        <v>70</v>
      </c>
      <c r="D15" s="3264"/>
      <c r="E15" s="3264"/>
      <c r="F15" s="3264"/>
      <c r="G15" s="3264"/>
      <c r="H15" s="3264"/>
      <c r="I15" s="3264"/>
      <c r="J15" s="335"/>
      <c r="K15" s="3264" t="s">
        <v>505</v>
      </c>
      <c r="L15" s="3264"/>
      <c r="M15" s="3264"/>
      <c r="N15" s="337"/>
      <c r="O15" s="337" t="s">
        <v>814</v>
      </c>
    </row>
    <row r="16" spans="1:18" ht="22.5" customHeight="1" x14ac:dyDescent="0.2">
      <c r="A16" s="330" t="str">
        <f t="shared" si="0"/>
        <v>01</v>
      </c>
      <c r="C16" s="3275" t="s">
        <v>118</v>
      </c>
      <c r="D16" s="3275"/>
      <c r="E16" s="3275"/>
      <c r="F16" s="3275"/>
      <c r="G16" s="3275"/>
      <c r="H16" s="3275"/>
      <c r="I16" s="3275"/>
      <c r="J16" s="1430"/>
      <c r="K16" s="3275" t="s">
        <v>119</v>
      </c>
      <c r="L16" s="3275"/>
      <c r="M16" s="3275"/>
      <c r="N16" s="1430"/>
      <c r="O16" s="1429" t="s">
        <v>996</v>
      </c>
      <c r="P16" s="335"/>
      <c r="R16" s="2351" t="s">
        <v>5110</v>
      </c>
    </row>
    <row r="17" spans="1:18" ht="14.85" customHeight="1" x14ac:dyDescent="0.2">
      <c r="A17" s="330" t="str">
        <f t="shared" si="0"/>
        <v>01</v>
      </c>
      <c r="B17" s="330">
        <v>100</v>
      </c>
      <c r="C17" s="3274" t="s">
        <v>5153</v>
      </c>
      <c r="D17" s="3274"/>
      <c r="E17" s="3274"/>
      <c r="F17" s="3274"/>
      <c r="G17" s="3274"/>
      <c r="H17" s="3274"/>
      <c r="I17" s="3274"/>
      <c r="J17" s="335"/>
      <c r="K17" s="3274" t="s">
        <v>5172</v>
      </c>
      <c r="L17" s="3274"/>
      <c r="M17" s="3274"/>
      <c r="N17" s="335"/>
      <c r="O17" s="625"/>
      <c r="P17" s="335"/>
      <c r="R17" s="2350" t="str">
        <f>IF(C17="Other hedge funds","Hedge funds",IF(C17="Foreign Common Stock","Foreign stocks",IF(C17="","",C17)))</f>
        <v>Select Investment Type (Click here)</v>
      </c>
    </row>
    <row r="18" spans="1:18" ht="14.85" customHeight="1" x14ac:dyDescent="0.2">
      <c r="A18" s="330" t="str">
        <f t="shared" si="0"/>
        <v>01</v>
      </c>
      <c r="B18" s="330">
        <v>120</v>
      </c>
      <c r="C18" s="3274" t="s">
        <v>5153</v>
      </c>
      <c r="D18" s="3274"/>
      <c r="E18" s="3274"/>
      <c r="F18" s="3274"/>
      <c r="G18" s="3274"/>
      <c r="H18" s="3274"/>
      <c r="I18" s="3274"/>
      <c r="J18" s="335"/>
      <c r="K18" s="3274" t="s">
        <v>5172</v>
      </c>
      <c r="L18" s="3274"/>
      <c r="M18" s="3274"/>
      <c r="N18" s="335"/>
      <c r="O18" s="625"/>
      <c r="P18" s="335"/>
      <c r="R18" s="2350" t="str">
        <f t="shared" ref="R18:R40" si="1">IF(C18="Other hedge funds","Hedge funds",IF(C18="","",C18))</f>
        <v>Select Investment Type (Click here)</v>
      </c>
    </row>
    <row r="19" spans="1:18" ht="14.85" customHeight="1" x14ac:dyDescent="0.2">
      <c r="A19" s="330" t="str">
        <f t="shared" si="0"/>
        <v>01</v>
      </c>
      <c r="B19" s="330">
        <v>140</v>
      </c>
      <c r="C19" s="3274" t="s">
        <v>5153</v>
      </c>
      <c r="D19" s="3274"/>
      <c r="E19" s="3274"/>
      <c r="F19" s="3274"/>
      <c r="G19" s="3274"/>
      <c r="H19" s="3274"/>
      <c r="I19" s="3274"/>
      <c r="J19" s="335"/>
      <c r="K19" s="3274" t="s">
        <v>5172</v>
      </c>
      <c r="L19" s="3274"/>
      <c r="M19" s="3274"/>
      <c r="N19" s="335"/>
      <c r="O19" s="625"/>
      <c r="P19" s="335"/>
      <c r="R19" s="2350" t="str">
        <f t="shared" si="1"/>
        <v>Select Investment Type (Click here)</v>
      </c>
    </row>
    <row r="20" spans="1:18" ht="14.85" customHeight="1" x14ac:dyDescent="0.2">
      <c r="A20" s="330" t="str">
        <f t="shared" si="0"/>
        <v>01</v>
      </c>
      <c r="B20" s="330">
        <v>160</v>
      </c>
      <c r="C20" s="3274" t="s">
        <v>5153</v>
      </c>
      <c r="D20" s="3274"/>
      <c r="E20" s="3274"/>
      <c r="F20" s="3274"/>
      <c r="G20" s="3274"/>
      <c r="H20" s="3274"/>
      <c r="I20" s="3274"/>
      <c r="J20" s="335"/>
      <c r="K20" s="3274" t="s">
        <v>5172</v>
      </c>
      <c r="L20" s="3274"/>
      <c r="M20" s="3274"/>
      <c r="N20" s="335"/>
      <c r="O20" s="625"/>
      <c r="P20" s="335"/>
      <c r="R20" s="2350" t="str">
        <f t="shared" si="1"/>
        <v>Select Investment Type (Click here)</v>
      </c>
    </row>
    <row r="21" spans="1:18" ht="14.85" customHeight="1" x14ac:dyDescent="0.2">
      <c r="A21" s="330" t="str">
        <f t="shared" si="0"/>
        <v>01</v>
      </c>
      <c r="B21" s="330">
        <v>180</v>
      </c>
      <c r="C21" s="3274" t="s">
        <v>5153</v>
      </c>
      <c r="D21" s="3274"/>
      <c r="E21" s="3274"/>
      <c r="F21" s="3274"/>
      <c r="G21" s="3274"/>
      <c r="H21" s="3274"/>
      <c r="I21" s="3274"/>
      <c r="J21" s="335"/>
      <c r="K21" s="3274" t="s">
        <v>5172</v>
      </c>
      <c r="L21" s="3274"/>
      <c r="M21" s="3274"/>
      <c r="N21" s="335"/>
      <c r="O21" s="625"/>
      <c r="P21" s="335"/>
      <c r="R21" s="2350" t="str">
        <f t="shared" si="1"/>
        <v>Select Investment Type (Click here)</v>
      </c>
    </row>
    <row r="22" spans="1:18" ht="14.85" customHeight="1" x14ac:dyDescent="0.2">
      <c r="A22" s="330" t="str">
        <f t="shared" si="0"/>
        <v>01</v>
      </c>
      <c r="B22" s="330">
        <v>200</v>
      </c>
      <c r="C22" s="3274" t="s">
        <v>5153</v>
      </c>
      <c r="D22" s="3274"/>
      <c r="E22" s="3274"/>
      <c r="F22" s="3274"/>
      <c r="G22" s="3274"/>
      <c r="H22" s="3274"/>
      <c r="I22" s="3274"/>
      <c r="J22" s="335"/>
      <c r="K22" s="3274" t="s">
        <v>5172</v>
      </c>
      <c r="L22" s="3274"/>
      <c r="M22" s="3274"/>
      <c r="N22" s="335"/>
      <c r="O22" s="625"/>
      <c r="P22" s="335"/>
      <c r="R22" s="2350" t="str">
        <f t="shared" si="1"/>
        <v>Select Investment Type (Click here)</v>
      </c>
    </row>
    <row r="23" spans="1:18" ht="14.85" customHeight="1" x14ac:dyDescent="0.2">
      <c r="A23" s="330" t="str">
        <f t="shared" si="0"/>
        <v>01</v>
      </c>
      <c r="B23" s="330">
        <v>220</v>
      </c>
      <c r="C23" s="3274" t="s">
        <v>5153</v>
      </c>
      <c r="D23" s="3274"/>
      <c r="E23" s="3274"/>
      <c r="F23" s="3274"/>
      <c r="G23" s="3274"/>
      <c r="H23" s="3274"/>
      <c r="I23" s="3274"/>
      <c r="J23" s="335"/>
      <c r="K23" s="3274" t="s">
        <v>5172</v>
      </c>
      <c r="L23" s="3274"/>
      <c r="M23" s="3274"/>
      <c r="N23" s="335"/>
      <c r="O23" s="625"/>
      <c r="P23" s="335"/>
      <c r="R23" s="2350" t="str">
        <f t="shared" si="1"/>
        <v>Select Investment Type (Click here)</v>
      </c>
    </row>
    <row r="24" spans="1:18" ht="14.85" customHeight="1" x14ac:dyDescent="0.2">
      <c r="A24" s="330" t="str">
        <f t="shared" si="0"/>
        <v>01</v>
      </c>
      <c r="B24" s="330">
        <v>240</v>
      </c>
      <c r="C24" s="3274" t="s">
        <v>5153</v>
      </c>
      <c r="D24" s="3274"/>
      <c r="E24" s="3274"/>
      <c r="F24" s="3274"/>
      <c r="G24" s="3274"/>
      <c r="H24" s="3274"/>
      <c r="I24" s="3274"/>
      <c r="J24" s="335"/>
      <c r="K24" s="3274" t="s">
        <v>5172</v>
      </c>
      <c r="L24" s="3274"/>
      <c r="M24" s="3274"/>
      <c r="N24" s="335"/>
      <c r="O24" s="625"/>
      <c r="P24" s="335"/>
      <c r="R24" s="2350" t="str">
        <f t="shared" si="1"/>
        <v>Select Investment Type (Click here)</v>
      </c>
    </row>
    <row r="25" spans="1:18" ht="14.85" customHeight="1" x14ac:dyDescent="0.2">
      <c r="A25" s="330" t="str">
        <f t="shared" si="0"/>
        <v>01</v>
      </c>
      <c r="B25" s="330">
        <v>260</v>
      </c>
      <c r="C25" s="3274" t="s">
        <v>5153</v>
      </c>
      <c r="D25" s="3274"/>
      <c r="E25" s="3274"/>
      <c r="F25" s="3274"/>
      <c r="G25" s="3274"/>
      <c r="H25" s="3274"/>
      <c r="I25" s="3274"/>
      <c r="J25" s="335"/>
      <c r="K25" s="3274" t="s">
        <v>5172</v>
      </c>
      <c r="L25" s="3274"/>
      <c r="M25" s="3274"/>
      <c r="N25" s="335"/>
      <c r="O25" s="625"/>
      <c r="P25" s="335"/>
      <c r="R25" s="2350" t="str">
        <f t="shared" si="1"/>
        <v>Select Investment Type (Click here)</v>
      </c>
    </row>
    <row r="26" spans="1:18" ht="14.85" customHeight="1" x14ac:dyDescent="0.2">
      <c r="A26" s="330" t="str">
        <f t="shared" si="0"/>
        <v>01</v>
      </c>
      <c r="B26" s="330">
        <v>280</v>
      </c>
      <c r="C26" s="3274" t="s">
        <v>5153</v>
      </c>
      <c r="D26" s="3274"/>
      <c r="E26" s="3274"/>
      <c r="F26" s="3274"/>
      <c r="G26" s="3274"/>
      <c r="H26" s="3274"/>
      <c r="I26" s="3274"/>
      <c r="J26" s="335"/>
      <c r="K26" s="3274" t="s">
        <v>5172</v>
      </c>
      <c r="L26" s="3274"/>
      <c r="M26" s="3274"/>
      <c r="N26" s="335"/>
      <c r="O26" s="625"/>
      <c r="P26" s="335"/>
      <c r="R26" s="2350" t="str">
        <f t="shared" si="1"/>
        <v>Select Investment Type (Click here)</v>
      </c>
    </row>
    <row r="27" spans="1:18" ht="14.85" customHeight="1" x14ac:dyDescent="0.2">
      <c r="A27" s="330" t="str">
        <f t="shared" si="0"/>
        <v>01</v>
      </c>
      <c r="B27" s="330">
        <v>300</v>
      </c>
      <c r="C27" s="3274" t="s">
        <v>5153</v>
      </c>
      <c r="D27" s="3274"/>
      <c r="E27" s="3274"/>
      <c r="F27" s="3274"/>
      <c r="G27" s="3274"/>
      <c r="H27" s="3274"/>
      <c r="I27" s="3274"/>
      <c r="J27" s="335"/>
      <c r="K27" s="3274" t="s">
        <v>5172</v>
      </c>
      <c r="L27" s="3274"/>
      <c r="M27" s="3274"/>
      <c r="N27" s="335"/>
      <c r="O27" s="625"/>
      <c r="P27" s="335"/>
      <c r="R27" s="2350" t="str">
        <f t="shared" si="1"/>
        <v>Select Investment Type (Click here)</v>
      </c>
    </row>
    <row r="28" spans="1:18" ht="14.85" customHeight="1" x14ac:dyDescent="0.2">
      <c r="A28" s="330" t="str">
        <f t="shared" si="0"/>
        <v>01</v>
      </c>
      <c r="B28" s="330">
        <v>320</v>
      </c>
      <c r="C28" s="3274" t="s">
        <v>5153</v>
      </c>
      <c r="D28" s="3274"/>
      <c r="E28" s="3274"/>
      <c r="F28" s="3274"/>
      <c r="G28" s="3274"/>
      <c r="H28" s="3274"/>
      <c r="I28" s="3274"/>
      <c r="J28" s="335"/>
      <c r="K28" s="3274" t="s">
        <v>5172</v>
      </c>
      <c r="L28" s="3274"/>
      <c r="M28" s="3274"/>
      <c r="N28" s="335"/>
      <c r="O28" s="625"/>
      <c r="P28" s="335"/>
      <c r="R28" s="2350" t="str">
        <f t="shared" si="1"/>
        <v>Select Investment Type (Click here)</v>
      </c>
    </row>
    <row r="29" spans="1:18" ht="14.85" customHeight="1" x14ac:dyDescent="0.2">
      <c r="A29" s="330" t="str">
        <f t="shared" si="0"/>
        <v>01</v>
      </c>
      <c r="C29" s="3274" t="s">
        <v>5153</v>
      </c>
      <c r="D29" s="3274"/>
      <c r="E29" s="3274"/>
      <c r="F29" s="3274"/>
      <c r="G29" s="3274"/>
      <c r="H29" s="3274"/>
      <c r="I29" s="3274"/>
      <c r="J29" s="335"/>
      <c r="K29" s="3274" t="s">
        <v>5172</v>
      </c>
      <c r="L29" s="3274"/>
      <c r="M29" s="3274"/>
      <c r="N29" s="335"/>
      <c r="O29" s="625"/>
      <c r="P29" s="335"/>
      <c r="R29" s="2350" t="str">
        <f t="shared" si="1"/>
        <v>Select Investment Type (Click here)</v>
      </c>
    </row>
    <row r="30" spans="1:18" ht="14.85" customHeight="1" x14ac:dyDescent="0.2">
      <c r="A30" s="330" t="str">
        <f t="shared" si="0"/>
        <v>01</v>
      </c>
      <c r="C30" s="3274" t="s">
        <v>5153</v>
      </c>
      <c r="D30" s="3274"/>
      <c r="E30" s="3274"/>
      <c r="F30" s="3274"/>
      <c r="G30" s="3274"/>
      <c r="H30" s="3274"/>
      <c r="I30" s="3274"/>
      <c r="J30" s="335"/>
      <c r="K30" s="3274" t="s">
        <v>5172</v>
      </c>
      <c r="L30" s="3274"/>
      <c r="M30" s="3274"/>
      <c r="N30" s="335"/>
      <c r="O30" s="625"/>
      <c r="P30" s="335"/>
      <c r="R30" s="2350" t="str">
        <f t="shared" si="1"/>
        <v>Select Investment Type (Click here)</v>
      </c>
    </row>
    <row r="31" spans="1:18" ht="14.85" customHeight="1" x14ac:dyDescent="0.2">
      <c r="A31" s="330" t="str">
        <f t="shared" si="0"/>
        <v>01</v>
      </c>
      <c r="C31" s="3274" t="s">
        <v>5153</v>
      </c>
      <c r="D31" s="3274"/>
      <c r="E31" s="3274"/>
      <c r="F31" s="3274"/>
      <c r="G31" s="3274"/>
      <c r="H31" s="3274"/>
      <c r="I31" s="3274"/>
      <c r="J31" s="335"/>
      <c r="K31" s="3274" t="s">
        <v>5172</v>
      </c>
      <c r="L31" s="3274"/>
      <c r="M31" s="3274"/>
      <c r="N31" s="335"/>
      <c r="O31" s="625"/>
      <c r="P31" s="335"/>
      <c r="R31" s="2350" t="str">
        <f t="shared" si="1"/>
        <v>Select Investment Type (Click here)</v>
      </c>
    </row>
    <row r="32" spans="1:18" ht="14.85" customHeight="1" x14ac:dyDescent="0.2">
      <c r="A32" s="330" t="str">
        <f t="shared" si="0"/>
        <v>01</v>
      </c>
      <c r="C32" s="3274" t="s">
        <v>5153</v>
      </c>
      <c r="D32" s="3274"/>
      <c r="E32" s="3274"/>
      <c r="F32" s="3274"/>
      <c r="G32" s="3274"/>
      <c r="H32" s="3274"/>
      <c r="I32" s="3274"/>
      <c r="J32" s="335"/>
      <c r="K32" s="3274" t="s">
        <v>5172</v>
      </c>
      <c r="L32" s="3274"/>
      <c r="M32" s="3274"/>
      <c r="N32" s="335"/>
      <c r="O32" s="625"/>
      <c r="P32" s="335"/>
      <c r="R32" s="2350" t="str">
        <f t="shared" si="1"/>
        <v>Select Investment Type (Click here)</v>
      </c>
    </row>
    <row r="33" spans="1:18" ht="14.85" customHeight="1" x14ac:dyDescent="0.2">
      <c r="A33" s="330" t="str">
        <f t="shared" si="0"/>
        <v>01</v>
      </c>
      <c r="C33" s="3274" t="s">
        <v>5153</v>
      </c>
      <c r="D33" s="3274"/>
      <c r="E33" s="3274"/>
      <c r="F33" s="3274"/>
      <c r="G33" s="3274"/>
      <c r="H33" s="3274"/>
      <c r="I33" s="3274"/>
      <c r="J33" s="335"/>
      <c r="K33" s="3274" t="s">
        <v>5172</v>
      </c>
      <c r="L33" s="3274"/>
      <c r="M33" s="3274"/>
      <c r="N33" s="335"/>
      <c r="O33" s="625"/>
      <c r="P33" s="335"/>
      <c r="R33" s="2350" t="str">
        <f t="shared" si="1"/>
        <v>Select Investment Type (Click here)</v>
      </c>
    </row>
    <row r="34" spans="1:18" ht="14.85" customHeight="1" x14ac:dyDescent="0.2">
      <c r="A34" s="330" t="str">
        <f t="shared" si="0"/>
        <v>01</v>
      </c>
      <c r="C34" s="3274" t="s">
        <v>5153</v>
      </c>
      <c r="D34" s="3274"/>
      <c r="E34" s="3274"/>
      <c r="F34" s="3274"/>
      <c r="G34" s="3274"/>
      <c r="H34" s="3274"/>
      <c r="I34" s="3274"/>
      <c r="J34" s="335"/>
      <c r="K34" s="3274" t="s">
        <v>5172</v>
      </c>
      <c r="L34" s="3274"/>
      <c r="M34" s="3274"/>
      <c r="N34" s="335"/>
      <c r="O34" s="625"/>
      <c r="P34" s="335"/>
      <c r="R34" s="2350" t="str">
        <f t="shared" si="1"/>
        <v>Select Investment Type (Click here)</v>
      </c>
    </row>
    <row r="35" spans="1:18" ht="14.85" customHeight="1" x14ac:dyDescent="0.2">
      <c r="A35" s="330" t="str">
        <f t="shared" si="0"/>
        <v>01</v>
      </c>
      <c r="C35" s="3274" t="s">
        <v>5153</v>
      </c>
      <c r="D35" s="3274"/>
      <c r="E35" s="3274"/>
      <c r="F35" s="3274"/>
      <c r="G35" s="3274"/>
      <c r="H35" s="3274"/>
      <c r="I35" s="3274"/>
      <c r="J35" s="335"/>
      <c r="K35" s="3274" t="s">
        <v>5172</v>
      </c>
      <c r="L35" s="3274"/>
      <c r="M35" s="3274"/>
      <c r="N35" s="335"/>
      <c r="O35" s="625"/>
      <c r="P35" s="335"/>
      <c r="R35" s="2350" t="str">
        <f t="shared" si="1"/>
        <v>Select Investment Type (Click here)</v>
      </c>
    </row>
    <row r="36" spans="1:18" ht="14.85" customHeight="1" x14ac:dyDescent="0.2">
      <c r="A36" s="330" t="str">
        <f t="shared" si="0"/>
        <v>01</v>
      </c>
      <c r="C36" s="3274" t="s">
        <v>5153</v>
      </c>
      <c r="D36" s="3274"/>
      <c r="E36" s="3274"/>
      <c r="F36" s="3274"/>
      <c r="G36" s="3274"/>
      <c r="H36" s="3274"/>
      <c r="I36" s="3274"/>
      <c r="J36" s="335"/>
      <c r="K36" s="3274" t="s">
        <v>5172</v>
      </c>
      <c r="L36" s="3274"/>
      <c r="M36" s="3274"/>
      <c r="N36" s="335"/>
      <c r="O36" s="625"/>
      <c r="P36" s="335"/>
      <c r="R36" s="2350" t="str">
        <f t="shared" si="1"/>
        <v>Select Investment Type (Click here)</v>
      </c>
    </row>
    <row r="37" spans="1:18" ht="14.85" customHeight="1" x14ac:dyDescent="0.2">
      <c r="A37" s="330" t="str">
        <f t="shared" si="0"/>
        <v>01</v>
      </c>
      <c r="B37" s="330">
        <v>340</v>
      </c>
      <c r="C37" s="3274" t="s">
        <v>5153</v>
      </c>
      <c r="D37" s="3274"/>
      <c r="E37" s="3274"/>
      <c r="F37" s="3274"/>
      <c r="G37" s="3274"/>
      <c r="H37" s="3274"/>
      <c r="I37" s="3274"/>
      <c r="J37" s="335"/>
      <c r="K37" s="3274" t="s">
        <v>5172</v>
      </c>
      <c r="L37" s="3274"/>
      <c r="M37" s="3274"/>
      <c r="N37" s="335"/>
      <c r="O37" s="625"/>
      <c r="P37" s="335"/>
      <c r="R37" s="2350" t="str">
        <f t="shared" si="1"/>
        <v>Select Investment Type (Click here)</v>
      </c>
    </row>
    <row r="38" spans="1:18" ht="14.85" customHeight="1" x14ac:dyDescent="0.2">
      <c r="A38" s="330" t="str">
        <f t="shared" si="0"/>
        <v>01</v>
      </c>
      <c r="B38" s="330">
        <v>360</v>
      </c>
      <c r="C38" s="3274" t="s">
        <v>5153</v>
      </c>
      <c r="D38" s="3274"/>
      <c r="E38" s="3274"/>
      <c r="F38" s="3274"/>
      <c r="G38" s="3274"/>
      <c r="H38" s="3274"/>
      <c r="I38" s="3274"/>
      <c r="J38" s="335"/>
      <c r="K38" s="3274" t="s">
        <v>5172</v>
      </c>
      <c r="L38" s="3274"/>
      <c r="M38" s="3274"/>
      <c r="N38" s="335"/>
      <c r="O38" s="625">
        <v>0</v>
      </c>
      <c r="P38" s="335"/>
      <c r="R38" s="2350" t="str">
        <f t="shared" si="1"/>
        <v>Select Investment Type (Click here)</v>
      </c>
    </row>
    <row r="39" spans="1:18" ht="14.85" customHeight="1" x14ac:dyDescent="0.2">
      <c r="A39" s="330" t="str">
        <f t="shared" si="0"/>
        <v>01</v>
      </c>
      <c r="C39" s="3274" t="s">
        <v>5153</v>
      </c>
      <c r="D39" s="3274"/>
      <c r="E39" s="3274"/>
      <c r="F39" s="3274"/>
      <c r="G39" s="3274"/>
      <c r="H39" s="3274"/>
      <c r="I39" s="3274"/>
      <c r="J39" s="335"/>
      <c r="K39" s="3274" t="s">
        <v>5172</v>
      </c>
      <c r="L39" s="3274"/>
      <c r="M39" s="3274"/>
      <c r="N39" s="335"/>
      <c r="O39" s="625"/>
      <c r="P39" s="335"/>
      <c r="R39" s="2350" t="str">
        <f t="shared" si="1"/>
        <v>Select Investment Type (Click here)</v>
      </c>
    </row>
    <row r="40" spans="1:18" ht="14.85" customHeight="1" x14ac:dyDescent="0.2">
      <c r="A40" s="330" t="str">
        <f t="shared" si="0"/>
        <v>01</v>
      </c>
      <c r="B40" s="330">
        <v>380</v>
      </c>
      <c r="C40" s="3274" t="s">
        <v>5153</v>
      </c>
      <c r="D40" s="3274"/>
      <c r="E40" s="3274"/>
      <c r="F40" s="3274"/>
      <c r="G40" s="3274"/>
      <c r="H40" s="3274"/>
      <c r="I40" s="3274"/>
      <c r="J40" s="335"/>
      <c r="K40" s="3274" t="s">
        <v>5172</v>
      </c>
      <c r="L40" s="3274"/>
      <c r="M40" s="3274"/>
      <c r="N40" s="335"/>
      <c r="O40" s="625"/>
      <c r="P40" s="335"/>
      <c r="R40" s="2350" t="str">
        <f t="shared" si="1"/>
        <v>Select Investment Type (Click here)</v>
      </c>
    </row>
    <row r="41" spans="1:18" ht="18.75" customHeight="1" thickBot="1" x14ac:dyDescent="0.25">
      <c r="A41" s="330" t="str">
        <f t="shared" si="0"/>
        <v>01</v>
      </c>
      <c r="B41" s="330">
        <v>400</v>
      </c>
      <c r="C41" s="339"/>
      <c r="D41" s="335"/>
      <c r="E41" s="335"/>
      <c r="F41" s="335"/>
      <c r="G41" s="335"/>
      <c r="H41" s="335"/>
      <c r="I41" s="335"/>
      <c r="J41" s="335"/>
      <c r="K41" s="335"/>
      <c r="L41" s="335"/>
      <c r="M41" s="355" t="s">
        <v>84</v>
      </c>
      <c r="N41" s="335"/>
      <c r="O41" s="328">
        <f>SUM(O16:O40)</f>
        <v>0</v>
      </c>
      <c r="P41" s="335"/>
    </row>
    <row r="42" spans="1:18" ht="8.1" customHeight="1" thickTop="1" x14ac:dyDescent="0.2">
      <c r="A42" s="330" t="str">
        <f t="shared" si="0"/>
        <v>01</v>
      </c>
      <c r="C42" s="339"/>
      <c r="D42" s="335"/>
      <c r="E42" s="335"/>
      <c r="F42" s="335"/>
      <c r="G42" s="335"/>
      <c r="H42" s="335"/>
      <c r="I42" s="335"/>
      <c r="J42" s="335"/>
      <c r="K42" s="335"/>
      <c r="L42" s="335"/>
      <c r="M42" s="335"/>
      <c r="N42" s="335"/>
      <c r="O42" s="335"/>
      <c r="P42" s="335"/>
    </row>
    <row r="43" spans="1:18" ht="12.75" x14ac:dyDescent="0.2">
      <c r="A43" s="330" t="str">
        <f t="shared" ref="A43:A70" si="2">AgyIdx</f>
        <v>01</v>
      </c>
      <c r="C43" s="1422" t="s">
        <v>3608</v>
      </c>
      <c r="D43" s="335"/>
      <c r="E43" s="335"/>
      <c r="F43" s="335"/>
      <c r="G43" s="335"/>
      <c r="H43" s="335"/>
      <c r="I43" s="335"/>
      <c r="J43" s="335"/>
      <c r="K43" s="335"/>
      <c r="L43" s="335"/>
      <c r="M43" s="335"/>
      <c r="N43" s="335"/>
      <c r="O43" s="335"/>
      <c r="P43" s="335"/>
    </row>
    <row r="44" spans="1:18" x14ac:dyDescent="0.2">
      <c r="A44" s="330" t="str">
        <f t="shared" si="2"/>
        <v>01</v>
      </c>
      <c r="C44" s="627" t="s">
        <v>3610</v>
      </c>
      <c r="D44" s="335"/>
      <c r="E44" s="335"/>
      <c r="F44" s="335"/>
      <c r="G44" s="335"/>
      <c r="H44" s="335"/>
      <c r="I44" s="335"/>
      <c r="J44" s="335"/>
      <c r="K44" s="335"/>
      <c r="L44" s="335"/>
      <c r="M44" s="335"/>
      <c r="N44" s="335"/>
      <c r="O44" s="335"/>
      <c r="P44" s="335"/>
    </row>
    <row r="45" spans="1:18" x14ac:dyDescent="0.2">
      <c r="A45" s="330" t="str">
        <f t="shared" si="2"/>
        <v>01</v>
      </c>
      <c r="C45" s="330" t="s">
        <v>4936</v>
      </c>
      <c r="D45" s="335"/>
      <c r="E45" s="335"/>
      <c r="F45" s="335"/>
      <c r="G45" s="335"/>
      <c r="H45" s="335"/>
      <c r="I45" s="335"/>
      <c r="J45" s="335"/>
      <c r="K45" s="335"/>
      <c r="L45" s="335"/>
      <c r="M45" s="335"/>
      <c r="N45" s="335"/>
      <c r="O45" s="335"/>
      <c r="P45" s="335"/>
    </row>
    <row r="46" spans="1:18" x14ac:dyDescent="0.2">
      <c r="A46" s="330" t="str">
        <f t="shared" si="2"/>
        <v>01</v>
      </c>
      <c r="C46" s="347"/>
      <c r="D46" s="335"/>
      <c r="E46" s="335"/>
      <c r="F46" s="335"/>
      <c r="G46" s="335"/>
      <c r="H46" s="335"/>
      <c r="I46" s="335"/>
      <c r="J46" s="335"/>
      <c r="K46" s="335"/>
      <c r="L46" s="335"/>
      <c r="M46" s="335"/>
      <c r="N46" s="335"/>
      <c r="O46" s="335"/>
      <c r="P46" s="335"/>
    </row>
    <row r="47" spans="1:18" x14ac:dyDescent="0.2">
      <c r="A47" s="330" t="str">
        <f t="shared" si="2"/>
        <v>01</v>
      </c>
      <c r="C47" s="627" t="s">
        <v>3733</v>
      </c>
      <c r="D47" s="335"/>
      <c r="E47" s="335"/>
      <c r="F47" s="335"/>
      <c r="G47" s="335"/>
      <c r="H47" s="335"/>
      <c r="I47" s="335"/>
      <c r="J47" s="335"/>
      <c r="K47" s="335"/>
      <c r="L47" s="335"/>
      <c r="M47" s="335"/>
      <c r="N47" s="335"/>
      <c r="O47" s="335"/>
      <c r="P47" s="335"/>
    </row>
    <row r="48" spans="1:18" x14ac:dyDescent="0.2">
      <c r="A48" s="330" t="str">
        <f t="shared" si="2"/>
        <v>01</v>
      </c>
      <c r="C48" s="347"/>
      <c r="D48" s="330" t="s">
        <v>4640</v>
      </c>
      <c r="E48" s="335"/>
      <c r="F48" s="335"/>
      <c r="G48" s="335"/>
      <c r="H48" s="335"/>
      <c r="I48" s="335"/>
      <c r="J48" s="335"/>
      <c r="K48" s="335"/>
      <c r="L48" s="335"/>
      <c r="M48" s="335"/>
      <c r="N48" s="335"/>
      <c r="O48" s="335"/>
      <c r="P48" s="335"/>
    </row>
    <row r="49" spans="1:16" x14ac:dyDescent="0.2">
      <c r="C49" s="347"/>
      <c r="E49" s="335"/>
      <c r="F49" s="335"/>
      <c r="G49" s="335"/>
      <c r="H49" s="335"/>
      <c r="I49" s="335"/>
      <c r="J49" s="335"/>
      <c r="K49" s="335"/>
      <c r="L49" s="335"/>
      <c r="M49" s="335"/>
      <c r="N49" s="335"/>
      <c r="O49" s="335"/>
      <c r="P49" s="335"/>
    </row>
    <row r="50" spans="1:16" ht="12.75" x14ac:dyDescent="0.2">
      <c r="A50" s="330" t="str">
        <f t="shared" si="2"/>
        <v>01</v>
      </c>
      <c r="F50" s="352" t="s">
        <v>3732</v>
      </c>
      <c r="G50" s="1448"/>
      <c r="J50" s="352"/>
      <c r="K50" s="1449"/>
      <c r="L50" s="335"/>
      <c r="M50" s="1447" t="str">
        <f>IF(O41&gt;0,IF(ISBLANK(G50),"Response Required"," ")," ")</f>
        <v xml:space="preserve"> </v>
      </c>
      <c r="N50" s="335"/>
      <c r="O50" s="1420"/>
      <c r="P50"/>
    </row>
    <row r="51" spans="1:16" ht="12.75" x14ac:dyDescent="0.2">
      <c r="F51" s="1450" t="s">
        <v>3950</v>
      </c>
      <c r="J51" s="352"/>
      <c r="K51" s="1449"/>
      <c r="L51" s="335"/>
      <c r="M51" s="1447"/>
      <c r="N51" s="335"/>
      <c r="O51" s="1420"/>
      <c r="P51"/>
    </row>
    <row r="52" spans="1:16" ht="11.1" customHeight="1" x14ac:dyDescent="0.2">
      <c r="A52" s="330" t="str">
        <f t="shared" si="2"/>
        <v>01</v>
      </c>
      <c r="C52" s="339"/>
      <c r="D52" s="335"/>
      <c r="E52" s="335"/>
      <c r="F52" s="335"/>
      <c r="G52" s="335"/>
      <c r="H52" s="335"/>
      <c r="I52" s="335"/>
      <c r="J52" s="335"/>
      <c r="K52" s="335"/>
      <c r="L52" s="335"/>
      <c r="M52" s="335"/>
      <c r="N52" s="335"/>
      <c r="O52" s="335"/>
      <c r="P52" s="335"/>
    </row>
    <row r="53" spans="1:16" ht="12" customHeight="1" x14ac:dyDescent="0.2">
      <c r="A53" s="330" t="str">
        <f t="shared" si="2"/>
        <v>01</v>
      </c>
      <c r="C53" s="626" t="s">
        <v>3611</v>
      </c>
      <c r="D53" s="335"/>
      <c r="E53" s="335"/>
      <c r="F53" s="335"/>
      <c r="G53" s="335"/>
      <c r="H53" s="335"/>
      <c r="I53" s="335"/>
      <c r="J53" s="335"/>
      <c r="K53" s="335"/>
      <c r="L53" s="335"/>
      <c r="M53" s="335"/>
      <c r="N53" s="335"/>
      <c r="O53" s="335"/>
      <c r="P53" s="335"/>
    </row>
    <row r="54" spans="1:16" ht="12.75" customHeight="1" x14ac:dyDescent="0.2">
      <c r="A54" s="330" t="str">
        <f t="shared" si="2"/>
        <v>01</v>
      </c>
      <c r="C54" s="339"/>
      <c r="D54" s="335"/>
      <c r="E54" s="335"/>
      <c r="F54" s="335"/>
      <c r="G54" s="335"/>
      <c r="H54" s="335"/>
      <c r="I54" s="335"/>
      <c r="J54" s="335"/>
      <c r="K54" s="335"/>
      <c r="L54" s="335"/>
      <c r="M54" s="335"/>
      <c r="N54" s="335"/>
      <c r="O54" s="335"/>
      <c r="P54" s="335"/>
    </row>
    <row r="55" spans="1:16" ht="12.75" customHeight="1" x14ac:dyDescent="0.2">
      <c r="A55" s="330" t="str">
        <f t="shared" si="2"/>
        <v>01</v>
      </c>
      <c r="C55" s="626"/>
      <c r="F55" s="352" t="s">
        <v>3609</v>
      </c>
      <c r="G55" s="1448"/>
      <c r="J55" s="352" t="s">
        <v>4183</v>
      </c>
      <c r="K55" s="1248"/>
      <c r="M55" s="1447" t="str">
        <f>IF(O41&gt;0,IF(ISBLANK(G55),IF(ISBLANK(K55),"Response Required"," ")," ")," ")</f>
        <v xml:space="preserve"> </v>
      </c>
      <c r="N55" s="335"/>
      <c r="O55" s="1420"/>
      <c r="P55" s="335"/>
    </row>
    <row r="56" spans="1:16" ht="10.35" customHeight="1" x14ac:dyDescent="0.2">
      <c r="A56" s="330" t="str">
        <f t="shared" si="2"/>
        <v>01</v>
      </c>
      <c r="C56" s="335"/>
      <c r="D56" s="335"/>
      <c r="E56" s="335"/>
      <c r="F56" s="335"/>
      <c r="G56" s="335"/>
      <c r="H56" s="335"/>
      <c r="I56" s="335"/>
    </row>
    <row r="57" spans="1:16" x14ac:dyDescent="0.2">
      <c r="A57" s="330" t="str">
        <f t="shared" si="2"/>
        <v>01</v>
      </c>
      <c r="D57" s="335"/>
      <c r="E57" s="335"/>
      <c r="F57" s="335"/>
      <c r="G57" s="335"/>
      <c r="H57" s="335"/>
      <c r="I57" s="335"/>
    </row>
    <row r="58" spans="1:16" x14ac:dyDescent="0.2">
      <c r="A58" s="330" t="str">
        <f t="shared" si="2"/>
        <v>01</v>
      </c>
    </row>
    <row r="59" spans="1:16" x14ac:dyDescent="0.2">
      <c r="A59" s="330" t="str">
        <f t="shared" si="2"/>
        <v>01</v>
      </c>
    </row>
    <row r="60" spans="1:16" x14ac:dyDescent="0.2">
      <c r="A60" s="330" t="str">
        <f t="shared" si="2"/>
        <v>01</v>
      </c>
    </row>
    <row r="61" spans="1:16" x14ac:dyDescent="0.2">
      <c r="A61" s="330" t="str">
        <f t="shared" si="2"/>
        <v>01</v>
      </c>
    </row>
    <row r="62" spans="1:16" x14ac:dyDescent="0.2">
      <c r="A62" s="330" t="str">
        <f t="shared" si="2"/>
        <v>01</v>
      </c>
    </row>
    <row r="63" spans="1:16" x14ac:dyDescent="0.2">
      <c r="A63" s="330" t="str">
        <f t="shared" si="2"/>
        <v>01</v>
      </c>
    </row>
    <row r="64" spans="1:16" x14ac:dyDescent="0.2">
      <c r="A64" s="330" t="str">
        <f t="shared" si="2"/>
        <v>01</v>
      </c>
    </row>
    <row r="65" spans="1:1" x14ac:dyDescent="0.2">
      <c r="A65" s="330" t="str">
        <f t="shared" si="2"/>
        <v>01</v>
      </c>
    </row>
    <row r="66" spans="1:1" x14ac:dyDescent="0.2">
      <c r="A66" s="330" t="str">
        <f t="shared" si="2"/>
        <v>01</v>
      </c>
    </row>
    <row r="67" spans="1:1" x14ac:dyDescent="0.2">
      <c r="A67" s="330" t="str">
        <f t="shared" si="2"/>
        <v>01</v>
      </c>
    </row>
    <row r="68" spans="1:1" x14ac:dyDescent="0.2">
      <c r="A68" s="330" t="str">
        <f t="shared" si="2"/>
        <v>01</v>
      </c>
    </row>
    <row r="69" spans="1:1" x14ac:dyDescent="0.2">
      <c r="A69" s="330" t="str">
        <f t="shared" si="2"/>
        <v>01</v>
      </c>
    </row>
    <row r="70" spans="1:1" x14ac:dyDescent="0.2">
      <c r="A70" s="330" t="str">
        <f t="shared" si="2"/>
        <v>01</v>
      </c>
    </row>
  </sheetData>
  <sheetProtection algorithmName="SHA-512" hashValue="ZfqcX6VbYepCyiHMxH8MQQiLQJCQ3lgxH/47XasdixHtQNNPIjzbswhy8P+J6zPypd3gmdKtwybIHig3MUEYGw==" saltValue="eETyq7WDRrxwMjQcP1sV+g==" spinCount="100000" sheet="1" objects="1" scenarios="1" autoFilter="0"/>
  <customSheetViews>
    <customSheetView guid="{B08879A4-635B-4C39-9937-AC7883D562FC}" showGridLines="0" fitToPage="1" hiddenColumns="1" topLeftCell="C1">
      <selection activeCell="C1" sqref="C1:O1"/>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C1" sqref="C1:O1"/>
      <pageMargins left="0.5" right="0.5" top="0.5" bottom="0.5" header="0.5" footer="0.25"/>
      <pageSetup orientation="landscape" r:id="rId4"/>
      <headerFooter alignWithMargins="0">
        <oddFooter>&amp;R&amp;A</oddFooter>
      </headerFooter>
    </customSheetView>
  </customSheetViews>
  <mergeCells count="64">
    <mergeCell ref="C35:I35"/>
    <mergeCell ref="C36:I36"/>
    <mergeCell ref="C39:I39"/>
    <mergeCell ref="K29:M29"/>
    <mergeCell ref="K30:M30"/>
    <mergeCell ref="K31:M31"/>
    <mergeCell ref="K32:M32"/>
    <mergeCell ref="K33:M33"/>
    <mergeCell ref="K34:M34"/>
    <mergeCell ref="K35:M35"/>
    <mergeCell ref="K36:M36"/>
    <mergeCell ref="K39:M39"/>
    <mergeCell ref="C4:O4"/>
    <mergeCell ref="F8:G8"/>
    <mergeCell ref="P1:P3"/>
    <mergeCell ref="K6:O6"/>
    <mergeCell ref="K7:O7"/>
    <mergeCell ref="K8:O8"/>
    <mergeCell ref="C1:O1"/>
    <mergeCell ref="C2:O2"/>
    <mergeCell ref="F6:G6"/>
    <mergeCell ref="C3:O3"/>
    <mergeCell ref="K16:M16"/>
    <mergeCell ref="K14:M14"/>
    <mergeCell ref="K15:M15"/>
    <mergeCell ref="C17:I17"/>
    <mergeCell ref="C23:I23"/>
    <mergeCell ref="K23:M23"/>
    <mergeCell ref="C19:I19"/>
    <mergeCell ref="K19:M19"/>
    <mergeCell ref="C22:I22"/>
    <mergeCell ref="K22:M22"/>
    <mergeCell ref="C40:I40"/>
    <mergeCell ref="K40:M40"/>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s>
  <phoneticPr fontId="15" type="noConversion"/>
  <conditionalFormatting sqref="P1:P3">
    <cfRule type="cellIs" dxfId="27" priority="11" stopIfTrue="1" operator="equal">
      <formula>"na"</formula>
    </cfRule>
  </conditionalFormatting>
  <conditionalFormatting sqref="O50:P51">
    <cfRule type="containsText" dxfId="26" priority="10" stopIfTrue="1" operator="containsText" text="Answer Missing">
      <formula>NOT(ISERROR(SEARCH("Answer Missing",O50)))</formula>
    </cfRule>
  </conditionalFormatting>
  <conditionalFormatting sqref="O55">
    <cfRule type="containsText" dxfId="25" priority="9" stopIfTrue="1" operator="containsText" text="Answer Missing">
      <formula>NOT(ISERROR(SEARCH("Answer Missing",O55)))</formula>
    </cfRule>
  </conditionalFormatting>
  <conditionalFormatting sqref="M50:M51">
    <cfRule type="containsText" dxfId="24" priority="6" stopIfTrue="1" operator="containsText" text="Response Required">
      <formula>NOT(ISERROR(SEARCH("Response Required",M50)))</formula>
    </cfRule>
  </conditionalFormatting>
  <conditionalFormatting sqref="M55">
    <cfRule type="containsText" dxfId="23" priority="1" stopIfTrue="1" operator="containsText" text="Response Required">
      <formula>NOT(ISERROR(SEARCH("Response Required",M55)))</formula>
    </cfRule>
  </conditionalFormatting>
  <hyperlinks>
    <hyperlink ref="C1:O1" location="Index!A1" display="Index!A1" xr:uid="{00000000-0004-0000-4400-000000000000}"/>
  </hyperlinks>
  <pageMargins left="0.5" right="0.5" top="0.5" bottom="0.5" header="0.5" footer="0.25"/>
  <pageSetup scale="59" orientation="portrait" r:id="rId5"/>
  <headerFooter alignWithMargins="0">
    <oddFooter>&amp;R&amp;A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C17:I40</xm:sqref>
        </x14:dataValidation>
        <x14:dataValidation type="list" allowBlank="1" showInputMessage="1" showErrorMessage="1" xr:uid="{D3F1AAB8-6930-4B45-BEA6-62F6664DF95B}">
          <x14:formula1>
            <xm:f>Notes!$AN$3:$AN$29</xm:f>
          </x14:formula1>
          <xm:sqref>K17:M40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workbookViewId="0">
      <selection activeCell="C2" sqref="C2:R2"/>
    </sheetView>
  </sheetViews>
  <sheetFormatPr defaultColWidth="9.42578125" defaultRowHeight="12" x14ac:dyDescent="0.2"/>
  <cols>
    <col min="1" max="2" width="0" style="330" hidden="1" customWidth="1"/>
    <col min="3" max="4" width="2" style="330" customWidth="1"/>
    <col min="5" max="5" width="4.42578125" style="330" customWidth="1"/>
    <col min="6" max="6" width="8.42578125" style="330" customWidth="1"/>
    <col min="7" max="7" width="14.5703125" style="330" customWidth="1"/>
    <col min="8" max="8" width="8.5703125" style="330" customWidth="1"/>
    <col min="9" max="9" width="2.42578125" style="330" customWidth="1"/>
    <col min="10" max="10" width="15.5703125" style="330" customWidth="1"/>
    <col min="11" max="11" width="2.42578125" style="330" customWidth="1"/>
    <col min="12" max="12" width="14.5703125" style="330" customWidth="1"/>
    <col min="13" max="13" width="2.42578125" style="330" customWidth="1"/>
    <col min="14" max="14" width="15.5703125" style="330" customWidth="1"/>
    <col min="15" max="15" width="1.42578125" style="330" customWidth="1"/>
    <col min="16" max="16" width="18.5703125" style="330" customWidth="1"/>
    <col min="17" max="17" width="1.42578125" style="330" customWidth="1"/>
    <col min="18" max="18" width="9.42578125" style="330" customWidth="1"/>
    <col min="19" max="19" width="4.5703125" style="330" customWidth="1"/>
    <col min="20" max="16384" width="9.42578125" style="330"/>
  </cols>
  <sheetData>
    <row r="1" spans="1:19" ht="15.75" x14ac:dyDescent="0.25">
      <c r="A1" s="330" t="str">
        <f t="shared" ref="A1:A31" si="0">AgyIdx</f>
        <v>01</v>
      </c>
      <c r="C1" s="2767" t="str">
        <f>+Index!$A$1</f>
        <v xml:space="preserve">                                                               Office of the State Controller                                                                </v>
      </c>
      <c r="D1" s="2767"/>
      <c r="E1" s="2767"/>
      <c r="F1" s="2767"/>
      <c r="G1" s="2767"/>
      <c r="H1" s="2767"/>
      <c r="I1" s="2767"/>
      <c r="J1" s="2767"/>
      <c r="K1" s="2767"/>
      <c r="L1" s="2767"/>
      <c r="M1" s="2767"/>
      <c r="N1" s="2767"/>
      <c r="O1" s="2767"/>
      <c r="P1" s="2767"/>
      <c r="Q1" s="2767"/>
      <c r="R1" s="2767"/>
      <c r="S1" s="2829" t="str">
        <f>IF(Index!$B$95="na","NA","")</f>
        <v/>
      </c>
    </row>
    <row r="2" spans="1:19" ht="15.75" x14ac:dyDescent="0.25">
      <c r="A2" s="330" t="str">
        <f t="shared" si="0"/>
        <v>01</v>
      </c>
      <c r="C2" s="2749" t="str">
        <f>+Index!$A$2</f>
        <v>2022 ACFR Worksheets</v>
      </c>
      <c r="D2" s="2749"/>
      <c r="E2" s="2749"/>
      <c r="F2" s="2749"/>
      <c r="G2" s="2749"/>
      <c r="H2" s="2749"/>
      <c r="I2" s="2749"/>
      <c r="J2" s="2749"/>
      <c r="K2" s="2749"/>
      <c r="L2" s="2749"/>
      <c r="M2" s="2749"/>
      <c r="N2" s="2749"/>
      <c r="O2" s="2749"/>
      <c r="P2" s="2749"/>
      <c r="Q2" s="2749"/>
      <c r="R2" s="2749"/>
      <c r="S2" s="2829"/>
    </row>
    <row r="3" spans="1:19" ht="15.75" x14ac:dyDescent="0.25">
      <c r="A3" s="330" t="str">
        <f t="shared" si="0"/>
        <v>01</v>
      </c>
      <c r="C3" s="2749" t="s">
        <v>1075</v>
      </c>
      <c r="D3" s="2749"/>
      <c r="E3" s="2749"/>
      <c r="F3" s="2749"/>
      <c r="G3" s="2749"/>
      <c r="H3" s="2749"/>
      <c r="I3" s="2749"/>
      <c r="J3" s="2749"/>
      <c r="K3" s="2749"/>
      <c r="L3" s="2749"/>
      <c r="M3" s="2749"/>
      <c r="N3" s="2749"/>
      <c r="O3" s="2749"/>
      <c r="P3" s="2749"/>
      <c r="Q3" s="2749"/>
      <c r="R3" s="2749"/>
      <c r="S3" s="2829"/>
    </row>
    <row r="4" spans="1:19" ht="15.75" x14ac:dyDescent="0.25">
      <c r="A4" s="330" t="str">
        <f t="shared" si="0"/>
        <v>01</v>
      </c>
      <c r="C4" s="2749" t="s">
        <v>3612</v>
      </c>
      <c r="D4" s="2749"/>
      <c r="E4" s="2749"/>
      <c r="F4" s="2749"/>
      <c r="G4" s="2749"/>
      <c r="H4" s="2749"/>
      <c r="I4" s="2749"/>
      <c r="J4" s="2749"/>
      <c r="K4" s="2749"/>
      <c r="L4" s="2749"/>
      <c r="M4" s="2749"/>
      <c r="N4" s="2749"/>
      <c r="O4" s="2749"/>
      <c r="P4" s="2749"/>
      <c r="Q4" s="2749"/>
      <c r="R4" s="2749"/>
      <c r="S4" s="281"/>
    </row>
    <row r="5" spans="1:19" ht="15" customHeight="1" x14ac:dyDescent="0.2">
      <c r="A5" s="330" t="str">
        <f t="shared" si="0"/>
        <v>01</v>
      </c>
    </row>
    <row r="6" spans="1:19" ht="15" customHeight="1" x14ac:dyDescent="0.2">
      <c r="A6" s="330" t="str">
        <f t="shared" si="0"/>
        <v>01</v>
      </c>
      <c r="C6" s="14" t="s">
        <v>327</v>
      </c>
      <c r="G6" s="2915" t="str">
        <f>+Index!$E$10</f>
        <v>01</v>
      </c>
      <c r="H6" s="2915"/>
      <c r="L6" s="9" t="s">
        <v>1154</v>
      </c>
      <c r="N6" s="3257" t="str">
        <f>+Index!$E$11</f>
        <v>North Carolina General Assembly</v>
      </c>
      <c r="O6" s="3257"/>
      <c r="P6" s="3257"/>
      <c r="Q6" s="3257"/>
      <c r="R6" s="3257"/>
    </row>
    <row r="7" spans="1:19" ht="15" customHeight="1" x14ac:dyDescent="0.2">
      <c r="A7" s="330" t="str">
        <f t="shared" si="0"/>
        <v>01</v>
      </c>
      <c r="L7" s="9" t="s">
        <v>972</v>
      </c>
      <c r="N7" s="3213" t="str">
        <f>CONCATENATE(Index!$E$12," ",Index!$E$14)</f>
        <v xml:space="preserve"> </v>
      </c>
      <c r="O7" s="3213"/>
      <c r="P7" s="3213"/>
      <c r="Q7" s="3213"/>
      <c r="R7" s="3213"/>
    </row>
    <row r="8" spans="1:19" ht="15" customHeight="1" x14ac:dyDescent="0.2">
      <c r="A8" s="330" t="str">
        <f t="shared" si="0"/>
        <v>01</v>
      </c>
      <c r="C8" s="8" t="s">
        <v>477</v>
      </c>
      <c r="D8" s="8"/>
      <c r="E8" s="272"/>
      <c r="G8" s="3251" t="s">
        <v>971</v>
      </c>
      <c r="H8" s="3251"/>
      <c r="L8" s="9" t="s">
        <v>348</v>
      </c>
      <c r="N8" s="3213">
        <f>+Index!$E$13</f>
        <v>0</v>
      </c>
      <c r="O8" s="3213"/>
      <c r="P8" s="3213"/>
      <c r="Q8" s="3213"/>
      <c r="R8" s="3213"/>
    </row>
    <row r="9" spans="1:19" ht="15" customHeight="1" thickBot="1" x14ac:dyDescent="0.25">
      <c r="A9" s="330" t="str">
        <f t="shared" si="0"/>
        <v>01</v>
      </c>
      <c r="C9" s="331"/>
      <c r="D9" s="331"/>
      <c r="E9" s="332"/>
      <c r="F9" s="332"/>
      <c r="G9" s="333"/>
      <c r="H9" s="333"/>
      <c r="I9" s="333"/>
      <c r="J9" s="333"/>
      <c r="K9" s="333"/>
      <c r="L9" s="334"/>
      <c r="M9" s="333"/>
      <c r="N9" s="333"/>
      <c r="O9" s="333"/>
      <c r="P9" s="333"/>
      <c r="Q9" s="333"/>
      <c r="R9" s="333"/>
    </row>
    <row r="10" spans="1:19" ht="12" customHeight="1" x14ac:dyDescent="0.2">
      <c r="A10" s="330" t="str">
        <f t="shared" si="0"/>
        <v>01</v>
      </c>
    </row>
    <row r="11" spans="1:19" ht="14.1" customHeight="1" x14ac:dyDescent="0.2">
      <c r="A11" s="330" t="str">
        <f t="shared" si="0"/>
        <v>01</v>
      </c>
      <c r="C11" s="3271" t="s">
        <v>4361</v>
      </c>
      <c r="D11" s="3272"/>
      <c r="E11" s="3272"/>
      <c r="F11" s="3272"/>
      <c r="G11" s="3272"/>
      <c r="H11" s="3272"/>
      <c r="I11" s="3272"/>
      <c r="J11" s="3272"/>
      <c r="K11" s="3272"/>
      <c r="L11" s="3272"/>
      <c r="M11" s="3272"/>
      <c r="N11" s="3272"/>
      <c r="O11" s="3272"/>
      <c r="P11" s="3272"/>
      <c r="Q11" s="3272"/>
      <c r="R11" s="3272"/>
    </row>
    <row r="12" spans="1:19" ht="14.1" customHeight="1" x14ac:dyDescent="0.2">
      <c r="A12" s="330" t="str">
        <f t="shared" si="0"/>
        <v>01</v>
      </c>
      <c r="C12" s="3272"/>
      <c r="D12" s="3272"/>
      <c r="E12" s="3272"/>
      <c r="F12" s="3272"/>
      <c r="G12" s="3272"/>
      <c r="H12" s="3272"/>
      <c r="I12" s="3272"/>
      <c r="J12" s="3272"/>
      <c r="K12" s="3272"/>
      <c r="L12" s="3272"/>
      <c r="M12" s="3272"/>
      <c r="N12" s="3272"/>
      <c r="O12" s="3272"/>
      <c r="P12" s="3272"/>
      <c r="Q12" s="3272"/>
      <c r="R12" s="3272"/>
    </row>
    <row r="13" spans="1:19" ht="11.1" customHeight="1" x14ac:dyDescent="0.2">
      <c r="A13" s="330" t="str">
        <f t="shared" si="0"/>
        <v>01</v>
      </c>
      <c r="E13" s="335"/>
      <c r="F13" s="335"/>
      <c r="G13" s="335"/>
      <c r="H13" s="335"/>
      <c r="I13" s="335"/>
      <c r="J13" s="337"/>
      <c r="K13" s="337"/>
      <c r="L13" s="337"/>
      <c r="M13" s="337"/>
      <c r="N13" s="337"/>
      <c r="O13" s="337"/>
      <c r="P13" s="337"/>
      <c r="Q13" s="337"/>
      <c r="R13" s="337"/>
      <c r="S13" s="335"/>
    </row>
    <row r="14" spans="1:19" ht="14.25" customHeight="1" x14ac:dyDescent="0.2">
      <c r="A14" s="330" t="str">
        <f t="shared" si="0"/>
        <v>01</v>
      </c>
      <c r="C14" s="626" t="s">
        <v>223</v>
      </c>
      <c r="D14" s="626"/>
      <c r="E14" s="353"/>
      <c r="F14" s="353"/>
      <c r="G14" s="353"/>
      <c r="H14" s="353"/>
      <c r="J14" s="353"/>
      <c r="K14" s="353"/>
      <c r="L14" s="353"/>
      <c r="M14" s="353"/>
      <c r="N14" s="353"/>
      <c r="O14" s="353"/>
      <c r="P14" s="353"/>
      <c r="Q14" s="353"/>
      <c r="R14" s="353"/>
      <c r="S14" s="335"/>
    </row>
    <row r="15" spans="1:19" ht="11.1" customHeight="1" x14ac:dyDescent="0.2">
      <c r="A15" s="330" t="str">
        <f t="shared" si="0"/>
        <v>01</v>
      </c>
      <c r="C15" s="626"/>
      <c r="D15" s="626"/>
      <c r="E15" s="353"/>
      <c r="F15" s="353"/>
      <c r="G15" s="353"/>
      <c r="H15" s="353"/>
      <c r="J15" s="353"/>
      <c r="K15" s="353"/>
      <c r="L15" s="353"/>
      <c r="M15" s="353"/>
      <c r="N15" s="353"/>
      <c r="O15" s="353"/>
      <c r="P15" s="353"/>
      <c r="Q15" s="353"/>
      <c r="R15" s="353"/>
      <c r="S15" s="335"/>
    </row>
    <row r="16" spans="1:19" ht="12" customHeight="1" x14ac:dyDescent="0.2">
      <c r="A16" s="330" t="str">
        <f t="shared" si="0"/>
        <v>01</v>
      </c>
      <c r="C16" s="626"/>
      <c r="D16" s="626"/>
      <c r="E16" s="353"/>
      <c r="F16" s="353"/>
      <c r="G16" s="353"/>
      <c r="H16" s="353"/>
      <c r="J16" s="3276" t="s">
        <v>514</v>
      </c>
      <c r="K16" s="3276"/>
      <c r="L16" s="3276"/>
      <c r="M16" s="3276"/>
      <c r="N16" s="3276"/>
      <c r="O16" s="353"/>
      <c r="P16" s="353"/>
      <c r="Q16" s="353"/>
      <c r="R16" s="353"/>
      <c r="S16" s="335"/>
    </row>
    <row r="17" spans="1:19" customFormat="1" ht="15" customHeight="1" x14ac:dyDescent="0.2">
      <c r="A17" s="330" t="str">
        <f t="shared" si="0"/>
        <v>01</v>
      </c>
      <c r="F17" s="3276" t="s">
        <v>519</v>
      </c>
      <c r="G17" s="3276"/>
      <c r="H17" s="3276"/>
      <c r="J17" s="621" t="s">
        <v>969</v>
      </c>
      <c r="K17" s="290"/>
      <c r="L17" s="621" t="s">
        <v>693</v>
      </c>
      <c r="M17" s="290"/>
      <c r="N17" s="621" t="s">
        <v>694</v>
      </c>
      <c r="O17" s="290"/>
      <c r="P17" s="290"/>
      <c r="Q17" s="290"/>
      <c r="R17" s="330"/>
    </row>
    <row r="18" spans="1:19" ht="16.350000000000001" customHeight="1" x14ac:dyDescent="0.2">
      <c r="A18" s="330" t="str">
        <f t="shared" si="0"/>
        <v>01</v>
      </c>
      <c r="B18" s="330">
        <v>100</v>
      </c>
      <c r="F18" s="330" t="s">
        <v>947</v>
      </c>
      <c r="H18" s="352"/>
      <c r="J18" s="624"/>
      <c r="L18" s="624"/>
      <c r="N18" s="624"/>
      <c r="P18" s="352"/>
      <c r="S18" s="335"/>
    </row>
    <row r="19" spans="1:19" ht="12" customHeight="1" x14ac:dyDescent="0.2">
      <c r="A19" s="330" t="str">
        <f t="shared" si="0"/>
        <v>01</v>
      </c>
      <c r="B19" s="330">
        <v>120</v>
      </c>
      <c r="F19" s="626" t="s">
        <v>362</v>
      </c>
      <c r="H19" s="352"/>
      <c r="J19" s="624"/>
      <c r="L19" s="624"/>
      <c r="N19" s="631"/>
      <c r="P19" s="352"/>
      <c r="S19" s="335"/>
    </row>
    <row r="20" spans="1:19" ht="12" customHeight="1" x14ac:dyDescent="0.2">
      <c r="A20" s="330" t="str">
        <f t="shared" si="0"/>
        <v>01</v>
      </c>
      <c r="B20" s="330">
        <v>140</v>
      </c>
      <c r="F20" s="626" t="s">
        <v>513</v>
      </c>
      <c r="H20" s="352"/>
      <c r="J20" s="624"/>
      <c r="L20" s="624"/>
      <c r="N20" s="631"/>
      <c r="P20" s="352"/>
      <c r="S20" s="335"/>
    </row>
    <row r="21" spans="1:19" ht="12" customHeight="1" x14ac:dyDescent="0.2">
      <c r="A21" s="330" t="str">
        <f t="shared" si="0"/>
        <v>01</v>
      </c>
      <c r="B21" s="330">
        <v>160</v>
      </c>
      <c r="F21" s="626" t="s">
        <v>954</v>
      </c>
      <c r="H21" s="352"/>
      <c r="J21" s="624"/>
      <c r="L21" s="624"/>
      <c r="N21" s="631"/>
      <c r="P21" s="352"/>
      <c r="S21" s="335"/>
    </row>
    <row r="22" spans="1:19" ht="12" customHeight="1" x14ac:dyDescent="0.2">
      <c r="A22" s="330" t="str">
        <f t="shared" si="0"/>
        <v>01</v>
      </c>
      <c r="B22" s="330">
        <v>180</v>
      </c>
      <c r="F22" s="626" t="s">
        <v>141</v>
      </c>
      <c r="H22" s="352"/>
      <c r="J22" s="624"/>
      <c r="L22" s="624"/>
      <c r="N22" s="631"/>
      <c r="P22" s="352"/>
      <c r="S22" s="335"/>
    </row>
    <row r="23" spans="1:19" ht="12" customHeight="1" x14ac:dyDescent="0.2">
      <c r="A23" s="330" t="str">
        <f t="shared" si="0"/>
        <v>01</v>
      </c>
      <c r="B23" s="330">
        <v>200</v>
      </c>
      <c r="F23" s="626" t="s">
        <v>142</v>
      </c>
      <c r="H23" s="352"/>
      <c r="J23" s="624"/>
      <c r="L23" s="624"/>
      <c r="N23" s="631"/>
      <c r="P23" s="352"/>
      <c r="S23" s="335"/>
    </row>
    <row r="24" spans="1:19" ht="11.1" customHeight="1" x14ac:dyDescent="0.2">
      <c r="A24" s="330" t="str">
        <f t="shared" si="0"/>
        <v>01</v>
      </c>
      <c r="C24" s="353"/>
      <c r="D24" s="353"/>
      <c r="E24" s="626"/>
      <c r="F24" s="353"/>
      <c r="G24" s="353"/>
      <c r="H24" s="353"/>
      <c r="J24" s="353"/>
      <c r="K24" s="353"/>
      <c r="L24" s="353"/>
      <c r="S24" s="335"/>
    </row>
    <row r="25" spans="1:19" ht="15" customHeight="1" x14ac:dyDescent="0.2">
      <c r="A25" s="330" t="str">
        <f t="shared" si="0"/>
        <v>01</v>
      </c>
      <c r="C25" s="626" t="s">
        <v>5545</v>
      </c>
      <c r="D25" s="626"/>
      <c r="E25" s="626"/>
      <c r="F25" s="353"/>
      <c r="G25" s="353"/>
      <c r="H25" s="353"/>
      <c r="J25" s="353"/>
      <c r="K25" s="353"/>
      <c r="L25" s="353"/>
      <c r="S25" s="335"/>
    </row>
    <row r="26" spans="1:19" ht="10.35" customHeight="1" x14ac:dyDescent="0.2">
      <c r="A26" s="330" t="str">
        <f t="shared" si="0"/>
        <v>01</v>
      </c>
      <c r="C26" s="626"/>
      <c r="D26" s="626"/>
      <c r="E26" s="626"/>
      <c r="F26" s="353"/>
      <c r="G26" s="353"/>
      <c r="H26" s="353"/>
      <c r="J26" s="353"/>
      <c r="K26" s="353"/>
      <c r="L26" s="353"/>
      <c r="S26" s="335"/>
    </row>
    <row r="27" spans="1:19" ht="10.35" customHeight="1" x14ac:dyDescent="0.2">
      <c r="A27" s="330" t="str">
        <f t="shared" si="0"/>
        <v>01</v>
      </c>
      <c r="C27" s="14"/>
      <c r="D27" s="626"/>
      <c r="F27" s="353"/>
      <c r="G27" s="353"/>
      <c r="H27" s="353"/>
      <c r="J27" s="353"/>
      <c r="K27" s="353"/>
      <c r="L27" s="353"/>
      <c r="S27" s="335"/>
    </row>
    <row r="28" spans="1:19" ht="10.35" customHeight="1" x14ac:dyDescent="0.2">
      <c r="A28" s="330" t="str">
        <f t="shared" si="0"/>
        <v>01</v>
      </c>
      <c r="C28" s="14"/>
      <c r="D28" s="626"/>
      <c r="F28" s="353"/>
      <c r="G28" s="353"/>
      <c r="H28" s="353"/>
      <c r="J28" s="353"/>
      <c r="K28" s="353"/>
      <c r="L28" s="353"/>
      <c r="S28" s="335"/>
    </row>
    <row r="29" spans="1:19" ht="11.1" customHeight="1" x14ac:dyDescent="0.2">
      <c r="A29" s="330" t="str">
        <f t="shared" si="0"/>
        <v>01</v>
      </c>
      <c r="C29" s="627" t="s">
        <v>517</v>
      </c>
      <c r="D29" s="628" t="s">
        <v>213</v>
      </c>
      <c r="E29" s="626" t="s">
        <v>837</v>
      </c>
      <c r="F29" s="353"/>
      <c r="G29" s="353"/>
      <c r="H29" s="353"/>
      <c r="J29" s="353"/>
      <c r="K29" s="353"/>
      <c r="L29" s="353"/>
      <c r="S29" s="335"/>
    </row>
    <row r="30" spans="1:19" ht="11.1" customHeight="1" x14ac:dyDescent="0.2">
      <c r="A30" s="330" t="str">
        <f t="shared" si="0"/>
        <v>01</v>
      </c>
      <c r="C30" s="627"/>
      <c r="D30" s="628"/>
      <c r="E30" s="626" t="s">
        <v>838</v>
      </c>
      <c r="F30" s="353"/>
      <c r="G30" s="353"/>
      <c r="H30" s="353"/>
      <c r="J30" s="353"/>
      <c r="K30" s="353"/>
      <c r="L30" s="353"/>
      <c r="S30" s="335"/>
    </row>
    <row r="31" spans="1:19" ht="11.1" customHeight="1" x14ac:dyDescent="0.2">
      <c r="A31" s="330" t="str">
        <f t="shared" si="0"/>
        <v>01</v>
      </c>
      <c r="C31" s="627"/>
      <c r="D31" s="628"/>
      <c r="E31" s="626" t="s">
        <v>4744</v>
      </c>
      <c r="F31" s="353"/>
      <c r="G31" s="353"/>
      <c r="H31" s="353"/>
      <c r="J31" s="353"/>
      <c r="K31" s="353"/>
      <c r="L31" s="353"/>
      <c r="S31" s="335"/>
    </row>
    <row r="32" spans="1:19" ht="4.3499999999999996" customHeight="1" x14ac:dyDescent="0.2">
      <c r="A32" s="330" t="str">
        <f t="shared" ref="A32:A55" si="1">AgyIdx</f>
        <v>01</v>
      </c>
      <c r="C32" s="627"/>
      <c r="D32" s="628"/>
      <c r="F32" s="353"/>
      <c r="G32" s="353"/>
      <c r="H32" s="353"/>
      <c r="J32" s="353"/>
      <c r="K32" s="353"/>
      <c r="L32" s="353"/>
      <c r="S32" s="335"/>
    </row>
    <row r="33" spans="1:19" ht="10.5" customHeight="1" x14ac:dyDescent="0.2">
      <c r="A33" s="330" t="str">
        <f t="shared" si="1"/>
        <v>01</v>
      </c>
      <c r="C33" s="627"/>
      <c r="D33" s="628" t="s">
        <v>214</v>
      </c>
      <c r="E33" s="330" t="s">
        <v>4745</v>
      </c>
      <c r="F33" s="353"/>
      <c r="G33" s="353"/>
      <c r="H33" s="353"/>
      <c r="J33" s="353"/>
      <c r="K33" s="353"/>
      <c r="L33" s="353"/>
      <c r="S33" s="335"/>
    </row>
    <row r="34" spans="1:19" ht="10.5" customHeight="1" x14ac:dyDescent="0.2">
      <c r="A34" s="330" t="str">
        <f t="shared" si="1"/>
        <v>01</v>
      </c>
      <c r="C34" s="627"/>
      <c r="D34" s="628"/>
      <c r="E34" s="330" t="s">
        <v>4746</v>
      </c>
      <c r="F34" s="353"/>
      <c r="G34" s="353"/>
      <c r="H34" s="353"/>
      <c r="J34" s="353"/>
      <c r="K34" s="353"/>
      <c r="L34" s="353"/>
      <c r="S34" s="335"/>
    </row>
    <row r="35" spans="1:19" ht="4.3499999999999996" customHeight="1" x14ac:dyDescent="0.2">
      <c r="A35" s="330" t="str">
        <f t="shared" si="1"/>
        <v>01</v>
      </c>
      <c r="C35" s="627"/>
      <c r="D35" s="628"/>
      <c r="F35" s="353"/>
      <c r="G35" s="353"/>
      <c r="H35" s="353"/>
      <c r="J35" s="353"/>
      <c r="K35" s="353"/>
      <c r="L35" s="353"/>
      <c r="S35" s="335"/>
    </row>
    <row r="36" spans="1:19" ht="11.1" customHeight="1" x14ac:dyDescent="0.2">
      <c r="A36" s="330" t="str">
        <f t="shared" si="1"/>
        <v>01</v>
      </c>
      <c r="C36" s="627"/>
      <c r="D36" s="628" t="s">
        <v>143</v>
      </c>
      <c r="E36" s="330" t="s">
        <v>918</v>
      </c>
      <c r="F36" s="353"/>
      <c r="G36" s="353"/>
      <c r="H36" s="353"/>
      <c r="J36" s="353"/>
      <c r="K36" s="353"/>
      <c r="L36" s="353"/>
      <c r="S36" s="335"/>
    </row>
    <row r="37" spans="1:19" ht="11.1" customHeight="1" x14ac:dyDescent="0.2">
      <c r="A37" s="330" t="str">
        <f t="shared" si="1"/>
        <v>01</v>
      </c>
      <c r="C37" s="627"/>
      <c r="D37" s="628"/>
      <c r="E37" s="330" t="s">
        <v>13</v>
      </c>
      <c r="F37" s="353"/>
      <c r="G37" s="353"/>
      <c r="H37" s="353"/>
      <c r="J37" s="353"/>
      <c r="K37" s="353"/>
      <c r="L37" s="353"/>
      <c r="S37" s="335"/>
    </row>
    <row r="38" spans="1:19" ht="11.1" customHeight="1" x14ac:dyDescent="0.2">
      <c r="A38" s="330" t="str">
        <f t="shared" si="1"/>
        <v>01</v>
      </c>
      <c r="C38" s="626"/>
      <c r="E38" s="330" t="s">
        <v>4747</v>
      </c>
      <c r="F38" s="353"/>
      <c r="G38" s="353"/>
      <c r="H38" s="353"/>
      <c r="J38" s="353"/>
      <c r="K38" s="353"/>
      <c r="L38" s="353"/>
      <c r="S38" s="335"/>
    </row>
    <row r="39" spans="1:19" ht="6" customHeight="1" x14ac:dyDescent="0.2">
      <c r="A39" s="330" t="str">
        <f t="shared" si="1"/>
        <v>01</v>
      </c>
      <c r="C39" s="626"/>
      <c r="E39" s="626"/>
      <c r="F39" s="353"/>
      <c r="G39" s="353"/>
      <c r="H39" s="353"/>
      <c r="J39" s="353"/>
      <c r="K39" s="353"/>
      <c r="L39" s="353"/>
      <c r="S39" s="335"/>
    </row>
    <row r="40" spans="1:19" ht="11.1" customHeight="1" x14ac:dyDescent="0.2">
      <c r="A40" s="330" t="str">
        <f t="shared" si="1"/>
        <v>01</v>
      </c>
      <c r="C40" s="627" t="s">
        <v>518</v>
      </c>
      <c r="D40" s="628"/>
      <c r="E40" s="626" t="s">
        <v>129</v>
      </c>
      <c r="F40" s="353"/>
      <c r="G40" s="353"/>
      <c r="H40" s="353"/>
      <c r="J40" s="353"/>
      <c r="K40" s="353"/>
      <c r="L40" s="353"/>
      <c r="S40" s="335"/>
    </row>
    <row r="41" spans="1:19" ht="6" customHeight="1" x14ac:dyDescent="0.2">
      <c r="A41" s="330" t="str">
        <f t="shared" si="1"/>
        <v>01</v>
      </c>
      <c r="C41" s="627"/>
      <c r="D41" s="628"/>
      <c r="E41" s="626"/>
      <c r="F41" s="353"/>
      <c r="G41" s="353"/>
      <c r="H41" s="353"/>
      <c r="J41" s="353"/>
      <c r="K41" s="353"/>
      <c r="L41" s="353"/>
      <c r="S41" s="335"/>
    </row>
    <row r="42" spans="1:19" ht="11.1" customHeight="1" x14ac:dyDescent="0.2">
      <c r="A42" s="330" t="str">
        <f t="shared" si="1"/>
        <v>01</v>
      </c>
      <c r="C42" s="627" t="s">
        <v>421</v>
      </c>
      <c r="D42" s="628"/>
      <c r="E42" s="626" t="s">
        <v>245</v>
      </c>
      <c r="F42" s="353"/>
      <c r="G42" s="353"/>
      <c r="H42" s="353"/>
      <c r="J42" s="353"/>
      <c r="K42" s="353"/>
      <c r="L42" s="353"/>
      <c r="S42" s="335"/>
    </row>
    <row r="43" spans="1:19" ht="6" customHeight="1" x14ac:dyDescent="0.2">
      <c r="A43" s="330" t="str">
        <f t="shared" si="1"/>
        <v>01</v>
      </c>
      <c r="C43" s="353"/>
      <c r="D43" s="353"/>
      <c r="E43" s="626"/>
      <c r="F43" s="353"/>
      <c r="G43" s="353"/>
      <c r="H43" s="353"/>
      <c r="J43" s="353"/>
      <c r="K43" s="353"/>
      <c r="L43" s="353"/>
      <c r="S43" s="335"/>
    </row>
    <row r="44" spans="1:19" ht="11.1" customHeight="1" x14ac:dyDescent="0.2">
      <c r="A44" s="330" t="str">
        <f t="shared" si="1"/>
        <v>01</v>
      </c>
      <c r="C44" s="627" t="s">
        <v>363</v>
      </c>
      <c r="D44" s="353"/>
      <c r="E44" s="629" t="s">
        <v>955</v>
      </c>
      <c r="F44" s="353"/>
      <c r="G44" s="353"/>
      <c r="H44" s="353"/>
      <c r="J44" s="353"/>
      <c r="K44" s="353"/>
      <c r="L44" s="353"/>
      <c r="S44" s="335"/>
    </row>
    <row r="45" spans="1:19" ht="11.1" customHeight="1" x14ac:dyDescent="0.2">
      <c r="A45" s="330" t="str">
        <f t="shared" si="1"/>
        <v>01</v>
      </c>
      <c r="C45" s="353"/>
      <c r="D45" s="353"/>
      <c r="E45" s="626" t="s">
        <v>836</v>
      </c>
      <c r="F45" s="353"/>
      <c r="G45" s="353"/>
      <c r="H45" s="353"/>
      <c r="J45" s="353"/>
      <c r="K45" s="353"/>
      <c r="L45" s="353"/>
      <c r="S45" s="335"/>
    </row>
    <row r="46" spans="1:19" ht="11.1" customHeight="1" x14ac:dyDescent="0.2">
      <c r="A46" s="330" t="str">
        <f t="shared" si="1"/>
        <v>01</v>
      </c>
      <c r="C46" s="353"/>
      <c r="D46" s="353"/>
      <c r="E46" s="626" t="s">
        <v>4748</v>
      </c>
      <c r="F46" s="353"/>
      <c r="G46" s="353"/>
      <c r="H46" s="353"/>
      <c r="J46" s="353"/>
      <c r="K46" s="353"/>
      <c r="L46" s="353"/>
      <c r="S46" s="335"/>
    </row>
    <row r="47" spans="1:19" ht="12" customHeight="1" x14ac:dyDescent="0.2">
      <c r="A47" s="330" t="str">
        <f t="shared" si="1"/>
        <v>01</v>
      </c>
      <c r="C47" s="353"/>
      <c r="D47" s="353"/>
      <c r="E47" s="353"/>
      <c r="F47" s="353"/>
      <c r="G47" s="353"/>
      <c r="H47" s="353"/>
      <c r="J47" s="353"/>
      <c r="K47" s="353"/>
      <c r="L47" s="353"/>
      <c r="S47" s="335"/>
    </row>
    <row r="48" spans="1:19" ht="12" customHeight="1" x14ac:dyDescent="0.2">
      <c r="A48" s="330" t="str">
        <f t="shared" si="1"/>
        <v>01</v>
      </c>
      <c r="C48" s="353"/>
      <c r="D48" s="353"/>
      <c r="E48" s="353"/>
      <c r="F48" s="353"/>
      <c r="G48" s="353"/>
      <c r="H48" s="353"/>
      <c r="J48" s="353"/>
      <c r="K48" s="353"/>
      <c r="L48" s="353"/>
      <c r="S48" s="335"/>
    </row>
    <row r="49" spans="1:19" ht="12" customHeight="1" x14ac:dyDescent="0.2">
      <c r="A49" s="330" t="str">
        <f t="shared" si="1"/>
        <v>01</v>
      </c>
      <c r="C49" s="353"/>
      <c r="D49" s="353"/>
      <c r="E49" s="353"/>
      <c r="F49" s="353"/>
      <c r="G49" s="353"/>
      <c r="H49" s="353"/>
      <c r="J49" s="353"/>
      <c r="K49" s="353"/>
      <c r="L49" s="353"/>
      <c r="S49" s="335"/>
    </row>
    <row r="50" spans="1:19" ht="12" customHeight="1" x14ac:dyDescent="0.2">
      <c r="A50" s="330" t="str">
        <f t="shared" si="1"/>
        <v>01</v>
      </c>
      <c r="C50" s="353"/>
      <c r="D50" s="353"/>
      <c r="E50" s="353"/>
      <c r="F50" s="353"/>
      <c r="G50" s="353"/>
      <c r="H50" s="353"/>
      <c r="J50" s="353"/>
      <c r="K50" s="353"/>
      <c r="L50" s="353"/>
      <c r="S50" s="335"/>
    </row>
    <row r="51" spans="1:19" ht="12" customHeight="1" x14ac:dyDescent="0.2">
      <c r="A51" s="330" t="str">
        <f t="shared" si="1"/>
        <v>01</v>
      </c>
      <c r="C51" s="353"/>
      <c r="D51" s="353"/>
      <c r="E51" s="353"/>
      <c r="F51" s="353"/>
      <c r="G51" s="353"/>
      <c r="H51" s="353"/>
      <c r="J51" s="353"/>
      <c r="K51" s="353"/>
      <c r="L51" s="353"/>
      <c r="S51" s="335"/>
    </row>
    <row r="52" spans="1:19" ht="10.35" customHeight="1" x14ac:dyDescent="0.2">
      <c r="A52" s="330" t="str">
        <f t="shared" si="1"/>
        <v>01</v>
      </c>
    </row>
    <row r="53" spans="1:19" ht="12" customHeight="1" x14ac:dyDescent="0.2">
      <c r="A53" s="330" t="str">
        <f t="shared" si="1"/>
        <v>01</v>
      </c>
      <c r="C53" s="630"/>
      <c r="D53" s="630"/>
    </row>
    <row r="54" spans="1:19" x14ac:dyDescent="0.2">
      <c r="A54" s="330" t="str">
        <f t="shared" si="1"/>
        <v>01</v>
      </c>
    </row>
    <row r="55" spans="1:19" x14ac:dyDescent="0.2">
      <c r="A55" s="330" t="str">
        <f t="shared" si="1"/>
        <v>01</v>
      </c>
    </row>
  </sheetData>
  <sheetProtection algorithmName="SHA-512" hashValue="N940fdDOGKx6f9UbvFDILYwOfGeMJaXlxtwDb47X1HHHN29/3wbek5Ph1FoHIRxi2ttdePDA9EW+jIvsWpDwkg==" saltValue="H+zmy4nY8vDB1ulmvV1NCg==" spinCount="100000" sheet="1" objects="1" scenarios="1" autoFilter="0"/>
  <customSheetViews>
    <customSheetView guid="{B08879A4-635B-4C39-9937-AC7883D562FC}" showGridLines="0" fitToPage="1" hiddenColumns="1" topLeftCell="C1">
      <selection activeCell="F37" sqref="F37"/>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E8" sqref="E8:F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E8" sqref="E8:F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F37" sqref="F37"/>
      <pageMargins left="0.5" right="0.5" top="0.5" bottom="0.5" header="0.5" footer="0.25"/>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5" type="noConversion"/>
  <conditionalFormatting sqref="S1:S3">
    <cfRule type="cellIs" dxfId="22" priority="1" stopIfTrue="1" operator="equal">
      <formula>"na"</formula>
    </cfRule>
  </conditionalFormatting>
  <hyperlinks>
    <hyperlink ref="C1:R1" location="Index!A1" display="Index!A1" xr:uid="{00000000-0004-0000-4500-000000000000}"/>
  </hyperlinks>
  <pageMargins left="0.5" right="0.5" top="0.5" bottom="0.5" header="0.5" footer="0.25"/>
  <pageSetup scale="95" orientation="landscape" r:id="rId5"/>
  <headerFooter alignWithMargins="0">
    <oddFooter xml:space="preserve">&amp;R&amp;A </oddFooter>
  </headerFooter>
  <ignoredErrors>
    <ignoredError sqref="C29 C40 C42 C44" numberStoredAsText="1"/>
  </ignoredError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workbookViewId="0">
      <selection activeCell="U6" sqref="U6"/>
    </sheetView>
  </sheetViews>
  <sheetFormatPr defaultColWidth="9.42578125" defaultRowHeight="12.75" x14ac:dyDescent="0.2"/>
  <cols>
    <col min="1" max="1" width="9.42578125" style="8" hidden="1" customWidth="1"/>
    <col min="2" max="2" width="6.5703125" style="8" customWidth="1"/>
    <col min="3" max="3" width="1.5703125" style="8" customWidth="1"/>
    <col min="4" max="4" width="10.140625" style="8" customWidth="1"/>
    <col min="5" max="5" width="12.28515625" style="8" customWidth="1"/>
    <col min="6" max="6" width="1.5703125" style="8" customWidth="1"/>
    <col min="7" max="7" width="8.140625" style="8" customWidth="1"/>
    <col min="8" max="8" width="0.5703125" style="8" customWidth="1"/>
    <col min="9" max="9" width="5.5703125" style="8" hidden="1" customWidth="1"/>
    <col min="10" max="10" width="2" style="8" customWidth="1"/>
    <col min="11" max="11" width="13.5703125" style="8" customWidth="1"/>
    <col min="12" max="12" width="2.5703125" style="8" customWidth="1"/>
    <col min="13" max="13" width="13.5703125" style="8" customWidth="1"/>
    <col min="14" max="14" width="1.42578125" style="8" customWidth="1"/>
    <col min="15" max="15" width="13.5703125" style="8" customWidth="1"/>
    <col min="16" max="16" width="1.42578125" style="8" customWidth="1"/>
    <col min="17" max="17" width="13.5703125" style="8" customWidth="1"/>
    <col min="18" max="18" width="0.5703125" style="8" customWidth="1"/>
    <col min="19" max="19" width="12.5703125" style="8" customWidth="1"/>
    <col min="20" max="20" width="0.5703125" style="8" customWidth="1"/>
    <col min="21" max="21" width="21.5703125" style="8" customWidth="1"/>
    <col min="22" max="22" width="0.5703125" style="8" customWidth="1"/>
    <col min="23" max="23" width="2.5703125" style="8" customWidth="1"/>
    <col min="24" max="24" width="7" style="8" hidden="1" customWidth="1"/>
    <col min="25" max="25" width="16.42578125" style="8" customWidth="1"/>
    <col min="26" max="27" width="2.42578125" style="8" customWidth="1"/>
    <col min="28" max="28" width="39.42578125" style="8" customWidth="1"/>
    <col min="29" max="31" width="39" style="8" customWidth="1"/>
    <col min="32" max="36" width="9.42578125" style="8" customWidth="1"/>
    <col min="37" max="37" width="9.42578125" style="2352"/>
    <col min="38" max="16384" width="9.42578125" style="8"/>
  </cols>
  <sheetData>
    <row r="1" spans="1:37" ht="25.15" customHeight="1" x14ac:dyDescent="0.25">
      <c r="A1" s="8" t="str">
        <f t="shared" ref="A1:A73" si="0">AgyIdx</f>
        <v>01</v>
      </c>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767"/>
      <c r="T1" s="2767"/>
      <c r="U1" s="2652" t="str">
        <f>IF(Index!$B$97="na","NA","")</f>
        <v/>
      </c>
      <c r="V1" s="776"/>
      <c r="W1" s="776"/>
      <c r="Y1" s="2829"/>
    </row>
    <row r="2" spans="1:37" ht="15" customHeight="1" x14ac:dyDescent="0.25">
      <c r="A2" s="8" t="str">
        <f t="shared" si="0"/>
        <v>01</v>
      </c>
      <c r="B2" s="3243" t="str">
        <f>+Index!$A$2</f>
        <v>2022 ACFR Worksheets</v>
      </c>
      <c r="C2" s="3243"/>
      <c r="D2" s="3243"/>
      <c r="E2" s="3243"/>
      <c r="F2" s="3243"/>
      <c r="G2" s="3243"/>
      <c r="H2" s="3243"/>
      <c r="I2" s="3243"/>
      <c r="J2" s="3243"/>
      <c r="K2" s="3243"/>
      <c r="L2" s="3243"/>
      <c r="M2" s="3243"/>
      <c r="N2" s="3243"/>
      <c r="O2" s="3243"/>
      <c r="P2" s="3243"/>
      <c r="Q2" s="3243"/>
      <c r="R2" s="3243"/>
      <c r="S2" s="3243"/>
      <c r="T2" s="3243"/>
      <c r="U2" s="2652"/>
      <c r="V2" s="776"/>
      <c r="W2" s="776"/>
      <c r="Y2" s="2829"/>
    </row>
    <row r="3" spans="1:37" ht="15" customHeight="1" x14ac:dyDescent="0.25">
      <c r="A3" s="8" t="str">
        <f t="shared" si="0"/>
        <v>01</v>
      </c>
      <c r="B3" s="3243" t="s">
        <v>4091</v>
      </c>
      <c r="C3" s="3243"/>
      <c r="D3" s="3243"/>
      <c r="E3" s="3243"/>
      <c r="F3" s="3243"/>
      <c r="G3" s="3243"/>
      <c r="H3" s="3243"/>
      <c r="I3" s="3243"/>
      <c r="J3" s="3243"/>
      <c r="K3" s="3243"/>
      <c r="L3" s="3243"/>
      <c r="M3" s="3243"/>
      <c r="N3" s="3243"/>
      <c r="O3" s="3243"/>
      <c r="P3" s="3243"/>
      <c r="Q3" s="3243"/>
      <c r="R3" s="3243"/>
      <c r="S3" s="3243"/>
      <c r="T3" s="3243"/>
      <c r="U3" s="2652"/>
      <c r="V3" s="776"/>
      <c r="W3" s="776"/>
      <c r="Y3" s="2829"/>
    </row>
    <row r="4" spans="1:37" ht="15" customHeight="1" x14ac:dyDescent="0.25">
      <c r="A4" s="8" t="str">
        <f t="shared" si="0"/>
        <v>01</v>
      </c>
      <c r="B4" s="3243" t="s">
        <v>4092</v>
      </c>
      <c r="C4" s="3243"/>
      <c r="D4" s="3243"/>
      <c r="E4" s="3243"/>
      <c r="F4" s="3243"/>
      <c r="G4" s="3243"/>
      <c r="H4" s="3243"/>
      <c r="I4" s="3243"/>
      <c r="J4" s="3243"/>
      <c r="K4" s="3243"/>
      <c r="L4" s="3243"/>
      <c r="M4" s="3243"/>
      <c r="N4" s="3243"/>
      <c r="O4" s="3243"/>
      <c r="P4" s="3243"/>
      <c r="Q4" s="3243"/>
      <c r="R4" s="3243"/>
      <c r="S4" s="3243"/>
      <c r="T4" s="3243"/>
      <c r="U4" s="1815"/>
      <c r="V4" s="1815"/>
      <c r="W4" s="776"/>
    </row>
    <row r="5" spans="1:37" ht="6" customHeight="1" x14ac:dyDescent="0.2">
      <c r="A5" s="8" t="str">
        <f t="shared" si="0"/>
        <v>01</v>
      </c>
      <c r="B5" s="776"/>
      <c r="C5" s="776"/>
      <c r="D5" s="776"/>
      <c r="E5" s="776"/>
      <c r="F5" s="776"/>
      <c r="G5" s="776"/>
      <c r="H5" s="776"/>
      <c r="I5" s="776"/>
      <c r="J5" s="776"/>
      <c r="K5" s="776"/>
      <c r="L5" s="776"/>
      <c r="M5" s="776"/>
      <c r="N5" s="776"/>
      <c r="O5" s="776"/>
      <c r="P5" s="776"/>
      <c r="Q5" s="776"/>
      <c r="R5" s="776"/>
      <c r="S5" s="776"/>
      <c r="T5" s="776"/>
      <c r="U5" s="776"/>
      <c r="V5" s="776"/>
      <c r="W5" s="776"/>
    </row>
    <row r="6" spans="1:37" ht="15" customHeight="1" x14ac:dyDescent="0.2">
      <c r="A6" s="8" t="str">
        <f t="shared" si="0"/>
        <v>01</v>
      </c>
      <c r="B6" s="776"/>
      <c r="C6" s="776"/>
      <c r="D6" s="776"/>
      <c r="E6" s="776"/>
      <c r="F6" s="776"/>
      <c r="G6" s="776"/>
      <c r="H6" s="776"/>
      <c r="I6" s="776"/>
      <c r="J6" s="776"/>
      <c r="K6" s="776"/>
      <c r="L6" s="9" t="s">
        <v>327</v>
      </c>
      <c r="M6" s="3277" t="str">
        <f>+Index!$E$10</f>
        <v>01</v>
      </c>
      <c r="N6" s="3277"/>
      <c r="O6" s="3277"/>
      <c r="P6" s="3277"/>
      <c r="Q6" s="3277"/>
      <c r="R6" s="776"/>
      <c r="S6" s="776"/>
      <c r="T6" s="776"/>
      <c r="U6" s="776"/>
      <c r="V6" s="776"/>
      <c r="W6" s="776"/>
    </row>
    <row r="7" spans="1:37" ht="15" customHeight="1" x14ac:dyDescent="0.2">
      <c r="A7" s="8" t="str">
        <f t="shared" si="0"/>
        <v>01</v>
      </c>
      <c r="B7" s="776"/>
      <c r="C7" s="776"/>
      <c r="D7" s="776"/>
      <c r="E7" s="776"/>
      <c r="F7" s="776"/>
      <c r="G7" s="776"/>
      <c r="H7" s="776"/>
      <c r="I7" s="776"/>
      <c r="J7" s="776"/>
      <c r="K7" s="776"/>
      <c r="L7" s="9" t="s">
        <v>1154</v>
      </c>
      <c r="M7" s="3277" t="str">
        <f>+Index!$E$11</f>
        <v>North Carolina General Assembly</v>
      </c>
      <c r="N7" s="3277"/>
      <c r="O7" s="3277"/>
      <c r="P7" s="3277"/>
      <c r="Q7" s="3277"/>
      <c r="R7" s="776"/>
      <c r="S7" s="776"/>
      <c r="T7" s="776"/>
      <c r="U7" s="776"/>
      <c r="V7" s="776"/>
      <c r="W7" s="776"/>
    </row>
    <row r="8" spans="1:37" ht="15" customHeight="1" x14ac:dyDescent="0.2">
      <c r="A8" s="8" t="str">
        <f t="shared" si="0"/>
        <v>01</v>
      </c>
      <c r="B8" s="791" t="s">
        <v>477</v>
      </c>
      <c r="C8" s="776"/>
      <c r="D8" s="776"/>
      <c r="E8" s="3245" t="s">
        <v>971</v>
      </c>
      <c r="F8" s="3245"/>
      <c r="G8" s="3245"/>
      <c r="H8" s="1623"/>
      <c r="I8" s="1623"/>
      <c r="J8" s="776"/>
      <c r="K8" s="776"/>
      <c r="L8" s="9" t="s">
        <v>972</v>
      </c>
      <c r="M8" s="3278" t="str">
        <f>CONCATENATE(Index!$E$12," ",Index!$E$14)</f>
        <v xml:space="preserve"> </v>
      </c>
      <c r="N8" s="3278"/>
      <c r="O8" s="3278"/>
      <c r="P8" s="3278"/>
      <c r="Q8" s="3278"/>
      <c r="R8" s="776"/>
      <c r="S8" s="776"/>
      <c r="T8" s="776"/>
      <c r="U8" s="776"/>
      <c r="V8" s="776"/>
      <c r="W8" s="776"/>
    </row>
    <row r="9" spans="1:37" ht="15" customHeight="1" x14ac:dyDescent="0.2">
      <c r="A9" s="8" t="str">
        <f t="shared" si="0"/>
        <v>01</v>
      </c>
      <c r="B9" s="776"/>
      <c r="C9" s="776"/>
      <c r="D9" s="776"/>
      <c r="E9" s="776"/>
      <c r="F9" s="776"/>
      <c r="G9" s="776"/>
      <c r="H9" s="1623"/>
      <c r="I9" s="1623"/>
      <c r="J9" s="776"/>
      <c r="K9" s="776"/>
      <c r="L9" s="9" t="s">
        <v>348</v>
      </c>
      <c r="M9" s="3279">
        <f>+Index!$E$13</f>
        <v>0</v>
      </c>
      <c r="N9" s="3279"/>
      <c r="O9" s="3279"/>
      <c r="P9" s="3279"/>
      <c r="Q9" s="3279"/>
      <c r="R9" s="776"/>
      <c r="S9" s="776"/>
      <c r="T9" s="776"/>
      <c r="U9" s="776"/>
      <c r="V9" s="776"/>
      <c r="W9" s="776"/>
    </row>
    <row r="10" spans="1:37" ht="5.25" customHeight="1" thickBot="1" x14ac:dyDescent="0.25">
      <c r="A10" s="8" t="str">
        <f t="shared" si="0"/>
        <v>01</v>
      </c>
      <c r="B10" s="1624"/>
      <c r="C10" s="1624"/>
      <c r="D10" s="1624"/>
      <c r="E10" s="1624"/>
      <c r="F10" s="1624"/>
      <c r="G10" s="1624"/>
      <c r="H10" s="1624"/>
      <c r="I10" s="1624"/>
      <c r="J10" s="1624"/>
      <c r="K10" s="1624"/>
      <c r="L10" s="1624"/>
      <c r="M10" s="1624"/>
      <c r="N10" s="1624"/>
      <c r="O10" s="1624"/>
      <c r="P10" s="1624"/>
      <c r="Q10" s="1624"/>
      <c r="R10" s="1624"/>
      <c r="S10" s="1624"/>
      <c r="T10" s="1624"/>
      <c r="U10" s="1624"/>
      <c r="V10" s="1624"/>
      <c r="W10" s="776"/>
    </row>
    <row r="11" spans="1:37" ht="3" customHeight="1" x14ac:dyDescent="0.2">
      <c r="A11" s="8" t="str">
        <f t="shared" si="0"/>
        <v>01</v>
      </c>
    </row>
    <row r="12" spans="1:37" ht="13.35" customHeight="1" thickBot="1" x14ac:dyDescent="0.3">
      <c r="A12" s="8" t="str">
        <f t="shared" si="0"/>
        <v>01</v>
      </c>
      <c r="B12" s="1625"/>
      <c r="C12" s="1625"/>
      <c r="D12" s="1625"/>
      <c r="E12" s="1625"/>
      <c r="F12" s="1625"/>
      <c r="G12" s="1625"/>
      <c r="H12" s="1625"/>
      <c r="I12" s="1625"/>
      <c r="J12" s="1625"/>
      <c r="K12" s="300"/>
      <c r="L12" s="1626"/>
      <c r="M12" s="3247" t="s">
        <v>4093</v>
      </c>
      <c r="N12" s="3247"/>
      <c r="O12" s="3247"/>
      <c r="P12" s="3247"/>
      <c r="Q12" s="3247"/>
      <c r="R12" s="149"/>
      <c r="S12" s="149"/>
      <c r="T12" s="149"/>
      <c r="U12" s="149"/>
    </row>
    <row r="13" spans="1:37" ht="13.35" customHeight="1" x14ac:dyDescent="0.25">
      <c r="B13" s="1625"/>
      <c r="C13" s="1625"/>
      <c r="D13" s="1625"/>
      <c r="E13" s="1625"/>
      <c r="F13" s="1625"/>
      <c r="G13" s="1625"/>
      <c r="H13" s="1625"/>
      <c r="I13" s="1625"/>
      <c r="J13" s="1625"/>
      <c r="K13" s="300"/>
      <c r="L13" s="1626"/>
      <c r="M13" s="2290" t="s">
        <v>5111</v>
      </c>
      <c r="N13" s="2290"/>
      <c r="O13" s="2290" t="s">
        <v>5112</v>
      </c>
      <c r="P13" s="2290"/>
      <c r="Q13" s="2290" t="s">
        <v>5113</v>
      </c>
      <c r="R13" s="2290"/>
      <c r="S13" s="2399" t="s">
        <v>5114</v>
      </c>
      <c r="T13" s="149"/>
      <c r="U13" s="149"/>
    </row>
    <row r="14" spans="1:37" ht="12" customHeight="1" x14ac:dyDescent="0.25">
      <c r="A14" s="8" t="str">
        <f t="shared" si="0"/>
        <v>01</v>
      </c>
      <c r="B14" s="1625"/>
      <c r="C14" s="1625"/>
      <c r="D14" s="1625"/>
      <c r="E14" s="1625"/>
      <c r="F14" s="1625"/>
      <c r="G14" s="1625"/>
      <c r="H14" s="1625"/>
      <c r="I14" s="1625"/>
      <c r="J14" s="1625"/>
      <c r="K14" s="300"/>
      <c r="L14" s="1626"/>
      <c r="M14" s="1627" t="s">
        <v>4094</v>
      </c>
      <c r="N14" s="1627"/>
      <c r="O14" s="1627" t="s">
        <v>4095</v>
      </c>
      <c r="P14" s="1628"/>
      <c r="Q14" s="1627" t="s">
        <v>4096</v>
      </c>
      <c r="R14" s="149"/>
      <c r="S14" s="149"/>
      <c r="T14" s="149"/>
      <c r="U14" s="1627" t="s">
        <v>4097</v>
      </c>
      <c r="AK14" s="2393"/>
    </row>
    <row r="15" spans="1:37" ht="12" customHeight="1" x14ac:dyDescent="0.25">
      <c r="A15" s="8" t="str">
        <f t="shared" si="0"/>
        <v>01</v>
      </c>
      <c r="B15" s="1625"/>
      <c r="C15" s="1625"/>
      <c r="D15" s="1625"/>
      <c r="E15" s="1625"/>
      <c r="F15" s="1625"/>
      <c r="G15" s="1625"/>
      <c r="H15" s="1625"/>
      <c r="I15" s="1625"/>
      <c r="J15" s="1625"/>
      <c r="K15" s="1627"/>
      <c r="L15" s="1626"/>
      <c r="M15" s="1627" t="s">
        <v>4098</v>
      </c>
      <c r="N15" s="1628"/>
      <c r="O15" s="1627" t="s">
        <v>4099</v>
      </c>
      <c r="P15" s="1628"/>
      <c r="Q15" s="1627" t="s">
        <v>4100</v>
      </c>
      <c r="R15" s="149"/>
      <c r="S15" s="1627" t="s">
        <v>1156</v>
      </c>
      <c r="T15" s="149"/>
      <c r="U15" s="1627" t="s">
        <v>4101</v>
      </c>
    </row>
    <row r="16" spans="1:37" ht="12" customHeight="1" x14ac:dyDescent="0.25">
      <c r="A16" s="8" t="str">
        <f t="shared" si="0"/>
        <v>01</v>
      </c>
      <c r="B16" s="1625"/>
      <c r="C16" s="1627"/>
      <c r="D16" s="1625"/>
      <c r="E16" s="298" t="s">
        <v>973</v>
      </c>
      <c r="F16" s="298"/>
      <c r="G16" s="1625"/>
      <c r="H16" s="1625"/>
      <c r="I16" s="1625"/>
      <c r="J16" s="1625"/>
      <c r="K16" s="1627"/>
      <c r="L16" s="1625"/>
      <c r="M16" s="1627" t="s">
        <v>4102</v>
      </c>
      <c r="N16" s="1628"/>
      <c r="O16" s="1627" t="s">
        <v>4103</v>
      </c>
      <c r="P16" s="1628"/>
      <c r="Q16" s="1627" t="s">
        <v>4103</v>
      </c>
      <c r="R16" s="149"/>
      <c r="S16" s="1627" t="s">
        <v>4104</v>
      </c>
      <c r="T16" s="1629"/>
      <c r="U16" s="1627" t="s">
        <v>4152</v>
      </c>
      <c r="AB16" s="1627" t="s">
        <v>4154</v>
      </c>
      <c r="AC16" s="1627" t="s">
        <v>4154</v>
      </c>
      <c r="AD16" s="1627" t="s">
        <v>4154</v>
      </c>
      <c r="AE16" s="1627" t="s">
        <v>4154</v>
      </c>
    </row>
    <row r="17" spans="1:37" ht="12" customHeight="1" x14ac:dyDescent="0.25">
      <c r="A17" s="8" t="str">
        <f t="shared" si="0"/>
        <v>01</v>
      </c>
      <c r="B17" s="304" t="s">
        <v>653</v>
      </c>
      <c r="C17" s="1630"/>
      <c r="D17" s="1630"/>
      <c r="E17" s="1630"/>
      <c r="F17" s="304"/>
      <c r="G17" s="1630"/>
      <c r="H17" s="1625"/>
      <c r="I17" s="1625"/>
      <c r="J17" s="1625"/>
      <c r="K17" s="1631">
        <v>44742</v>
      </c>
      <c r="L17" s="1625"/>
      <c r="M17" s="1632" t="s">
        <v>4105</v>
      </c>
      <c r="N17" s="307"/>
      <c r="O17" s="1632" t="s">
        <v>4106</v>
      </c>
      <c r="P17" s="307"/>
      <c r="Q17" s="1632" t="s">
        <v>4107</v>
      </c>
      <c r="R17" s="149"/>
      <c r="S17" s="1632" t="s">
        <v>4108</v>
      </c>
      <c r="T17" s="1629"/>
      <c r="U17" s="1632" t="s">
        <v>4153</v>
      </c>
      <c r="Y17" s="1138" t="s">
        <v>1673</v>
      </c>
      <c r="AB17" s="1632" t="s">
        <v>4155</v>
      </c>
      <c r="AC17" s="1632" t="s">
        <v>4155</v>
      </c>
      <c r="AD17" s="1632" t="s">
        <v>4155</v>
      </c>
      <c r="AE17" s="1632" t="s">
        <v>4155</v>
      </c>
    </row>
    <row r="18" spans="1:37" ht="12" customHeight="1" x14ac:dyDescent="0.2">
      <c r="A18" s="8" t="str">
        <f t="shared" si="0"/>
        <v>01</v>
      </c>
      <c r="B18" s="149"/>
      <c r="C18" s="149"/>
      <c r="D18" s="149"/>
      <c r="E18" s="149"/>
      <c r="F18" s="149"/>
      <c r="G18" s="149"/>
      <c r="H18" s="149"/>
      <c r="I18" s="1633"/>
      <c r="J18" s="1633"/>
      <c r="K18" s="1634" t="s">
        <v>118</v>
      </c>
      <c r="L18" s="1634"/>
      <c r="M18" s="1634" t="s">
        <v>119</v>
      </c>
      <c r="N18" s="1634"/>
      <c r="O18" s="1634" t="s">
        <v>996</v>
      </c>
      <c r="P18" s="149"/>
      <c r="Q18" s="1634" t="s">
        <v>997</v>
      </c>
      <c r="R18" s="1634"/>
      <c r="S18" s="1634" t="s">
        <v>998</v>
      </c>
      <c r="T18" s="1634"/>
      <c r="U18" s="1634" t="s">
        <v>999</v>
      </c>
      <c r="Y18" s="1139" t="s">
        <v>1160</v>
      </c>
      <c r="AB18" s="1634" t="s">
        <v>321</v>
      </c>
      <c r="AC18" s="1634" t="s">
        <v>322</v>
      </c>
      <c r="AD18" s="1634" t="s">
        <v>320</v>
      </c>
      <c r="AE18" s="1634" t="s">
        <v>564</v>
      </c>
    </row>
    <row r="19" spans="1:37" ht="12" customHeight="1" x14ac:dyDescent="0.2">
      <c r="A19" s="8" t="str">
        <f t="shared" si="0"/>
        <v>01</v>
      </c>
      <c r="B19" s="309" t="s">
        <v>4109</v>
      </c>
      <c r="C19" s="1437"/>
      <c r="D19" s="149"/>
      <c r="E19" s="149"/>
      <c r="F19" s="149"/>
      <c r="G19" s="149"/>
      <c r="H19" s="149"/>
      <c r="I19" s="1633"/>
      <c r="J19" s="1633"/>
      <c r="K19" s="1635"/>
      <c r="L19" s="1635"/>
      <c r="M19" s="1635"/>
      <c r="N19" s="1635"/>
      <c r="O19" s="1635"/>
      <c r="P19" s="1635"/>
      <c r="Q19" s="1635"/>
      <c r="R19" s="1635"/>
      <c r="S19" s="149"/>
      <c r="T19" s="149"/>
      <c r="U19" s="149"/>
    </row>
    <row r="20" spans="1:37" ht="12" customHeight="1" x14ac:dyDescent="0.25">
      <c r="A20" s="8" t="str">
        <f t="shared" si="0"/>
        <v>01</v>
      </c>
      <c r="B20" s="313" t="s">
        <v>1208</v>
      </c>
      <c r="C20" s="1274"/>
      <c r="D20" s="149"/>
      <c r="E20" s="149"/>
      <c r="F20" s="149"/>
      <c r="G20" s="149"/>
      <c r="H20" s="149"/>
      <c r="I20" s="1273" t="s">
        <v>4196</v>
      </c>
      <c r="J20" s="1275"/>
      <c r="K20" s="1145">
        <f>SUMIF('710'!$B$21:$B$61,B20,'710'!$K$21:$K$61)</f>
        <v>0</v>
      </c>
      <c r="L20" s="1637"/>
      <c r="M20" s="1409"/>
      <c r="N20" s="1637"/>
      <c r="O20" s="1409"/>
      <c r="P20" s="1637"/>
      <c r="Q20" s="1409"/>
      <c r="R20" s="1635"/>
      <c r="S20" s="1638"/>
      <c r="T20" s="1639"/>
      <c r="U20" s="1515" t="str">
        <f>CONCATENATE(AF20,AG20,AH20,AI20)</f>
        <v/>
      </c>
      <c r="W20" s="609" t="str">
        <f>IF(X20=FALSE,"*","")</f>
        <v/>
      </c>
      <c r="X20" s="610" t="b">
        <f>+K20=SUM(M20,O20,Q20,S20)</f>
        <v>1</v>
      </c>
      <c r="Y20" s="1137">
        <f>K20-SUM(M20,O20,Q20, S20)</f>
        <v>0</v>
      </c>
      <c r="AB20" s="1665" t="s">
        <v>4186</v>
      </c>
      <c r="AC20" s="1665" t="s">
        <v>4186</v>
      </c>
      <c r="AD20" s="1665" t="s">
        <v>4186</v>
      </c>
      <c r="AE20" s="1665" t="s">
        <v>4186</v>
      </c>
      <c r="AF20" s="1662" t="str">
        <f>IF(AB20="—","",RIGHT(AB20,7))</f>
        <v/>
      </c>
      <c r="AG20" s="1662" t="str">
        <f>IF(AC20="—","",RIGHT(AC20,7))</f>
        <v/>
      </c>
      <c r="AH20" s="1662" t="str">
        <f>IF(AD20="—","",RIGHT(AD20,7))</f>
        <v/>
      </c>
      <c r="AI20" s="1662" t="str">
        <f>IF(AE20="—","",RIGHT(AE20,7))</f>
        <v/>
      </c>
      <c r="AK20" s="2352" t="s">
        <v>1208</v>
      </c>
    </row>
    <row r="21" spans="1:37" ht="12" customHeight="1" x14ac:dyDescent="0.25">
      <c r="A21" s="8" t="str">
        <f t="shared" si="0"/>
        <v>01</v>
      </c>
      <c r="B21" s="313" t="s">
        <v>921</v>
      </c>
      <c r="C21" s="1274"/>
      <c r="D21" s="149"/>
      <c r="E21" s="149"/>
      <c r="F21" s="149"/>
      <c r="G21" s="149"/>
      <c r="H21" s="149"/>
      <c r="I21" s="1273" t="s">
        <v>4197</v>
      </c>
      <c r="J21" s="1275"/>
      <c r="K21" s="1145">
        <f>SUMIF('710'!$B$21:$B$61,B21,'710'!$K$21:$K$61)</f>
        <v>0</v>
      </c>
      <c r="L21" s="1637"/>
      <c r="M21" s="1409"/>
      <c r="N21" s="1637"/>
      <c r="O21" s="1409"/>
      <c r="P21" s="1637"/>
      <c r="Q21" s="1409"/>
      <c r="R21" s="1635"/>
      <c r="S21" s="1638"/>
      <c r="T21" s="1639"/>
      <c r="U21" s="1515" t="str">
        <f t="shared" ref="U21:U77" si="1">CONCATENATE(AF21,AG21,AH21,AI21)</f>
        <v/>
      </c>
      <c r="W21" s="609" t="str">
        <f>IF(X21=FALSE,"*","")</f>
        <v/>
      </c>
      <c r="X21" s="610" t="b">
        <f>+K21=SUM(M21,O21,Q21,S21)</f>
        <v>1</v>
      </c>
      <c r="Y21" s="1137">
        <f t="shared" ref="Y21:Y47" si="2">K21-SUM(M21,O21,Q21, S21)</f>
        <v>0</v>
      </c>
      <c r="AB21" s="1665" t="s">
        <v>4186</v>
      </c>
      <c r="AC21" s="1665" t="s">
        <v>4186</v>
      </c>
      <c r="AD21" s="1665" t="s">
        <v>4186</v>
      </c>
      <c r="AE21" s="1665" t="s">
        <v>4186</v>
      </c>
      <c r="AF21" s="1662" t="str">
        <f t="shared" ref="AF21:AF77" si="3">IF(AB21="—","",RIGHT(AB21,7))</f>
        <v/>
      </c>
      <c r="AG21" s="1662" t="str">
        <f t="shared" ref="AG21:AG77" si="4">IF(AC21="—","",RIGHT(AC21,7))</f>
        <v/>
      </c>
      <c r="AH21" s="1662" t="str">
        <f t="shared" ref="AH21:AH77" si="5">IF(AD21="—","",RIGHT(AD21,7))</f>
        <v/>
      </c>
      <c r="AI21" s="1662" t="str">
        <f t="shared" ref="AI21:AI77" si="6">IF(AE21="—","",RIGHT(AE21,7))</f>
        <v/>
      </c>
      <c r="AK21" s="2352" t="s">
        <v>921</v>
      </c>
    </row>
    <row r="22" spans="1:37" ht="12" customHeight="1" x14ac:dyDescent="0.25">
      <c r="A22" s="8" t="str">
        <f t="shared" si="0"/>
        <v>01</v>
      </c>
      <c r="B22" s="313" t="s">
        <v>1851</v>
      </c>
      <c r="C22" s="1274"/>
      <c r="D22" s="149"/>
      <c r="E22" s="149"/>
      <c r="F22" s="149"/>
      <c r="G22" s="149"/>
      <c r="H22" s="149"/>
      <c r="I22" s="1273" t="s">
        <v>4198</v>
      </c>
      <c r="J22" s="1275"/>
      <c r="K22" s="1145">
        <f>SUMIF('710'!$B$21:$B$61,B22,'710'!$K$21:$K$61)</f>
        <v>0</v>
      </c>
      <c r="L22" s="1637"/>
      <c r="M22" s="1409"/>
      <c r="N22" s="1637"/>
      <c r="O22" s="1409"/>
      <c r="P22" s="1637"/>
      <c r="Q22" s="1409"/>
      <c r="R22" s="1635"/>
      <c r="S22" s="1638"/>
      <c r="T22" s="1639"/>
      <c r="U22" s="1515" t="str">
        <f t="shared" si="1"/>
        <v/>
      </c>
      <c r="W22" s="609" t="str">
        <f t="shared" ref="W22:W47" si="7">IF(X22=FALSE,"*","")</f>
        <v/>
      </c>
      <c r="X22" s="610" t="b">
        <f t="shared" ref="X22:X47" si="8">+K22=SUM(M22,O22,Q22,S22)</f>
        <v>1</v>
      </c>
      <c r="Y22" s="1137">
        <f t="shared" si="2"/>
        <v>0</v>
      </c>
      <c r="AB22" s="1665" t="s">
        <v>4186</v>
      </c>
      <c r="AC22" s="1665" t="s">
        <v>4186</v>
      </c>
      <c r="AD22" s="1665" t="s">
        <v>4186</v>
      </c>
      <c r="AE22" s="1665" t="s">
        <v>4186</v>
      </c>
      <c r="AF22" s="1662" t="str">
        <f t="shared" si="3"/>
        <v/>
      </c>
      <c r="AG22" s="1662" t="str">
        <f t="shared" si="4"/>
        <v/>
      </c>
      <c r="AH22" s="1662" t="str">
        <f t="shared" si="5"/>
        <v/>
      </c>
      <c r="AI22" s="1662" t="str">
        <f t="shared" si="6"/>
        <v/>
      </c>
      <c r="AK22" s="2352" t="s">
        <v>1851</v>
      </c>
    </row>
    <row r="23" spans="1:37" ht="12" customHeight="1" x14ac:dyDescent="0.25">
      <c r="A23" s="8" t="str">
        <f t="shared" si="0"/>
        <v>01</v>
      </c>
      <c r="B23" s="313" t="s">
        <v>1852</v>
      </c>
      <c r="C23" s="1274"/>
      <c r="D23" s="149"/>
      <c r="E23" s="149"/>
      <c r="F23" s="149"/>
      <c r="G23" s="149"/>
      <c r="H23" s="149"/>
      <c r="I23" s="1273" t="s">
        <v>4199</v>
      </c>
      <c r="J23" s="1275"/>
      <c r="K23" s="1145">
        <f>SUMIF('710'!$B$21:$B$61,B23,'710'!$K$21:$K$61)</f>
        <v>0</v>
      </c>
      <c r="L23" s="1637"/>
      <c r="M23" s="1409"/>
      <c r="N23" s="1637"/>
      <c r="O23" s="1409"/>
      <c r="P23" s="1637"/>
      <c r="Q23" s="1409"/>
      <c r="R23" s="1635"/>
      <c r="S23" s="1638"/>
      <c r="T23" s="1639"/>
      <c r="U23" s="1515" t="str">
        <f t="shared" si="1"/>
        <v/>
      </c>
      <c r="W23" s="609" t="str">
        <f t="shared" si="7"/>
        <v/>
      </c>
      <c r="X23" s="610" t="b">
        <f t="shared" si="8"/>
        <v>1</v>
      </c>
      <c r="Y23" s="1137">
        <f t="shared" si="2"/>
        <v>0</v>
      </c>
      <c r="AB23" s="1665" t="s">
        <v>4186</v>
      </c>
      <c r="AC23" s="1665" t="s">
        <v>4186</v>
      </c>
      <c r="AD23" s="1665" t="s">
        <v>4186</v>
      </c>
      <c r="AE23" s="1665" t="s">
        <v>4186</v>
      </c>
      <c r="AF23" s="1662" t="str">
        <f t="shared" si="3"/>
        <v/>
      </c>
      <c r="AG23" s="1662" t="str">
        <f t="shared" si="4"/>
        <v/>
      </c>
      <c r="AH23" s="1662" t="str">
        <f t="shared" si="5"/>
        <v/>
      </c>
      <c r="AI23" s="1662" t="str">
        <f t="shared" si="6"/>
        <v/>
      </c>
      <c r="AK23" s="2352" t="s">
        <v>1852</v>
      </c>
    </row>
    <row r="24" spans="1:37" ht="12" customHeight="1" x14ac:dyDescent="0.25">
      <c r="A24" s="8" t="str">
        <f t="shared" si="0"/>
        <v>01</v>
      </c>
      <c r="B24" s="313" t="s">
        <v>1853</v>
      </c>
      <c r="C24" s="1274"/>
      <c r="D24" s="149"/>
      <c r="E24" s="149"/>
      <c r="F24" s="149"/>
      <c r="G24" s="149"/>
      <c r="H24" s="149"/>
      <c r="I24" s="1273" t="s">
        <v>4200</v>
      </c>
      <c r="J24" s="1275"/>
      <c r="K24" s="1145">
        <f>SUMIF('710'!$B$21:$B$61,B24,'710'!$K$21:$K$61)</f>
        <v>0</v>
      </c>
      <c r="L24" s="1637"/>
      <c r="M24" s="1409"/>
      <c r="N24" s="1637"/>
      <c r="O24" s="1409"/>
      <c r="P24" s="1637"/>
      <c r="Q24" s="1409"/>
      <c r="R24" s="1635"/>
      <c r="S24" s="1638"/>
      <c r="T24" s="1639"/>
      <c r="U24" s="1515" t="str">
        <f t="shared" si="1"/>
        <v/>
      </c>
      <c r="W24" s="609" t="str">
        <f t="shared" si="7"/>
        <v/>
      </c>
      <c r="X24" s="610" t="b">
        <f t="shared" si="8"/>
        <v>1</v>
      </c>
      <c r="Y24" s="1137">
        <f t="shared" si="2"/>
        <v>0</v>
      </c>
      <c r="AB24" s="1665" t="s">
        <v>4186</v>
      </c>
      <c r="AC24" s="1665" t="s">
        <v>4186</v>
      </c>
      <c r="AD24" s="1665" t="s">
        <v>4186</v>
      </c>
      <c r="AE24" s="1665" t="s">
        <v>4186</v>
      </c>
      <c r="AF24" s="1662" t="str">
        <f t="shared" si="3"/>
        <v/>
      </c>
      <c r="AG24" s="1662" t="str">
        <f t="shared" si="4"/>
        <v/>
      </c>
      <c r="AH24" s="1662" t="str">
        <f t="shared" si="5"/>
        <v/>
      </c>
      <c r="AI24" s="1662" t="str">
        <f t="shared" si="6"/>
        <v/>
      </c>
      <c r="AK24" s="2352" t="s">
        <v>1853</v>
      </c>
    </row>
    <row r="25" spans="1:37" ht="12" customHeight="1" x14ac:dyDescent="0.25">
      <c r="A25" s="8" t="str">
        <f t="shared" si="0"/>
        <v>01</v>
      </c>
      <c r="B25" s="313" t="s">
        <v>1854</v>
      </c>
      <c r="C25" s="1274"/>
      <c r="D25" s="149"/>
      <c r="E25" s="149"/>
      <c r="F25" s="149"/>
      <c r="G25" s="149"/>
      <c r="H25" s="149"/>
      <c r="I25" s="1273" t="s">
        <v>4201</v>
      </c>
      <c r="J25" s="1275"/>
      <c r="K25" s="1145">
        <f>SUMIF('710'!$B$21:$B$61,B25,'710'!$K$21:$K$61)</f>
        <v>0</v>
      </c>
      <c r="L25" s="1637"/>
      <c r="M25" s="1409"/>
      <c r="N25" s="1637"/>
      <c r="O25" s="1409"/>
      <c r="P25" s="1637"/>
      <c r="Q25" s="1409"/>
      <c r="R25" s="1635"/>
      <c r="S25" s="1638"/>
      <c r="T25" s="1639"/>
      <c r="U25" s="1515" t="str">
        <f t="shared" si="1"/>
        <v/>
      </c>
      <c r="W25" s="609" t="str">
        <f t="shared" si="7"/>
        <v/>
      </c>
      <c r="X25" s="610" t="b">
        <f t="shared" si="8"/>
        <v>1</v>
      </c>
      <c r="Y25" s="1137">
        <f t="shared" si="2"/>
        <v>0</v>
      </c>
      <c r="AB25" s="1665" t="s">
        <v>4186</v>
      </c>
      <c r="AC25" s="1665" t="s">
        <v>4186</v>
      </c>
      <c r="AD25" s="1665" t="s">
        <v>4186</v>
      </c>
      <c r="AE25" s="1665" t="s">
        <v>4186</v>
      </c>
      <c r="AF25" s="1662" t="str">
        <f t="shared" si="3"/>
        <v/>
      </c>
      <c r="AG25" s="1662" t="str">
        <f t="shared" si="4"/>
        <v/>
      </c>
      <c r="AH25" s="1662" t="str">
        <f t="shared" si="5"/>
        <v/>
      </c>
      <c r="AI25" s="1662" t="str">
        <f t="shared" si="6"/>
        <v/>
      </c>
      <c r="AK25" s="2352" t="s">
        <v>1854</v>
      </c>
    </row>
    <row r="26" spans="1:37" ht="12" customHeight="1" x14ac:dyDescent="0.25">
      <c r="A26" s="8" t="str">
        <f t="shared" si="0"/>
        <v>01</v>
      </c>
      <c r="B26" s="313" t="s">
        <v>1855</v>
      </c>
      <c r="C26" s="1274"/>
      <c r="D26" s="149"/>
      <c r="E26" s="149"/>
      <c r="F26" s="149"/>
      <c r="G26" s="149"/>
      <c r="H26" s="149"/>
      <c r="I26" s="1273" t="s">
        <v>4202</v>
      </c>
      <c r="J26" s="1275"/>
      <c r="K26" s="1145">
        <f>SUMIF('710'!$B$21:$B$61,B26,'710'!$K$21:$K$61)</f>
        <v>0</v>
      </c>
      <c r="L26" s="1637"/>
      <c r="M26" s="1409"/>
      <c r="N26" s="1637"/>
      <c r="O26" s="1409"/>
      <c r="P26" s="1637"/>
      <c r="Q26" s="1409"/>
      <c r="R26" s="1635"/>
      <c r="S26" s="1638"/>
      <c r="T26" s="1639"/>
      <c r="U26" s="1515" t="str">
        <f t="shared" si="1"/>
        <v/>
      </c>
      <c r="W26" s="609" t="str">
        <f t="shared" si="7"/>
        <v/>
      </c>
      <c r="X26" s="610" t="b">
        <f t="shared" si="8"/>
        <v>1</v>
      </c>
      <c r="Y26" s="1137">
        <f t="shared" si="2"/>
        <v>0</v>
      </c>
      <c r="AB26" s="1665" t="s">
        <v>4186</v>
      </c>
      <c r="AC26" s="1665" t="s">
        <v>4186</v>
      </c>
      <c r="AD26" s="1665" t="s">
        <v>4186</v>
      </c>
      <c r="AE26" s="1665" t="s">
        <v>4186</v>
      </c>
      <c r="AF26" s="1662" t="str">
        <f t="shared" si="3"/>
        <v/>
      </c>
      <c r="AG26" s="1662" t="str">
        <f t="shared" si="4"/>
        <v/>
      </c>
      <c r="AH26" s="1662" t="str">
        <f t="shared" si="5"/>
        <v/>
      </c>
      <c r="AI26" s="1662" t="str">
        <f t="shared" si="6"/>
        <v/>
      </c>
      <c r="AK26" s="2352" t="s">
        <v>1855</v>
      </c>
    </row>
    <row r="27" spans="1:37" ht="12" customHeight="1" x14ac:dyDescent="0.25">
      <c r="A27" s="8" t="str">
        <f t="shared" si="0"/>
        <v>01</v>
      </c>
      <c r="B27" s="313" t="s">
        <v>1856</v>
      </c>
      <c r="C27" s="1274"/>
      <c r="D27" s="149"/>
      <c r="E27" s="149"/>
      <c r="F27" s="149"/>
      <c r="G27" s="149"/>
      <c r="H27" s="149"/>
      <c r="I27" s="1273" t="s">
        <v>4203</v>
      </c>
      <c r="J27" s="1275"/>
      <c r="K27" s="1145">
        <f>SUMIF('710'!$B$21:$B$61,B27,'710'!$K$21:$K$61)</f>
        <v>0</v>
      </c>
      <c r="L27" s="1637"/>
      <c r="M27" s="1409"/>
      <c r="N27" s="1637"/>
      <c r="O27" s="1409"/>
      <c r="P27" s="1637"/>
      <c r="Q27" s="1409"/>
      <c r="R27" s="1635"/>
      <c r="S27" s="1409"/>
      <c r="T27" s="1639"/>
      <c r="U27" s="1515" t="str">
        <f t="shared" si="1"/>
        <v/>
      </c>
      <c r="W27" s="609" t="str">
        <f t="shared" si="7"/>
        <v/>
      </c>
      <c r="X27" s="610" t="b">
        <f t="shared" si="8"/>
        <v>1</v>
      </c>
      <c r="Y27" s="1137">
        <f t="shared" si="2"/>
        <v>0</v>
      </c>
      <c r="AB27" s="1665" t="s">
        <v>4186</v>
      </c>
      <c r="AC27" s="1665" t="s">
        <v>4186</v>
      </c>
      <c r="AD27" s="1665" t="s">
        <v>4186</v>
      </c>
      <c r="AE27" s="1665" t="s">
        <v>4186</v>
      </c>
      <c r="AF27" s="1662" t="str">
        <f t="shared" si="3"/>
        <v/>
      </c>
      <c r="AG27" s="1662" t="str">
        <f t="shared" si="4"/>
        <v/>
      </c>
      <c r="AH27" s="1662" t="str">
        <f t="shared" si="5"/>
        <v/>
      </c>
      <c r="AI27" s="1662" t="str">
        <f t="shared" si="6"/>
        <v/>
      </c>
      <c r="AK27" s="2352" t="s">
        <v>1856</v>
      </c>
    </row>
    <row r="28" spans="1:37" ht="12" customHeight="1" x14ac:dyDescent="0.25">
      <c r="A28" s="8" t="str">
        <f t="shared" si="0"/>
        <v>01</v>
      </c>
      <c r="B28" s="313" t="s">
        <v>1857</v>
      </c>
      <c r="C28" s="1274"/>
      <c r="D28" s="149"/>
      <c r="E28" s="149"/>
      <c r="F28" s="149"/>
      <c r="G28" s="149"/>
      <c r="H28" s="149"/>
      <c r="I28" s="1273" t="s">
        <v>4204</v>
      </c>
      <c r="J28" s="1275"/>
      <c r="K28" s="1145">
        <f>SUMIF('710'!$B$21:$B$61,B28,'710'!$K$21:$K$61)</f>
        <v>0</v>
      </c>
      <c r="L28" s="1637"/>
      <c r="M28" s="1409"/>
      <c r="N28" s="1637"/>
      <c r="O28" s="1409"/>
      <c r="P28" s="1637"/>
      <c r="Q28" s="1409"/>
      <c r="R28" s="1635"/>
      <c r="S28" s="1409"/>
      <c r="T28" s="1639"/>
      <c r="U28" s="1515" t="str">
        <f t="shared" si="1"/>
        <v/>
      </c>
      <c r="W28" s="609" t="str">
        <f t="shared" si="7"/>
        <v/>
      </c>
      <c r="X28" s="610" t="b">
        <f t="shared" si="8"/>
        <v>1</v>
      </c>
      <c r="Y28" s="1137">
        <f t="shared" si="2"/>
        <v>0</v>
      </c>
      <c r="AB28" s="1665" t="s">
        <v>4186</v>
      </c>
      <c r="AC28" s="1665" t="s">
        <v>4186</v>
      </c>
      <c r="AD28" s="1665" t="s">
        <v>4186</v>
      </c>
      <c r="AE28" s="1665" t="s">
        <v>4186</v>
      </c>
      <c r="AF28" s="1662" t="str">
        <f t="shared" si="3"/>
        <v/>
      </c>
      <c r="AG28" s="1662" t="str">
        <f t="shared" si="4"/>
        <v/>
      </c>
      <c r="AH28" s="1662" t="str">
        <f t="shared" si="5"/>
        <v/>
      </c>
      <c r="AI28" s="1662" t="str">
        <f t="shared" si="6"/>
        <v/>
      </c>
      <c r="AK28" s="2352" t="s">
        <v>1857</v>
      </c>
    </row>
    <row r="29" spans="1:37" ht="12" customHeight="1" x14ac:dyDescent="0.25">
      <c r="A29" s="8" t="str">
        <f t="shared" si="0"/>
        <v>01</v>
      </c>
      <c r="B29" s="313" t="s">
        <v>655</v>
      </c>
      <c r="C29" s="1274"/>
      <c r="D29" s="149"/>
      <c r="E29" s="149"/>
      <c r="F29" s="149"/>
      <c r="G29" s="149"/>
      <c r="H29" s="149"/>
      <c r="I29" s="1273" t="s">
        <v>4206</v>
      </c>
      <c r="J29" s="1275"/>
      <c r="K29" s="1145">
        <f>SUMIF('710'!$B$21:$B$61,B29,'710'!$K$21:$K$61)</f>
        <v>0</v>
      </c>
      <c r="L29" s="1637"/>
      <c r="M29" s="1409"/>
      <c r="N29" s="1637"/>
      <c r="O29" s="1409"/>
      <c r="P29" s="1637"/>
      <c r="Q29" s="1409"/>
      <c r="R29" s="1635"/>
      <c r="S29" s="1641"/>
      <c r="T29" s="1639"/>
      <c r="U29" s="1515" t="str">
        <f t="shared" si="1"/>
        <v/>
      </c>
      <c r="W29" s="609" t="str">
        <f t="shared" si="7"/>
        <v/>
      </c>
      <c r="X29" s="610" t="b">
        <f t="shared" si="8"/>
        <v>1</v>
      </c>
      <c r="Y29" s="1137">
        <f t="shared" si="2"/>
        <v>0</v>
      </c>
      <c r="AB29" s="1665" t="s">
        <v>4186</v>
      </c>
      <c r="AC29" s="1665" t="s">
        <v>4186</v>
      </c>
      <c r="AD29" s="1665" t="s">
        <v>4186</v>
      </c>
      <c r="AE29" s="1665" t="s">
        <v>4186</v>
      </c>
      <c r="AF29" s="1662" t="str">
        <f t="shared" si="3"/>
        <v/>
      </c>
      <c r="AG29" s="1662" t="str">
        <f t="shared" si="4"/>
        <v/>
      </c>
      <c r="AH29" s="1662" t="str">
        <f t="shared" si="5"/>
        <v/>
      </c>
      <c r="AI29" s="1662" t="str">
        <f t="shared" si="6"/>
        <v/>
      </c>
      <c r="AK29" s="2352" t="s">
        <v>655</v>
      </c>
    </row>
    <row r="30" spans="1:37" ht="12" customHeight="1" x14ac:dyDescent="0.25">
      <c r="A30" s="8" t="str">
        <f t="shared" si="0"/>
        <v>01</v>
      </c>
      <c r="B30" s="149" t="s">
        <v>1871</v>
      </c>
      <c r="C30" s="1274"/>
      <c r="D30" s="149"/>
      <c r="E30" s="149"/>
      <c r="F30" s="149"/>
      <c r="G30" s="149"/>
      <c r="H30" s="149"/>
      <c r="I30" s="1273" t="s">
        <v>4205</v>
      </c>
      <c r="J30" s="1275"/>
      <c r="K30" s="1145">
        <f>SUMIF('710'!$B$21:$B$61,B30,'710'!$K$21:$K$61)</f>
        <v>0</v>
      </c>
      <c r="L30" s="1637"/>
      <c r="M30" s="1409"/>
      <c r="N30" s="1637"/>
      <c r="O30" s="1409"/>
      <c r="P30" s="1637"/>
      <c r="Q30" s="1409"/>
      <c r="R30" s="1635"/>
      <c r="S30" s="1638"/>
      <c r="T30" s="1639"/>
      <c r="U30" s="1515" t="str">
        <f t="shared" si="1"/>
        <v/>
      </c>
      <c r="W30" s="609" t="str">
        <f t="shared" si="7"/>
        <v/>
      </c>
      <c r="X30" s="610" t="b">
        <f t="shared" si="8"/>
        <v>1</v>
      </c>
      <c r="Y30" s="1137">
        <f t="shared" si="2"/>
        <v>0</v>
      </c>
      <c r="AB30" s="1665" t="s">
        <v>4186</v>
      </c>
      <c r="AC30" s="1665" t="s">
        <v>4186</v>
      </c>
      <c r="AD30" s="1665" t="s">
        <v>4186</v>
      </c>
      <c r="AE30" s="1665" t="s">
        <v>4186</v>
      </c>
      <c r="AF30" s="1662" t="str">
        <f t="shared" si="3"/>
        <v/>
      </c>
      <c r="AG30" s="1662" t="str">
        <f t="shared" si="4"/>
        <v/>
      </c>
      <c r="AH30" s="1662" t="str">
        <f t="shared" si="5"/>
        <v/>
      </c>
      <c r="AI30" s="1662" t="str">
        <f t="shared" si="6"/>
        <v/>
      </c>
      <c r="AK30" s="2352" t="s">
        <v>1871</v>
      </c>
    </row>
    <row r="31" spans="1:37" ht="12" customHeight="1" x14ac:dyDescent="0.25">
      <c r="A31" s="8" t="str">
        <f t="shared" si="0"/>
        <v>01</v>
      </c>
      <c r="B31" s="313" t="s">
        <v>1866</v>
      </c>
      <c r="C31" s="1274"/>
      <c r="D31" s="149"/>
      <c r="E31" s="149"/>
      <c r="F31" s="149"/>
      <c r="G31" s="149"/>
      <c r="H31" s="149"/>
      <c r="I31" s="1273" t="s">
        <v>4362</v>
      </c>
      <c r="J31" s="1275"/>
      <c r="K31" s="1145">
        <f>SUMIF('710'!$B$21:$B$61,B31,'710'!$K$21:$K$61)</f>
        <v>0</v>
      </c>
      <c r="L31" s="1637"/>
      <c r="M31" s="1409"/>
      <c r="N31" s="1637"/>
      <c r="O31" s="1409"/>
      <c r="P31" s="1637"/>
      <c r="Q31" s="1409"/>
      <c r="R31" s="1635"/>
      <c r="S31" s="1638"/>
      <c r="T31" s="1639"/>
      <c r="U31" s="1515" t="str">
        <f t="shared" si="1"/>
        <v/>
      </c>
      <c r="W31" s="609" t="str">
        <f t="shared" si="7"/>
        <v/>
      </c>
      <c r="X31" s="610" t="b">
        <f t="shared" si="8"/>
        <v>1</v>
      </c>
      <c r="Y31" s="1137">
        <f t="shared" si="2"/>
        <v>0</v>
      </c>
      <c r="AB31" s="1665" t="s">
        <v>4186</v>
      </c>
      <c r="AC31" s="1665" t="s">
        <v>4186</v>
      </c>
      <c r="AD31" s="1665" t="s">
        <v>4186</v>
      </c>
      <c r="AE31" s="1665" t="s">
        <v>4186</v>
      </c>
      <c r="AF31" s="1662" t="str">
        <f t="shared" si="3"/>
        <v/>
      </c>
      <c r="AG31" s="1662" t="str">
        <f t="shared" si="4"/>
        <v/>
      </c>
      <c r="AH31" s="1662" t="str">
        <f t="shared" si="5"/>
        <v/>
      </c>
      <c r="AI31" s="1662" t="str">
        <f t="shared" si="6"/>
        <v/>
      </c>
      <c r="AK31" s="2352" t="s">
        <v>1866</v>
      </c>
    </row>
    <row r="32" spans="1:37" ht="12" customHeight="1" x14ac:dyDescent="0.25">
      <c r="A32" s="8" t="str">
        <f t="shared" si="0"/>
        <v>01</v>
      </c>
      <c r="B32" s="149" t="s">
        <v>1877</v>
      </c>
      <c r="C32" s="1274"/>
      <c r="D32" s="149"/>
      <c r="E32" s="149"/>
      <c r="F32" s="149"/>
      <c r="G32" s="149"/>
      <c r="H32" s="149"/>
      <c r="I32" s="1273" t="s">
        <v>4207</v>
      </c>
      <c r="J32" s="1275"/>
      <c r="K32" s="1145">
        <f>SUMIF('710'!$B$21:$B$61,B32,'710'!$K$21:$K$61)</f>
        <v>0</v>
      </c>
      <c r="L32" s="1637"/>
      <c r="M32" s="1409"/>
      <c r="N32" s="1637"/>
      <c r="O32" s="1409"/>
      <c r="P32" s="1637"/>
      <c r="Q32" s="1409"/>
      <c r="R32" s="1635"/>
      <c r="S32" s="1409"/>
      <c r="T32" s="1639"/>
      <c r="U32" s="1515" t="str">
        <f t="shared" si="1"/>
        <v/>
      </c>
      <c r="W32" s="609" t="str">
        <f t="shared" si="7"/>
        <v/>
      </c>
      <c r="X32" s="610" t="b">
        <f t="shared" si="8"/>
        <v>1</v>
      </c>
      <c r="Y32" s="1137">
        <f t="shared" si="2"/>
        <v>0</v>
      </c>
      <c r="AB32" s="1665" t="s">
        <v>4186</v>
      </c>
      <c r="AC32" s="1665" t="s">
        <v>4186</v>
      </c>
      <c r="AD32" s="1665" t="s">
        <v>4186</v>
      </c>
      <c r="AE32" s="1665" t="s">
        <v>4186</v>
      </c>
      <c r="AF32" s="1662" t="str">
        <f t="shared" si="3"/>
        <v/>
      </c>
      <c r="AG32" s="1662" t="str">
        <f t="shared" si="4"/>
        <v/>
      </c>
      <c r="AH32" s="1662" t="str">
        <f t="shared" si="5"/>
        <v/>
      </c>
      <c r="AI32" s="1662" t="str">
        <f t="shared" si="6"/>
        <v/>
      </c>
      <c r="AK32" s="2352" t="s">
        <v>1877</v>
      </c>
    </row>
    <row r="33" spans="1:37" ht="12" customHeight="1" x14ac:dyDescent="0.25">
      <c r="A33" s="8" t="str">
        <f t="shared" si="0"/>
        <v>01</v>
      </c>
      <c r="B33" s="149" t="s">
        <v>1870</v>
      </c>
      <c r="C33" s="1274"/>
      <c r="D33" s="149"/>
      <c r="E33" s="149"/>
      <c r="F33" s="149"/>
      <c r="G33" s="149"/>
      <c r="H33" s="149"/>
      <c r="I33" s="1273" t="s">
        <v>4208</v>
      </c>
      <c r="J33" s="1275"/>
      <c r="K33" s="1145">
        <f>SUMIF('710'!$B$21:$B$61,B33,'710'!$K$21:$K$61)</f>
        <v>0</v>
      </c>
      <c r="L33" s="1637"/>
      <c r="M33" s="1409"/>
      <c r="N33" s="1637"/>
      <c r="O33" s="1409"/>
      <c r="P33" s="1637"/>
      <c r="Q33" s="1409"/>
      <c r="R33" s="1635"/>
      <c r="S33" s="1638"/>
      <c r="T33" s="1639"/>
      <c r="U33" s="1515" t="str">
        <f t="shared" si="1"/>
        <v/>
      </c>
      <c r="W33" s="609" t="str">
        <f t="shared" si="7"/>
        <v/>
      </c>
      <c r="X33" s="610" t="b">
        <f t="shared" si="8"/>
        <v>1</v>
      </c>
      <c r="Y33" s="1137">
        <f t="shared" si="2"/>
        <v>0</v>
      </c>
      <c r="AB33" s="1665" t="s">
        <v>4186</v>
      </c>
      <c r="AC33" s="1665" t="s">
        <v>4186</v>
      </c>
      <c r="AD33" s="1665" t="s">
        <v>4186</v>
      </c>
      <c r="AE33" s="1665" t="s">
        <v>4186</v>
      </c>
      <c r="AF33" s="1662" t="str">
        <f t="shared" si="3"/>
        <v/>
      </c>
      <c r="AG33" s="1662" t="str">
        <f t="shared" si="4"/>
        <v/>
      </c>
      <c r="AH33" s="1662" t="str">
        <f t="shared" si="5"/>
        <v/>
      </c>
      <c r="AI33" s="1662" t="str">
        <f t="shared" si="6"/>
        <v/>
      </c>
      <c r="AK33" s="2352" t="s">
        <v>1870</v>
      </c>
    </row>
    <row r="34" spans="1:37" ht="12" customHeight="1" x14ac:dyDescent="0.25">
      <c r="A34" s="8" t="str">
        <f t="shared" si="0"/>
        <v>01</v>
      </c>
      <c r="B34" s="313" t="s">
        <v>1867</v>
      </c>
      <c r="C34" s="1274"/>
      <c r="D34" s="149"/>
      <c r="E34" s="149"/>
      <c r="F34" s="149"/>
      <c r="G34" s="149"/>
      <c r="H34" s="149"/>
      <c r="I34" s="1273" t="s">
        <v>4209</v>
      </c>
      <c r="J34" s="1275"/>
      <c r="K34" s="1145">
        <f>SUMIF('710'!$B$21:$B$61,B34,'710'!$K$21:$K$61)</f>
        <v>0</v>
      </c>
      <c r="L34" s="1637"/>
      <c r="M34" s="1409"/>
      <c r="N34" s="1637"/>
      <c r="O34" s="1409"/>
      <c r="P34" s="1637"/>
      <c r="Q34" s="1409"/>
      <c r="R34" s="1635"/>
      <c r="S34" s="1638"/>
      <c r="T34" s="1639"/>
      <c r="U34" s="1515" t="str">
        <f t="shared" si="1"/>
        <v/>
      </c>
      <c r="W34" s="609" t="str">
        <f t="shared" si="7"/>
        <v/>
      </c>
      <c r="X34" s="610" t="b">
        <f t="shared" si="8"/>
        <v>1</v>
      </c>
      <c r="Y34" s="1137">
        <f t="shared" si="2"/>
        <v>0</v>
      </c>
      <c r="AB34" s="1665" t="s">
        <v>4186</v>
      </c>
      <c r="AC34" s="1665" t="s">
        <v>4186</v>
      </c>
      <c r="AD34" s="1665" t="s">
        <v>4186</v>
      </c>
      <c r="AE34" s="1665" t="s">
        <v>4186</v>
      </c>
      <c r="AF34" s="1662" t="str">
        <f t="shared" si="3"/>
        <v/>
      </c>
      <c r="AG34" s="1662" t="str">
        <f t="shared" si="4"/>
        <v/>
      </c>
      <c r="AH34" s="1662" t="str">
        <f t="shared" si="5"/>
        <v/>
      </c>
      <c r="AI34" s="1662" t="str">
        <f t="shared" si="6"/>
        <v/>
      </c>
      <c r="AK34" s="2352" t="s">
        <v>1867</v>
      </c>
    </row>
    <row r="35" spans="1:37" ht="12" customHeight="1" x14ac:dyDescent="0.25">
      <c r="A35" s="8" t="str">
        <f t="shared" si="0"/>
        <v>01</v>
      </c>
      <c r="B35" s="149" t="s">
        <v>1868</v>
      </c>
      <c r="C35" s="1274"/>
      <c r="D35" s="149"/>
      <c r="E35" s="149"/>
      <c r="F35" s="149"/>
      <c r="G35" s="149"/>
      <c r="H35" s="149"/>
      <c r="I35" s="1273" t="s">
        <v>4210</v>
      </c>
      <c r="J35" s="1275"/>
      <c r="K35" s="1145">
        <f>SUMIF('710'!$B$21:$B$61,B35,'710'!$K$21:$K$61)</f>
        <v>0</v>
      </c>
      <c r="L35" s="1637"/>
      <c r="M35" s="1409"/>
      <c r="N35" s="1637"/>
      <c r="O35" s="1409"/>
      <c r="P35" s="1637"/>
      <c r="Q35" s="1409"/>
      <c r="R35" s="1635"/>
      <c r="S35" s="1638"/>
      <c r="T35" s="1639"/>
      <c r="U35" s="1515" t="str">
        <f t="shared" si="1"/>
        <v/>
      </c>
      <c r="W35" s="609" t="str">
        <f t="shared" si="7"/>
        <v/>
      </c>
      <c r="X35" s="610" t="b">
        <f t="shared" si="8"/>
        <v>1</v>
      </c>
      <c r="Y35" s="1137">
        <f t="shared" si="2"/>
        <v>0</v>
      </c>
      <c r="AB35" s="1665" t="s">
        <v>4186</v>
      </c>
      <c r="AC35" s="1665" t="s">
        <v>4186</v>
      </c>
      <c r="AD35" s="1665" t="s">
        <v>4186</v>
      </c>
      <c r="AE35" s="1665" t="s">
        <v>4186</v>
      </c>
      <c r="AF35" s="1662" t="str">
        <f t="shared" si="3"/>
        <v/>
      </c>
      <c r="AG35" s="1662" t="str">
        <f t="shared" si="4"/>
        <v/>
      </c>
      <c r="AH35" s="1662" t="str">
        <f t="shared" si="5"/>
        <v/>
      </c>
      <c r="AI35" s="1662" t="str">
        <f t="shared" si="6"/>
        <v/>
      </c>
      <c r="AK35" s="2352" t="s">
        <v>1868</v>
      </c>
    </row>
    <row r="36" spans="1:37" ht="12" customHeight="1" x14ac:dyDescent="0.25">
      <c r="A36" s="8" t="str">
        <f t="shared" si="0"/>
        <v>01</v>
      </c>
      <c r="B36" s="149" t="s">
        <v>1869</v>
      </c>
      <c r="C36" s="1274"/>
      <c r="D36" s="149"/>
      <c r="E36" s="149"/>
      <c r="F36" s="149"/>
      <c r="G36" s="149"/>
      <c r="H36" s="149"/>
      <c r="I36" s="1273" t="s">
        <v>4211</v>
      </c>
      <c r="J36" s="1275"/>
      <c r="K36" s="1145">
        <f>SUMIF('710'!$B$21:$B$61,B36,'710'!$K$21:$K$61)</f>
        <v>0</v>
      </c>
      <c r="L36" s="1637"/>
      <c r="M36" s="1409"/>
      <c r="N36" s="1637"/>
      <c r="O36" s="1409"/>
      <c r="P36" s="1637"/>
      <c r="Q36" s="1409"/>
      <c r="R36" s="1635"/>
      <c r="S36" s="1638"/>
      <c r="T36" s="1639"/>
      <c r="U36" s="1515" t="str">
        <f t="shared" si="1"/>
        <v/>
      </c>
      <c r="W36" s="609" t="str">
        <f t="shared" si="7"/>
        <v/>
      </c>
      <c r="X36" s="610" t="b">
        <f t="shared" si="8"/>
        <v>1</v>
      </c>
      <c r="Y36" s="1137">
        <f t="shared" si="2"/>
        <v>0</v>
      </c>
      <c r="AB36" s="1665" t="s">
        <v>4186</v>
      </c>
      <c r="AC36" s="1665" t="s">
        <v>4186</v>
      </c>
      <c r="AD36" s="1665" t="s">
        <v>4186</v>
      </c>
      <c r="AE36" s="1665" t="s">
        <v>4186</v>
      </c>
      <c r="AF36" s="1662" t="str">
        <f t="shared" si="3"/>
        <v/>
      </c>
      <c r="AG36" s="1662" t="str">
        <f t="shared" si="4"/>
        <v/>
      </c>
      <c r="AH36" s="1662" t="str">
        <f t="shared" si="5"/>
        <v/>
      </c>
      <c r="AI36" s="1662" t="str">
        <f t="shared" si="6"/>
        <v/>
      </c>
      <c r="AK36" s="2352" t="s">
        <v>1869</v>
      </c>
    </row>
    <row r="37" spans="1:37" ht="12" customHeight="1" x14ac:dyDescent="0.25">
      <c r="A37" s="8" t="str">
        <f t="shared" si="0"/>
        <v>01</v>
      </c>
      <c r="B37" s="149" t="s">
        <v>1297</v>
      </c>
      <c r="C37" s="1274"/>
      <c r="D37" s="149"/>
      <c r="E37" s="149"/>
      <c r="F37" s="149"/>
      <c r="G37" s="149"/>
      <c r="H37" s="149"/>
      <c r="I37" s="1273" t="s">
        <v>4212</v>
      </c>
      <c r="J37" s="1275"/>
      <c r="K37" s="1145">
        <f>SUMIF('710'!$B$21:$B$61,B37,'710'!$K$21:$K$61)</f>
        <v>0</v>
      </c>
      <c r="L37" s="1637"/>
      <c r="M37" s="1409"/>
      <c r="N37" s="1637"/>
      <c r="O37" s="1409"/>
      <c r="P37" s="1637"/>
      <c r="Q37" s="1409"/>
      <c r="R37" s="1635"/>
      <c r="S37" s="1638"/>
      <c r="T37" s="1639"/>
      <c r="U37" s="1515" t="str">
        <f t="shared" si="1"/>
        <v/>
      </c>
      <c r="W37" s="609" t="str">
        <f t="shared" si="7"/>
        <v/>
      </c>
      <c r="X37" s="610" t="b">
        <f t="shared" si="8"/>
        <v>1</v>
      </c>
      <c r="Y37" s="1137">
        <f t="shared" si="2"/>
        <v>0</v>
      </c>
      <c r="AB37" s="1665" t="s">
        <v>4186</v>
      </c>
      <c r="AC37" s="1665" t="s">
        <v>4186</v>
      </c>
      <c r="AD37" s="1665" t="s">
        <v>4186</v>
      </c>
      <c r="AE37" s="1665" t="s">
        <v>4186</v>
      </c>
      <c r="AF37" s="1662" t="str">
        <f t="shared" si="3"/>
        <v/>
      </c>
      <c r="AG37" s="1662" t="str">
        <f t="shared" si="4"/>
        <v/>
      </c>
      <c r="AH37" s="1662" t="str">
        <f t="shared" si="5"/>
        <v/>
      </c>
      <c r="AI37" s="1662" t="str">
        <f t="shared" si="6"/>
        <v/>
      </c>
      <c r="AK37" s="2352" t="s">
        <v>1297</v>
      </c>
    </row>
    <row r="38" spans="1:37" ht="12" customHeight="1" x14ac:dyDescent="0.25">
      <c r="A38" s="8" t="str">
        <f t="shared" si="0"/>
        <v>01</v>
      </c>
      <c r="B38" s="313" t="s">
        <v>1858</v>
      </c>
      <c r="C38" s="1274"/>
      <c r="D38" s="149"/>
      <c r="E38" s="149"/>
      <c r="F38" s="149"/>
      <c r="G38" s="149"/>
      <c r="H38" s="149"/>
      <c r="I38" s="1273" t="s">
        <v>4213</v>
      </c>
      <c r="J38" s="1275"/>
      <c r="K38" s="1145">
        <f>SUMIF('710'!$B$21:$B$61,B38,'710'!$K$21:$K$61)</f>
        <v>0</v>
      </c>
      <c r="L38" s="1637"/>
      <c r="M38" s="1409"/>
      <c r="N38" s="1637"/>
      <c r="O38" s="1409"/>
      <c r="P38" s="1637"/>
      <c r="Q38" s="1409"/>
      <c r="R38" s="1635"/>
      <c r="S38" s="1638"/>
      <c r="T38" s="1639"/>
      <c r="U38" s="1515" t="str">
        <f t="shared" si="1"/>
        <v/>
      </c>
      <c r="W38" s="609" t="str">
        <f t="shared" si="7"/>
        <v/>
      </c>
      <c r="X38" s="610" t="b">
        <f t="shared" si="8"/>
        <v>1</v>
      </c>
      <c r="Y38" s="1137">
        <f t="shared" si="2"/>
        <v>0</v>
      </c>
      <c r="AB38" s="1665" t="s">
        <v>4186</v>
      </c>
      <c r="AC38" s="1665" t="s">
        <v>4186</v>
      </c>
      <c r="AD38" s="1665" t="s">
        <v>4186</v>
      </c>
      <c r="AE38" s="1665" t="s">
        <v>4186</v>
      </c>
      <c r="AF38" s="1662" t="str">
        <f t="shared" si="3"/>
        <v/>
      </c>
      <c r="AG38" s="1662" t="str">
        <f t="shared" si="4"/>
        <v/>
      </c>
      <c r="AH38" s="1662" t="str">
        <f t="shared" si="5"/>
        <v/>
      </c>
      <c r="AI38" s="1662" t="str">
        <f t="shared" si="6"/>
        <v/>
      </c>
      <c r="AK38" s="2352" t="s">
        <v>1858</v>
      </c>
    </row>
    <row r="39" spans="1:37" ht="12" customHeight="1" x14ac:dyDescent="0.25">
      <c r="A39" s="8" t="str">
        <f t="shared" si="0"/>
        <v>01</v>
      </c>
      <c r="B39" s="313" t="s">
        <v>1859</v>
      </c>
      <c r="C39" s="1274"/>
      <c r="D39" s="149"/>
      <c r="E39" s="149"/>
      <c r="F39" s="149"/>
      <c r="G39" s="149"/>
      <c r="H39" s="149"/>
      <c r="I39" s="1273" t="s">
        <v>4214</v>
      </c>
      <c r="J39" s="1275"/>
      <c r="K39" s="1145">
        <f>SUMIF('710'!$B$21:$B$61,B39,'710'!$K$21:$K$61)</f>
        <v>0</v>
      </c>
      <c r="L39" s="1637"/>
      <c r="M39" s="1409"/>
      <c r="N39" s="1637"/>
      <c r="O39" s="1409"/>
      <c r="P39" s="1637"/>
      <c r="Q39" s="1409"/>
      <c r="R39" s="1635"/>
      <c r="S39" s="1638"/>
      <c r="T39" s="1639"/>
      <c r="U39" s="1515" t="str">
        <f t="shared" si="1"/>
        <v/>
      </c>
      <c r="W39" s="609" t="str">
        <f t="shared" si="7"/>
        <v/>
      </c>
      <c r="X39" s="610" t="b">
        <f t="shared" si="8"/>
        <v>1</v>
      </c>
      <c r="Y39" s="1137">
        <f t="shared" si="2"/>
        <v>0</v>
      </c>
      <c r="AB39" s="1665" t="s">
        <v>4186</v>
      </c>
      <c r="AC39" s="1665" t="s">
        <v>4186</v>
      </c>
      <c r="AD39" s="1665" t="s">
        <v>4186</v>
      </c>
      <c r="AE39" s="1665" t="s">
        <v>4186</v>
      </c>
      <c r="AF39" s="1662" t="str">
        <f t="shared" si="3"/>
        <v/>
      </c>
      <c r="AG39" s="1662" t="str">
        <f t="shared" si="4"/>
        <v/>
      </c>
      <c r="AH39" s="1662" t="str">
        <f t="shared" si="5"/>
        <v/>
      </c>
      <c r="AI39" s="1662" t="str">
        <f t="shared" si="6"/>
        <v/>
      </c>
      <c r="AK39" s="2352" t="s">
        <v>1859</v>
      </c>
    </row>
    <row r="40" spans="1:37" ht="12" customHeight="1" x14ac:dyDescent="0.25">
      <c r="A40" s="8" t="str">
        <f t="shared" si="0"/>
        <v>01</v>
      </c>
      <c r="B40" s="313" t="s">
        <v>1860</v>
      </c>
      <c r="C40" s="1274"/>
      <c r="D40" s="149"/>
      <c r="E40" s="149"/>
      <c r="F40" s="149"/>
      <c r="G40" s="149"/>
      <c r="H40" s="149"/>
      <c r="I40" s="1273" t="s">
        <v>4215</v>
      </c>
      <c r="J40" s="1275"/>
      <c r="K40" s="1145">
        <f>SUMIF('710'!$B$21:$B$61,B40,'710'!$K$21:$K$61)</f>
        <v>0</v>
      </c>
      <c r="L40" s="1637"/>
      <c r="M40" s="1409"/>
      <c r="N40" s="1637"/>
      <c r="O40" s="1409"/>
      <c r="P40" s="1637"/>
      <c r="Q40" s="1409"/>
      <c r="R40" s="1635"/>
      <c r="S40" s="1638"/>
      <c r="T40" s="1639"/>
      <c r="U40" s="1515" t="str">
        <f t="shared" si="1"/>
        <v/>
      </c>
      <c r="W40" s="609" t="str">
        <f t="shared" si="7"/>
        <v/>
      </c>
      <c r="X40" s="610" t="b">
        <f t="shared" si="8"/>
        <v>1</v>
      </c>
      <c r="Y40" s="1137">
        <f t="shared" si="2"/>
        <v>0</v>
      </c>
      <c r="AB40" s="1665" t="s">
        <v>4186</v>
      </c>
      <c r="AC40" s="1665" t="s">
        <v>4186</v>
      </c>
      <c r="AD40" s="1665" t="s">
        <v>4186</v>
      </c>
      <c r="AE40" s="1665" t="s">
        <v>4186</v>
      </c>
      <c r="AF40" s="1662" t="str">
        <f t="shared" si="3"/>
        <v/>
      </c>
      <c r="AG40" s="1662" t="str">
        <f t="shared" si="4"/>
        <v/>
      </c>
      <c r="AH40" s="1662" t="str">
        <f t="shared" si="5"/>
        <v/>
      </c>
      <c r="AI40" s="1662" t="str">
        <f t="shared" si="6"/>
        <v/>
      </c>
      <c r="AK40" s="2352" t="s">
        <v>1860</v>
      </c>
    </row>
    <row r="41" spans="1:37" ht="12" customHeight="1" x14ac:dyDescent="0.25">
      <c r="A41" s="8" t="str">
        <f t="shared" si="0"/>
        <v>01</v>
      </c>
      <c r="B41" s="149" t="s">
        <v>1861</v>
      </c>
      <c r="C41" s="1274"/>
      <c r="D41" s="149"/>
      <c r="E41" s="149"/>
      <c r="F41" s="149"/>
      <c r="G41" s="149"/>
      <c r="H41" s="149"/>
      <c r="I41" s="1273" t="s">
        <v>4216</v>
      </c>
      <c r="J41" s="1275"/>
      <c r="K41" s="1145">
        <f>SUMIF('710'!$B$21:$B$61,B41,'710'!$K$21:$K$61)</f>
        <v>0</v>
      </c>
      <c r="L41" s="1637"/>
      <c r="M41" s="1641"/>
      <c r="N41" s="1637"/>
      <c r="O41" s="1641"/>
      <c r="P41" s="1637"/>
      <c r="Q41" s="1409"/>
      <c r="R41" s="1635"/>
      <c r="S41" s="1638"/>
      <c r="T41" s="1639"/>
      <c r="U41" s="1515" t="str">
        <f t="shared" si="1"/>
        <v/>
      </c>
      <c r="W41" s="609" t="str">
        <f t="shared" si="7"/>
        <v/>
      </c>
      <c r="X41" s="610" t="b">
        <f t="shared" si="8"/>
        <v>1</v>
      </c>
      <c r="Y41" s="1137">
        <f t="shared" si="2"/>
        <v>0</v>
      </c>
      <c r="AB41" s="1665" t="s">
        <v>4186</v>
      </c>
      <c r="AC41" s="1665" t="s">
        <v>4186</v>
      </c>
      <c r="AD41" s="1665" t="s">
        <v>4186</v>
      </c>
      <c r="AE41" s="1665" t="s">
        <v>4186</v>
      </c>
      <c r="AF41" s="1662" t="str">
        <f t="shared" si="3"/>
        <v/>
      </c>
      <c r="AG41" s="1662" t="str">
        <f t="shared" si="4"/>
        <v/>
      </c>
      <c r="AH41" s="1662" t="str">
        <f t="shared" si="5"/>
        <v/>
      </c>
      <c r="AI41" s="1662" t="str">
        <f t="shared" si="6"/>
        <v/>
      </c>
      <c r="AK41" s="2352" t="s">
        <v>1861</v>
      </c>
    </row>
    <row r="42" spans="1:37" ht="12" customHeight="1" x14ac:dyDescent="0.25">
      <c r="A42" s="8" t="str">
        <f t="shared" si="0"/>
        <v>01</v>
      </c>
      <c r="B42" s="149" t="s">
        <v>1862</v>
      </c>
      <c r="C42" s="1274"/>
      <c r="D42" s="149"/>
      <c r="E42" s="149"/>
      <c r="F42" s="149"/>
      <c r="G42" s="149"/>
      <c r="H42" s="149"/>
      <c r="I42" s="1273" t="s">
        <v>4217</v>
      </c>
      <c r="J42" s="1275"/>
      <c r="K42" s="1145">
        <f>SUMIF('710'!$B$21:$B$61,B42,'710'!$K$21:$K$61)</f>
        <v>0</v>
      </c>
      <c r="L42" s="1637"/>
      <c r="M42" s="1641"/>
      <c r="N42" s="1637"/>
      <c r="O42" s="1641"/>
      <c r="P42" s="1637"/>
      <c r="Q42" s="1409"/>
      <c r="R42" s="1635"/>
      <c r="S42" s="1638"/>
      <c r="T42" s="1639"/>
      <c r="U42" s="1515" t="str">
        <f t="shared" si="1"/>
        <v/>
      </c>
      <c r="W42" s="609" t="str">
        <f t="shared" si="7"/>
        <v/>
      </c>
      <c r="X42" s="610" t="b">
        <f t="shared" si="8"/>
        <v>1</v>
      </c>
      <c r="Y42" s="1137">
        <f t="shared" si="2"/>
        <v>0</v>
      </c>
      <c r="AB42" s="1665" t="s">
        <v>4186</v>
      </c>
      <c r="AC42" s="1665" t="s">
        <v>4186</v>
      </c>
      <c r="AD42" s="1665" t="s">
        <v>4186</v>
      </c>
      <c r="AE42" s="1665" t="s">
        <v>4186</v>
      </c>
      <c r="AF42" s="1662" t="str">
        <f t="shared" si="3"/>
        <v/>
      </c>
      <c r="AG42" s="1662" t="str">
        <f t="shared" si="4"/>
        <v/>
      </c>
      <c r="AH42" s="1662" t="str">
        <f t="shared" si="5"/>
        <v/>
      </c>
      <c r="AI42" s="1662" t="str">
        <f t="shared" si="6"/>
        <v/>
      </c>
      <c r="AK42" s="2352" t="s">
        <v>1862</v>
      </c>
    </row>
    <row r="43" spans="1:37" ht="12" customHeight="1" x14ac:dyDescent="0.25">
      <c r="A43" s="8" t="str">
        <f t="shared" si="0"/>
        <v>01</v>
      </c>
      <c r="B43" s="149" t="s">
        <v>1872</v>
      </c>
      <c r="C43" s="1274"/>
      <c r="D43" s="149"/>
      <c r="E43" s="149"/>
      <c r="F43" s="149"/>
      <c r="G43" s="149"/>
      <c r="H43" s="149"/>
      <c r="I43" s="1273" t="s">
        <v>4218</v>
      </c>
      <c r="J43" s="1275"/>
      <c r="K43" s="1145">
        <f>SUMIF('710'!$B$21:$B$61,B43,'710'!$K$21:$K$61)</f>
        <v>0</v>
      </c>
      <c r="L43" s="1637"/>
      <c r="M43" s="1641"/>
      <c r="N43" s="1637"/>
      <c r="O43" s="1641"/>
      <c r="P43" s="1637"/>
      <c r="Q43" s="1409"/>
      <c r="R43" s="1635"/>
      <c r="S43" s="1638"/>
      <c r="T43" s="1639"/>
      <c r="U43" s="1515" t="str">
        <f t="shared" si="1"/>
        <v/>
      </c>
      <c r="W43" s="609" t="str">
        <f t="shared" si="7"/>
        <v/>
      </c>
      <c r="X43" s="610" t="b">
        <f t="shared" si="8"/>
        <v>1</v>
      </c>
      <c r="Y43" s="1137">
        <f t="shared" si="2"/>
        <v>0</v>
      </c>
      <c r="AB43" s="1665" t="s">
        <v>4186</v>
      </c>
      <c r="AC43" s="1665" t="s">
        <v>4186</v>
      </c>
      <c r="AD43" s="1665" t="s">
        <v>4186</v>
      </c>
      <c r="AE43" s="1665" t="s">
        <v>4186</v>
      </c>
      <c r="AF43" s="1662" t="str">
        <f t="shared" si="3"/>
        <v/>
      </c>
      <c r="AG43" s="1662" t="str">
        <f t="shared" si="4"/>
        <v/>
      </c>
      <c r="AH43" s="1662" t="str">
        <f t="shared" si="5"/>
        <v/>
      </c>
      <c r="AI43" s="1662" t="str">
        <f t="shared" si="6"/>
        <v/>
      </c>
      <c r="AK43" s="2352" t="s">
        <v>1872</v>
      </c>
    </row>
    <row r="44" spans="1:37" ht="12" customHeight="1" x14ac:dyDescent="0.25">
      <c r="B44" s="149" t="s">
        <v>1878</v>
      </c>
      <c r="C44" s="1274"/>
      <c r="D44" s="149"/>
      <c r="E44" s="149"/>
      <c r="F44" s="149"/>
      <c r="G44" s="149"/>
      <c r="H44" s="149"/>
      <c r="I44" s="1273" t="s">
        <v>4219</v>
      </c>
      <c r="J44" s="1275"/>
      <c r="K44" s="1145">
        <f>SUMIF('710'!$B$21:$B$61,B44,'710'!$K$21:$K$61)</f>
        <v>0</v>
      </c>
      <c r="L44" s="1637"/>
      <c r="M44" s="1641"/>
      <c r="N44" s="1637"/>
      <c r="O44" s="1641"/>
      <c r="P44" s="1637"/>
      <c r="Q44" s="1409"/>
      <c r="R44" s="1635"/>
      <c r="S44" s="1409"/>
      <c r="T44" s="1639"/>
      <c r="U44" s="1515"/>
      <c r="W44" s="609"/>
      <c r="X44" s="610" t="b">
        <f t="shared" si="8"/>
        <v>1</v>
      </c>
      <c r="Y44" s="1137">
        <f t="shared" si="2"/>
        <v>0</v>
      </c>
      <c r="AB44" s="1665" t="s">
        <v>4186</v>
      </c>
      <c r="AC44" s="1665" t="s">
        <v>4186</v>
      </c>
      <c r="AD44" s="1665" t="s">
        <v>4186</v>
      </c>
      <c r="AE44" s="1665" t="s">
        <v>4186</v>
      </c>
      <c r="AF44" s="1662"/>
      <c r="AG44" s="1662"/>
      <c r="AH44" s="1662"/>
      <c r="AI44" s="1662"/>
      <c r="AK44" s="2352" t="s">
        <v>1878</v>
      </c>
    </row>
    <row r="45" spans="1:37" ht="12" customHeight="1" x14ac:dyDescent="0.25">
      <c r="A45" s="8" t="str">
        <f t="shared" si="0"/>
        <v>01</v>
      </c>
      <c r="B45" s="149" t="s">
        <v>635</v>
      </c>
      <c r="C45" s="3241" t="s">
        <v>5103</v>
      </c>
      <c r="D45" s="3241"/>
      <c r="E45" s="3241"/>
      <c r="F45" s="3241"/>
      <c r="G45" s="3241"/>
      <c r="H45" s="149"/>
      <c r="I45" s="1273" t="s">
        <v>4220</v>
      </c>
      <c r="J45" s="1275"/>
      <c r="K45" s="615"/>
      <c r="L45" s="1637"/>
      <c r="M45" s="1641"/>
      <c r="N45" s="1637"/>
      <c r="O45" s="1641"/>
      <c r="P45" s="1637"/>
      <c r="Q45" s="1409"/>
      <c r="R45" s="1635"/>
      <c r="S45" s="1409"/>
      <c r="T45" s="1639"/>
      <c r="U45" s="1515" t="str">
        <f t="shared" si="1"/>
        <v/>
      </c>
      <c r="W45" s="609" t="str">
        <f t="shared" si="7"/>
        <v/>
      </c>
      <c r="X45" s="610" t="b">
        <f t="shared" si="8"/>
        <v>1</v>
      </c>
      <c r="Y45" s="1137">
        <f t="shared" si="2"/>
        <v>0</v>
      </c>
      <c r="AB45" s="1665" t="s">
        <v>4186</v>
      </c>
      <c r="AC45" s="1665" t="s">
        <v>4186</v>
      </c>
      <c r="AD45" s="1665" t="s">
        <v>4186</v>
      </c>
      <c r="AE45" s="1665" t="s">
        <v>4186</v>
      </c>
      <c r="AF45" s="1662" t="str">
        <f t="shared" si="3"/>
        <v/>
      </c>
      <c r="AG45" s="1662" t="str">
        <f t="shared" si="4"/>
        <v/>
      </c>
      <c r="AH45" s="1662" t="str">
        <f t="shared" si="5"/>
        <v/>
      </c>
      <c r="AI45" s="1662" t="str">
        <f t="shared" si="6"/>
        <v/>
      </c>
      <c r="AK45" s="2398" t="str">
        <f>C45</f>
        <v>Select Other Investment (Click here)</v>
      </c>
    </row>
    <row r="46" spans="1:37" ht="12" customHeight="1" x14ac:dyDescent="0.25">
      <c r="A46" s="8" t="str">
        <f t="shared" si="0"/>
        <v>01</v>
      </c>
      <c r="B46" s="149" t="s">
        <v>635</v>
      </c>
      <c r="C46" s="3241" t="s">
        <v>5103</v>
      </c>
      <c r="D46" s="3241"/>
      <c r="E46" s="3241"/>
      <c r="F46" s="3241"/>
      <c r="G46" s="3241"/>
      <c r="H46" s="149"/>
      <c r="I46" s="1273" t="s">
        <v>4221</v>
      </c>
      <c r="J46" s="1275"/>
      <c r="K46" s="615"/>
      <c r="L46" s="1637"/>
      <c r="M46" s="1641"/>
      <c r="N46" s="1637"/>
      <c r="O46" s="1641"/>
      <c r="P46" s="1637"/>
      <c r="Q46" s="1409"/>
      <c r="R46" s="1635"/>
      <c r="S46" s="1409"/>
      <c r="T46" s="1639"/>
      <c r="U46" s="1515" t="str">
        <f>CONCATENATE(AF46,AG46,AH46,AI46)</f>
        <v/>
      </c>
      <c r="W46" s="609" t="str">
        <f>IF(X46=FALSE,"*","")</f>
        <v/>
      </c>
      <c r="X46" s="610" t="b">
        <f>+K46=SUM(M46,O46,Q46,S46)</f>
        <v>1</v>
      </c>
      <c r="Y46" s="1137">
        <f>K46-SUM(M46,O46,Q46, S46)</f>
        <v>0</v>
      </c>
      <c r="AB46" s="1665" t="s">
        <v>4186</v>
      </c>
      <c r="AC46" s="1665" t="s">
        <v>4186</v>
      </c>
      <c r="AD46" s="1665" t="s">
        <v>4186</v>
      </c>
      <c r="AE46" s="1665" t="s">
        <v>4186</v>
      </c>
      <c r="AF46" s="1662" t="str">
        <f>IF(AB46="—","",RIGHT(AB46,7))</f>
        <v/>
      </c>
      <c r="AG46" s="1662" t="str">
        <f>IF(AC46="—","",RIGHT(AC46,7))</f>
        <v/>
      </c>
      <c r="AH46" s="1662" t="str">
        <f>IF(AD46="—","",RIGHT(AD46,7))</f>
        <v/>
      </c>
      <c r="AI46" s="1662" t="str">
        <f>IF(AE46="—","",RIGHT(AE46,7))</f>
        <v/>
      </c>
      <c r="AK46" s="2398" t="str">
        <f>C46</f>
        <v>Select Other Investment (Click here)</v>
      </c>
    </row>
    <row r="47" spans="1:37" ht="12" customHeight="1" x14ac:dyDescent="0.25">
      <c r="A47" s="8" t="str">
        <f t="shared" si="0"/>
        <v>01</v>
      </c>
      <c r="B47" s="149" t="s">
        <v>635</v>
      </c>
      <c r="C47" s="3241" t="s">
        <v>5103</v>
      </c>
      <c r="D47" s="3241"/>
      <c r="E47" s="3241"/>
      <c r="F47" s="3241"/>
      <c r="G47" s="3241"/>
      <c r="H47" s="149"/>
      <c r="I47" s="1273" t="s">
        <v>4363</v>
      </c>
      <c r="J47" s="1275"/>
      <c r="K47" s="615"/>
      <c r="L47" s="1637"/>
      <c r="M47" s="1641"/>
      <c r="N47" s="1637"/>
      <c r="O47" s="1641"/>
      <c r="P47" s="1637"/>
      <c r="Q47" s="1409"/>
      <c r="R47" s="1635"/>
      <c r="S47" s="1409"/>
      <c r="T47" s="1639"/>
      <c r="U47" s="1542" t="str">
        <f t="shared" si="1"/>
        <v/>
      </c>
      <c r="W47" s="609" t="str">
        <f t="shared" si="7"/>
        <v/>
      </c>
      <c r="X47" s="610" t="b">
        <f t="shared" si="8"/>
        <v>1</v>
      </c>
      <c r="Y47" s="1137">
        <f t="shared" si="2"/>
        <v>0</v>
      </c>
      <c r="AB47" s="1665" t="s">
        <v>4186</v>
      </c>
      <c r="AC47" s="1665" t="s">
        <v>4186</v>
      </c>
      <c r="AD47" s="1665" t="s">
        <v>4186</v>
      </c>
      <c r="AE47" s="1665" t="s">
        <v>4186</v>
      </c>
      <c r="AF47" s="1662" t="str">
        <f t="shared" si="3"/>
        <v/>
      </c>
      <c r="AG47" s="1662" t="str">
        <f t="shared" si="4"/>
        <v/>
      </c>
      <c r="AH47" s="1662" t="str">
        <f t="shared" si="5"/>
        <v/>
      </c>
      <c r="AI47" s="1662" t="str">
        <f t="shared" si="6"/>
        <v/>
      </c>
      <c r="AK47" s="2398" t="str">
        <f>C47</f>
        <v>Select Other Investment (Click here)</v>
      </c>
    </row>
    <row r="48" spans="1:37" ht="3.75" customHeight="1" x14ac:dyDescent="0.25">
      <c r="A48" s="8" t="str">
        <f t="shared" si="0"/>
        <v>01</v>
      </c>
      <c r="B48" s="149"/>
      <c r="C48" s="149"/>
      <c r="D48" s="149"/>
      <c r="E48" s="149"/>
      <c r="F48" s="149"/>
      <c r="G48" s="149"/>
      <c r="H48" s="149"/>
      <c r="I48" s="1273"/>
      <c r="J48" s="1275"/>
      <c r="K48" s="1637"/>
      <c r="L48" s="1134"/>
      <c r="M48" s="1134"/>
      <c r="N48" s="1134"/>
      <c r="O48" s="1134"/>
      <c r="P48" s="1134"/>
      <c r="Q48" s="1134"/>
      <c r="R48" s="149"/>
      <c r="S48" s="1134"/>
      <c r="T48" s="1134"/>
      <c r="U48"/>
      <c r="AB48" s="776"/>
      <c r="AC48" s="776"/>
      <c r="AD48" s="776"/>
      <c r="AE48" s="776"/>
      <c r="AF48" s="1662"/>
      <c r="AG48" s="1662"/>
      <c r="AH48" s="1662"/>
      <c r="AI48" s="1662"/>
    </row>
    <row r="49" spans="1:37" ht="15" customHeight="1" x14ac:dyDescent="0.25">
      <c r="A49" s="8" t="str">
        <f t="shared" si="0"/>
        <v>01</v>
      </c>
      <c r="B49" s="309" t="s">
        <v>4110</v>
      </c>
      <c r="C49" s="1437"/>
      <c r="D49" s="149"/>
      <c r="E49" s="149"/>
      <c r="F49" s="149"/>
      <c r="G49" s="149"/>
      <c r="H49" s="149"/>
      <c r="I49" s="1273"/>
      <c r="J49" s="1275"/>
      <c r="K49" s="1637"/>
      <c r="L49" s="1134"/>
      <c r="M49" s="319"/>
      <c r="N49" s="1134"/>
      <c r="O49" s="1134"/>
      <c r="P49" s="1134"/>
      <c r="Q49" s="1134"/>
      <c r="R49" s="149"/>
      <c r="S49" s="149"/>
      <c r="T49" s="149"/>
      <c r="U49"/>
      <c r="AB49" s="776"/>
      <c r="AC49" s="776"/>
      <c r="AD49" s="776"/>
      <c r="AE49" s="776"/>
      <c r="AF49" s="1662"/>
      <c r="AG49" s="1662"/>
      <c r="AH49" s="1662"/>
      <c r="AI49" s="1662"/>
    </row>
    <row r="50" spans="1:37" ht="12" customHeight="1" x14ac:dyDescent="0.25">
      <c r="A50" s="8" t="str">
        <f t="shared" si="0"/>
        <v>01</v>
      </c>
      <c r="B50" s="149" t="s">
        <v>1873</v>
      </c>
      <c r="C50" s="1274"/>
      <c r="D50" s="149"/>
      <c r="E50" s="149"/>
      <c r="F50" s="149"/>
      <c r="G50" s="149"/>
      <c r="H50" s="149"/>
      <c r="I50" s="1273" t="s">
        <v>4223</v>
      </c>
      <c r="J50" s="1275"/>
      <c r="K50" s="1145">
        <f>SUMIF('710'!$B$21:$B$61,B50,'710'!$K$21:$K$61)</f>
        <v>0</v>
      </c>
      <c r="L50" s="1637"/>
      <c r="M50" s="1638"/>
      <c r="N50" s="1637"/>
      <c r="O50" s="1409"/>
      <c r="P50" s="1637"/>
      <c r="Q50" s="1409"/>
      <c r="R50" s="149"/>
      <c r="S50" s="1638"/>
      <c r="U50" s="1515" t="str">
        <f t="shared" si="1"/>
        <v/>
      </c>
      <c r="W50" s="609"/>
      <c r="X50" s="610"/>
      <c r="Y50" s="1137"/>
      <c r="Z50" s="1137"/>
      <c r="AA50" s="1137"/>
      <c r="AB50" s="1665" t="s">
        <v>4186</v>
      </c>
      <c r="AC50" s="1665" t="s">
        <v>4186</v>
      </c>
      <c r="AD50" s="1665" t="s">
        <v>4186</v>
      </c>
      <c r="AE50" s="1665" t="s">
        <v>4186</v>
      </c>
      <c r="AF50" s="1662" t="str">
        <f t="shared" si="3"/>
        <v/>
      </c>
      <c r="AG50" s="1662" t="str">
        <f t="shared" si="4"/>
        <v/>
      </c>
      <c r="AH50" s="1662" t="str">
        <f t="shared" si="5"/>
        <v/>
      </c>
      <c r="AI50" s="1662" t="str">
        <f t="shared" si="6"/>
        <v/>
      </c>
      <c r="AK50" s="2352" t="s">
        <v>1873</v>
      </c>
    </row>
    <row r="51" spans="1:37" ht="12" customHeight="1" x14ac:dyDescent="0.25">
      <c r="A51" s="8" t="str">
        <f t="shared" si="0"/>
        <v>01</v>
      </c>
      <c r="B51" s="149" t="s">
        <v>1874</v>
      </c>
      <c r="C51" s="1274"/>
      <c r="D51" s="149"/>
      <c r="E51" s="149"/>
      <c r="F51" s="149"/>
      <c r="G51" s="149"/>
      <c r="H51" s="149"/>
      <c r="I51" s="1273" t="s">
        <v>4224</v>
      </c>
      <c r="J51" s="1275"/>
      <c r="K51" s="1145">
        <f>SUMIF('710'!$B$21:$B$61,B51,'710'!$K$21:$K$61)</f>
        <v>0</v>
      </c>
      <c r="L51" s="1637"/>
      <c r="M51" s="1638"/>
      <c r="N51" s="1637"/>
      <c r="O51" s="1409"/>
      <c r="P51" s="1637"/>
      <c r="Q51" s="1409"/>
      <c r="R51" s="149"/>
      <c r="S51" s="1638"/>
      <c r="U51" s="1515" t="str">
        <f t="shared" si="1"/>
        <v/>
      </c>
      <c r="W51" s="609"/>
      <c r="X51" s="610"/>
      <c r="Y51" s="1137"/>
      <c r="Z51" s="1137"/>
      <c r="AA51" s="1137"/>
      <c r="AB51" s="1665" t="s">
        <v>4186</v>
      </c>
      <c r="AC51" s="1665" t="s">
        <v>4186</v>
      </c>
      <c r="AD51" s="1665" t="s">
        <v>4186</v>
      </c>
      <c r="AE51" s="1665" t="s">
        <v>4186</v>
      </c>
      <c r="AF51" s="1662" t="str">
        <f t="shared" si="3"/>
        <v/>
      </c>
      <c r="AG51" s="1662" t="str">
        <f t="shared" si="4"/>
        <v/>
      </c>
      <c r="AH51" s="1662" t="str">
        <f t="shared" si="5"/>
        <v/>
      </c>
      <c r="AI51" s="1662" t="str">
        <f t="shared" si="6"/>
        <v/>
      </c>
      <c r="AK51" s="2352" t="s">
        <v>1874</v>
      </c>
    </row>
    <row r="52" spans="1:37" ht="12" customHeight="1" x14ac:dyDescent="0.25">
      <c r="A52" s="8" t="str">
        <f t="shared" si="0"/>
        <v>01</v>
      </c>
      <c r="B52" s="149" t="s">
        <v>1875</v>
      </c>
      <c r="C52" s="1274"/>
      <c r="D52" s="149"/>
      <c r="E52" s="149"/>
      <c r="F52" s="149"/>
      <c r="G52" s="149"/>
      <c r="H52" s="149"/>
      <c r="I52" s="1273" t="s">
        <v>4225</v>
      </c>
      <c r="J52" s="1275"/>
      <c r="K52" s="1145">
        <f>SUMIF('710'!$B$21:$B$61,B52,'710'!$K$21:$K$61)</f>
        <v>0</v>
      </c>
      <c r="L52" s="1637"/>
      <c r="M52" s="1638"/>
      <c r="N52" s="1637"/>
      <c r="O52" s="1409"/>
      <c r="P52" s="1637"/>
      <c r="Q52" s="1409"/>
      <c r="R52" s="149"/>
      <c r="S52" s="1638"/>
      <c r="U52" s="1515" t="str">
        <f t="shared" si="1"/>
        <v/>
      </c>
      <c r="W52" s="609"/>
      <c r="X52" s="610"/>
      <c r="Y52" s="1137"/>
      <c r="Z52" s="1137"/>
      <c r="AA52" s="1137"/>
      <c r="AB52" s="1665" t="s">
        <v>4186</v>
      </c>
      <c r="AC52" s="1665" t="s">
        <v>4186</v>
      </c>
      <c r="AD52" s="1665" t="s">
        <v>4186</v>
      </c>
      <c r="AE52" s="1665" t="s">
        <v>4186</v>
      </c>
      <c r="AF52" s="1662" t="str">
        <f t="shared" si="3"/>
        <v/>
      </c>
      <c r="AG52" s="1662" t="str">
        <f t="shared" si="4"/>
        <v/>
      </c>
      <c r="AH52" s="1662" t="str">
        <f t="shared" si="5"/>
        <v/>
      </c>
      <c r="AI52" s="1662" t="str">
        <f t="shared" si="6"/>
        <v/>
      </c>
      <c r="AK52" s="2352" t="s">
        <v>1875</v>
      </c>
    </row>
    <row r="53" spans="1:37" ht="12" customHeight="1" x14ac:dyDescent="0.25">
      <c r="A53" s="8" t="str">
        <f t="shared" si="0"/>
        <v>01</v>
      </c>
      <c r="B53" s="149" t="s">
        <v>1876</v>
      </c>
      <c r="C53" s="1274"/>
      <c r="D53" s="149"/>
      <c r="E53" s="149"/>
      <c r="F53" s="149"/>
      <c r="G53" s="149"/>
      <c r="H53" s="149"/>
      <c r="I53" s="1273" t="s">
        <v>4226</v>
      </c>
      <c r="J53" s="1275"/>
      <c r="K53" s="1145">
        <f>SUMIF('710'!$B$21:$B$61,B53,'710'!$K$21:$K$61)</f>
        <v>0</v>
      </c>
      <c r="L53" s="1637"/>
      <c r="M53" s="1638"/>
      <c r="N53" s="1637"/>
      <c r="O53" s="1409"/>
      <c r="P53" s="1637"/>
      <c r="Q53" s="1409"/>
      <c r="R53" s="149"/>
      <c r="S53" s="1638"/>
      <c r="U53" s="1515" t="str">
        <f t="shared" si="1"/>
        <v/>
      </c>
      <c r="W53" s="609"/>
      <c r="X53" s="610"/>
      <c r="Y53" s="1137"/>
      <c r="Z53" s="1137"/>
      <c r="AA53" s="1137"/>
      <c r="AB53" s="1665" t="s">
        <v>4186</v>
      </c>
      <c r="AC53" s="1665" t="s">
        <v>4186</v>
      </c>
      <c r="AD53" s="1665" t="s">
        <v>4186</v>
      </c>
      <c r="AE53" s="1665" t="s">
        <v>4186</v>
      </c>
      <c r="AF53" s="1662" t="str">
        <f t="shared" si="3"/>
        <v/>
      </c>
      <c r="AG53" s="1662" t="str">
        <f t="shared" si="4"/>
        <v/>
      </c>
      <c r="AH53" s="1662" t="str">
        <f t="shared" si="5"/>
        <v/>
      </c>
      <c r="AI53" s="1662" t="str">
        <f t="shared" si="6"/>
        <v/>
      </c>
      <c r="AK53" s="2352" t="s">
        <v>1876</v>
      </c>
    </row>
    <row r="54" spans="1:37" ht="12" customHeight="1" x14ac:dyDescent="0.25">
      <c r="A54" s="8" t="str">
        <f t="shared" si="0"/>
        <v>01</v>
      </c>
      <c r="B54" s="149" t="s">
        <v>3923</v>
      </c>
      <c r="C54" s="1274"/>
      <c r="D54" s="149"/>
      <c r="E54" s="149"/>
      <c r="F54" s="149"/>
      <c r="G54" s="149"/>
      <c r="H54" s="149"/>
      <c r="I54" s="1273" t="s">
        <v>4227</v>
      </c>
      <c r="J54" s="1275"/>
      <c r="K54" s="1145">
        <f>SUMIF('710'!$B$21:$B$61,B54,'710'!$K$21:$K$61)</f>
        <v>0</v>
      </c>
      <c r="L54" s="1637"/>
      <c r="M54" s="1638"/>
      <c r="N54" s="1637"/>
      <c r="O54" s="1409"/>
      <c r="P54" s="1637"/>
      <c r="Q54" s="1409"/>
      <c r="R54" s="149"/>
      <c r="S54" s="1638"/>
      <c r="U54" s="1515" t="str">
        <f t="shared" si="1"/>
        <v/>
      </c>
      <c r="W54" s="609"/>
      <c r="X54" s="610"/>
      <c r="Y54" s="1137"/>
      <c r="Z54" s="1137"/>
      <c r="AA54" s="1137"/>
      <c r="AB54" s="1665" t="s">
        <v>4186</v>
      </c>
      <c r="AC54" s="1665" t="s">
        <v>4186</v>
      </c>
      <c r="AD54" s="1665" t="s">
        <v>4186</v>
      </c>
      <c r="AE54" s="1665" t="s">
        <v>4186</v>
      </c>
      <c r="AF54" s="1662" t="str">
        <f t="shared" si="3"/>
        <v/>
      </c>
      <c r="AG54" s="1662" t="str">
        <f t="shared" si="4"/>
        <v/>
      </c>
      <c r="AH54" s="1662" t="str">
        <f t="shared" si="5"/>
        <v/>
      </c>
      <c r="AI54" s="1662" t="str">
        <f t="shared" si="6"/>
        <v/>
      </c>
      <c r="AK54" s="2352" t="s">
        <v>3923</v>
      </c>
    </row>
    <row r="55" spans="1:37" ht="12" customHeight="1" x14ac:dyDescent="0.25">
      <c r="A55" s="8" t="str">
        <f t="shared" si="0"/>
        <v>01</v>
      </c>
      <c r="B55" s="149" t="s">
        <v>635</v>
      </c>
      <c r="C55" s="3241" t="s">
        <v>5103</v>
      </c>
      <c r="D55" s="3241"/>
      <c r="E55" s="3241"/>
      <c r="F55" s="3241"/>
      <c r="G55" s="3241"/>
      <c r="H55" s="149"/>
      <c r="I55" s="1273" t="s">
        <v>4228</v>
      </c>
      <c r="J55" s="1275"/>
      <c r="K55" s="615"/>
      <c r="L55" s="1637"/>
      <c r="M55" s="1638"/>
      <c r="N55" s="1637"/>
      <c r="O55" s="1409"/>
      <c r="P55" s="1637"/>
      <c r="Q55" s="1409"/>
      <c r="R55" s="149"/>
      <c r="S55" s="1638"/>
      <c r="U55" s="1515" t="str">
        <f t="shared" si="1"/>
        <v/>
      </c>
      <c r="W55" s="609"/>
      <c r="X55" s="610"/>
      <c r="Y55" s="1137"/>
      <c r="Z55" s="1137"/>
      <c r="AA55" s="1137"/>
      <c r="AB55" s="1665" t="s">
        <v>4186</v>
      </c>
      <c r="AC55" s="1665" t="s">
        <v>4186</v>
      </c>
      <c r="AD55" s="1665" t="s">
        <v>4186</v>
      </c>
      <c r="AE55" s="1665" t="s">
        <v>4186</v>
      </c>
      <c r="AF55" s="1662" t="str">
        <f t="shared" si="3"/>
        <v/>
      </c>
      <c r="AG55" s="1662" t="str">
        <f t="shared" si="4"/>
        <v/>
      </c>
      <c r="AH55" s="1662" t="str">
        <f t="shared" si="5"/>
        <v/>
      </c>
      <c r="AI55" s="1662" t="str">
        <f t="shared" si="6"/>
        <v/>
      </c>
      <c r="AK55" s="2398" t="str">
        <f t="shared" ref="AK55:AK60" si="9">C55</f>
        <v>Select Other Investment (Click here)</v>
      </c>
    </row>
    <row r="56" spans="1:37" ht="12" customHeight="1" x14ac:dyDescent="0.25">
      <c r="A56" s="8" t="str">
        <f t="shared" si="0"/>
        <v>01</v>
      </c>
      <c r="B56" s="149" t="s">
        <v>635</v>
      </c>
      <c r="C56" s="3241" t="s">
        <v>5103</v>
      </c>
      <c r="D56" s="3241"/>
      <c r="E56" s="3241"/>
      <c r="F56" s="3241"/>
      <c r="G56" s="3241"/>
      <c r="H56" s="149"/>
      <c r="I56" s="1273" t="s">
        <v>4364</v>
      </c>
      <c r="J56" s="1275"/>
      <c r="K56" s="615"/>
      <c r="L56" s="1637"/>
      <c r="M56" s="1638"/>
      <c r="N56" s="1637"/>
      <c r="O56" s="1409"/>
      <c r="P56" s="1637"/>
      <c r="Q56" s="1409"/>
      <c r="R56" s="149"/>
      <c r="S56" s="1638"/>
      <c r="U56" s="1515" t="str">
        <f>CONCATENATE(AF56,AG56,AH56,AI56)</f>
        <v/>
      </c>
      <c r="W56" s="609"/>
      <c r="X56" s="610"/>
      <c r="Y56" s="1137"/>
      <c r="Z56" s="1137"/>
      <c r="AA56" s="1137"/>
      <c r="AB56" s="1665" t="s">
        <v>4186</v>
      </c>
      <c r="AC56" s="1665" t="s">
        <v>4186</v>
      </c>
      <c r="AD56" s="1665" t="s">
        <v>4186</v>
      </c>
      <c r="AE56" s="1665" t="s">
        <v>4186</v>
      </c>
      <c r="AF56" s="1662" t="str">
        <f>IF(AB56="—","",RIGHT(AB56,7))</f>
        <v/>
      </c>
      <c r="AG56" s="1662" t="str">
        <f>IF(AC56="—","",RIGHT(AC56,7))</f>
        <v/>
      </c>
      <c r="AH56" s="1662" t="str">
        <f>IF(AD56="—","",RIGHT(AD56,7))</f>
        <v/>
      </c>
      <c r="AI56" s="1662" t="str">
        <f>IF(AE56="—","",RIGHT(AE56,7))</f>
        <v/>
      </c>
      <c r="AK56" s="2398" t="str">
        <f t="shared" si="9"/>
        <v>Select Other Investment (Click here)</v>
      </c>
    </row>
    <row r="57" spans="1:37" ht="12" customHeight="1" x14ac:dyDescent="0.25">
      <c r="B57" s="149" t="s">
        <v>635</v>
      </c>
      <c r="C57" s="3241" t="s">
        <v>5103</v>
      </c>
      <c r="D57" s="3241"/>
      <c r="E57" s="3241"/>
      <c r="F57" s="3241"/>
      <c r="G57" s="3241"/>
      <c r="H57" s="149"/>
      <c r="I57" s="1273" t="s">
        <v>4365</v>
      </c>
      <c r="J57" s="1275"/>
      <c r="K57" s="615"/>
      <c r="L57" s="1637"/>
      <c r="M57" s="1638"/>
      <c r="N57" s="1637"/>
      <c r="O57" s="1409"/>
      <c r="P57" s="1637"/>
      <c r="Q57" s="1409"/>
      <c r="R57" s="149"/>
      <c r="S57" s="1638"/>
      <c r="U57" s="2296"/>
      <c r="W57" s="609"/>
      <c r="X57" s="610"/>
      <c r="Y57" s="1137"/>
      <c r="Z57" s="1137"/>
      <c r="AA57" s="1137"/>
      <c r="AB57" s="1665" t="s">
        <v>4186</v>
      </c>
      <c r="AC57" s="1665" t="s">
        <v>4186</v>
      </c>
      <c r="AD57" s="1665" t="s">
        <v>4186</v>
      </c>
      <c r="AE57" s="1665" t="s">
        <v>4186</v>
      </c>
      <c r="AF57" s="1662"/>
      <c r="AG57" s="1662"/>
      <c r="AH57" s="1662"/>
      <c r="AI57" s="1662"/>
      <c r="AK57" s="2398" t="str">
        <f t="shared" si="9"/>
        <v>Select Other Investment (Click here)</v>
      </c>
    </row>
    <row r="58" spans="1:37" ht="12" customHeight="1" x14ac:dyDescent="0.25">
      <c r="B58" s="149" t="s">
        <v>635</v>
      </c>
      <c r="C58" s="3241" t="s">
        <v>5103</v>
      </c>
      <c r="D58" s="3241"/>
      <c r="E58" s="3241"/>
      <c r="F58" s="3241"/>
      <c r="G58" s="3241"/>
      <c r="H58" s="149"/>
      <c r="I58" s="1273" t="s">
        <v>5147</v>
      </c>
      <c r="J58" s="1275"/>
      <c r="K58" s="615"/>
      <c r="L58" s="1637"/>
      <c r="M58" s="1638"/>
      <c r="N58" s="1637"/>
      <c r="O58" s="1409"/>
      <c r="P58" s="1637"/>
      <c r="Q58" s="1409"/>
      <c r="R58" s="149"/>
      <c r="S58" s="1638"/>
      <c r="U58" s="2296"/>
      <c r="W58" s="609"/>
      <c r="X58" s="610"/>
      <c r="Y58" s="1137"/>
      <c r="Z58" s="1137"/>
      <c r="AA58" s="1137"/>
      <c r="AB58" s="1665" t="s">
        <v>4186</v>
      </c>
      <c r="AC58" s="1665" t="s">
        <v>4186</v>
      </c>
      <c r="AD58" s="1665" t="s">
        <v>4186</v>
      </c>
      <c r="AE58" s="1665" t="s">
        <v>4186</v>
      </c>
      <c r="AF58" s="1662"/>
      <c r="AG58" s="1662"/>
      <c r="AH58" s="1662"/>
      <c r="AI58" s="1662"/>
      <c r="AK58" s="2398" t="str">
        <f t="shared" si="9"/>
        <v>Select Other Investment (Click here)</v>
      </c>
    </row>
    <row r="59" spans="1:37" ht="12" customHeight="1" x14ac:dyDescent="0.25">
      <c r="B59" s="149" t="s">
        <v>635</v>
      </c>
      <c r="C59" s="3241" t="s">
        <v>5103</v>
      </c>
      <c r="D59" s="3241"/>
      <c r="E59" s="3241"/>
      <c r="F59" s="3241"/>
      <c r="G59" s="3241"/>
      <c r="H59" s="149"/>
      <c r="I59" s="1273" t="s">
        <v>5148</v>
      </c>
      <c r="J59" s="1275"/>
      <c r="K59" s="615"/>
      <c r="L59" s="1637"/>
      <c r="M59" s="1638"/>
      <c r="N59" s="1637"/>
      <c r="O59" s="1409"/>
      <c r="P59" s="1637"/>
      <c r="Q59" s="1409"/>
      <c r="R59" s="149"/>
      <c r="S59" s="1638"/>
      <c r="U59" s="2296"/>
      <c r="W59" s="609"/>
      <c r="X59" s="610"/>
      <c r="Y59" s="1137"/>
      <c r="Z59" s="1137"/>
      <c r="AA59" s="1137"/>
      <c r="AB59" s="1665" t="s">
        <v>4186</v>
      </c>
      <c r="AC59" s="1665" t="s">
        <v>4186</v>
      </c>
      <c r="AD59" s="1665" t="s">
        <v>4186</v>
      </c>
      <c r="AE59" s="1665" t="s">
        <v>4186</v>
      </c>
      <c r="AF59" s="1662"/>
      <c r="AG59" s="1662"/>
      <c r="AH59" s="1662"/>
      <c r="AI59" s="1662"/>
      <c r="AK59" s="2398" t="str">
        <f t="shared" si="9"/>
        <v>Select Other Investment (Click here)</v>
      </c>
    </row>
    <row r="60" spans="1:37" ht="12" customHeight="1" x14ac:dyDescent="0.25">
      <c r="A60" s="8" t="str">
        <f t="shared" si="0"/>
        <v>01</v>
      </c>
      <c r="B60" s="149" t="s">
        <v>635</v>
      </c>
      <c r="C60" s="3241" t="s">
        <v>5103</v>
      </c>
      <c r="D60" s="3241"/>
      <c r="E60" s="3241"/>
      <c r="F60" s="3241"/>
      <c r="G60" s="3241"/>
      <c r="H60" s="149"/>
      <c r="I60" s="1273" t="s">
        <v>5149</v>
      </c>
      <c r="J60" s="1275"/>
      <c r="K60" s="615"/>
      <c r="L60" s="1637"/>
      <c r="M60" s="1638"/>
      <c r="N60" s="1637"/>
      <c r="O60" s="1409"/>
      <c r="P60" s="1637"/>
      <c r="Q60" s="1409"/>
      <c r="R60" s="149"/>
      <c r="S60" s="1638"/>
      <c r="U60" s="1542" t="str">
        <f t="shared" si="1"/>
        <v/>
      </c>
      <c r="W60" s="609"/>
      <c r="X60" s="610"/>
      <c r="Y60" s="1137"/>
      <c r="Z60" s="1137"/>
      <c r="AA60" s="1137"/>
      <c r="AB60" s="1665" t="s">
        <v>4186</v>
      </c>
      <c r="AC60" s="1665" t="s">
        <v>4186</v>
      </c>
      <c r="AD60" s="1665" t="s">
        <v>4186</v>
      </c>
      <c r="AE60" s="1665" t="s">
        <v>4186</v>
      </c>
      <c r="AF60" s="1662" t="str">
        <f t="shared" si="3"/>
        <v/>
      </c>
      <c r="AG60" s="1662" t="str">
        <f t="shared" si="4"/>
        <v/>
      </c>
      <c r="AH60" s="1662" t="str">
        <f t="shared" si="5"/>
        <v/>
      </c>
      <c r="AI60" s="1662" t="str">
        <f t="shared" si="6"/>
        <v/>
      </c>
      <c r="AK60" s="2398" t="str">
        <f t="shared" si="9"/>
        <v>Select Other Investment (Click here)</v>
      </c>
    </row>
    <row r="61" spans="1:37" ht="4.5" customHeight="1" x14ac:dyDescent="0.25">
      <c r="A61" s="8" t="str">
        <f t="shared" si="0"/>
        <v>01</v>
      </c>
      <c r="B61" s="149"/>
      <c r="C61" s="149"/>
      <c r="D61" s="149"/>
      <c r="E61" s="149"/>
      <c r="F61" s="149"/>
      <c r="G61" s="149"/>
      <c r="H61" s="149"/>
      <c r="I61" s="1273"/>
      <c r="J61" s="1633"/>
      <c r="K61" s="1639"/>
      <c r="L61" s="1134"/>
      <c r="M61" s="1639"/>
      <c r="N61" s="1134"/>
      <c r="O61" s="1134"/>
      <c r="P61" s="149"/>
      <c r="Q61" s="149"/>
      <c r="R61" s="149"/>
      <c r="S61" s="149"/>
      <c r="T61" s="149"/>
      <c r="U61"/>
      <c r="Y61" s="1137"/>
      <c r="AB61" s="776"/>
      <c r="AC61" s="776"/>
      <c r="AD61" s="776"/>
      <c r="AE61" s="776"/>
      <c r="AF61" s="1662"/>
      <c r="AG61" s="1662"/>
      <c r="AH61" s="1662"/>
      <c r="AI61" s="1662"/>
    </row>
    <row r="62" spans="1:37" ht="12" customHeight="1" x14ac:dyDescent="0.25">
      <c r="B62" s="309" t="s">
        <v>4475</v>
      </c>
      <c r="C62" s="149"/>
      <c r="D62" s="149"/>
      <c r="E62" s="149"/>
      <c r="F62" s="149"/>
      <c r="G62" s="149"/>
      <c r="H62" s="149"/>
      <c r="I62" s="1273"/>
      <c r="J62" s="1633"/>
      <c r="K62" s="1637"/>
      <c r="L62" s="1134"/>
      <c r="M62" s="1639"/>
      <c r="N62" s="1134"/>
      <c r="O62" s="1134"/>
      <c r="P62" s="149"/>
      <c r="Q62" s="149"/>
      <c r="R62" s="149"/>
      <c r="S62" s="149"/>
      <c r="T62" s="149"/>
      <c r="U62" s="149"/>
      <c r="X62" s="610"/>
      <c r="Y62" s="1137"/>
      <c r="AB62" s="776"/>
      <c r="AC62" s="776"/>
      <c r="AD62" s="776"/>
      <c r="AE62" s="776"/>
      <c r="AF62" s="1662"/>
      <c r="AG62" s="1662"/>
      <c r="AH62" s="1662"/>
      <c r="AI62" s="1662"/>
    </row>
    <row r="63" spans="1:37" ht="12" customHeight="1" x14ac:dyDescent="0.25">
      <c r="A63" s="8" t="str">
        <f>AgyIdx</f>
        <v>01</v>
      </c>
      <c r="B63" s="149" t="s">
        <v>924</v>
      </c>
      <c r="C63" s="1274"/>
      <c r="D63" s="149"/>
      <c r="E63" s="149"/>
      <c r="F63" s="149"/>
      <c r="G63" s="149"/>
      <c r="H63" s="149"/>
      <c r="I63" s="1273" t="s">
        <v>4222</v>
      </c>
      <c r="J63" s="1275"/>
      <c r="K63" s="1145">
        <f>SUMIF('710'!$B$21:$B$61,B63,'710'!$K$21:$K$61)</f>
        <v>0</v>
      </c>
      <c r="L63" s="1637"/>
      <c r="M63" s="1638"/>
      <c r="N63" s="1637"/>
      <c r="O63" s="1638"/>
      <c r="P63" s="1637"/>
      <c r="Q63" s="1638"/>
      <c r="R63" s="149"/>
      <c r="S63" s="1638"/>
      <c r="U63" s="1638"/>
      <c r="W63" s="609"/>
      <c r="X63" s="610" t="b">
        <f>+K63=SUM(M63,O63,Q63,S63)</f>
        <v>1</v>
      </c>
      <c r="Y63" s="1137">
        <f>SUMIF(M63:Q63,"&gt;0")</f>
        <v>0</v>
      </c>
      <c r="Z63" s="1137"/>
      <c r="AA63" s="1137"/>
      <c r="AB63" s="1137"/>
      <c r="AC63" s="1665"/>
      <c r="AD63" s="1665"/>
      <c r="AE63" s="1665"/>
      <c r="AF63" s="1662"/>
      <c r="AG63" s="1662" t="str">
        <f>IF(AC63="—","",RIGHT(AC63,7))</f>
        <v/>
      </c>
      <c r="AH63" s="1662" t="str">
        <f>IF(AD63="—","",RIGHT(AD63,7))</f>
        <v/>
      </c>
      <c r="AI63" s="1662" t="str">
        <f>IF(AE63="—","",RIGHT(AE63,7))</f>
        <v/>
      </c>
      <c r="AK63" s="2352" t="s">
        <v>924</v>
      </c>
    </row>
    <row r="64" spans="1:37" ht="4.5" customHeight="1" x14ac:dyDescent="0.25">
      <c r="B64" s="149"/>
      <c r="C64" s="149"/>
      <c r="D64" s="149"/>
      <c r="E64" s="149"/>
      <c r="F64" s="149"/>
      <c r="G64" s="149"/>
      <c r="H64" s="149"/>
      <c r="I64" s="1273"/>
      <c r="J64" s="1633"/>
      <c r="K64" s="1639"/>
      <c r="L64" s="1134"/>
      <c r="M64" s="1639"/>
      <c r="N64" s="1134"/>
      <c r="O64" s="1134"/>
      <c r="P64" s="149"/>
      <c r="Q64" s="149"/>
      <c r="R64" s="149"/>
      <c r="S64" s="149"/>
      <c r="T64" s="149"/>
      <c r="U64"/>
      <c r="Y64" s="1137"/>
      <c r="AB64" s="776"/>
      <c r="AC64" s="776"/>
      <c r="AD64" s="776"/>
      <c r="AE64" s="776"/>
      <c r="AF64" s="1662"/>
      <c r="AG64" s="1662"/>
      <c r="AH64" s="1662"/>
      <c r="AI64" s="1662"/>
    </row>
    <row r="65" spans="1:37" ht="12.6" customHeight="1" x14ac:dyDescent="0.25">
      <c r="B65" s="309" t="s">
        <v>4111</v>
      </c>
      <c r="C65" s="149"/>
      <c r="D65" s="149"/>
      <c r="E65" s="149"/>
      <c r="F65" s="149"/>
      <c r="G65" s="149"/>
      <c r="H65" s="149"/>
      <c r="I65" s="1273"/>
      <c r="J65" s="1633"/>
      <c r="K65" s="1637"/>
      <c r="L65" s="1134"/>
      <c r="M65" s="1639"/>
      <c r="N65" s="1134"/>
      <c r="O65" s="1134"/>
      <c r="P65" s="149"/>
      <c r="Q65" s="149"/>
      <c r="R65" s="149"/>
      <c r="S65" s="149"/>
      <c r="T65" s="149"/>
      <c r="U65"/>
      <c r="Y65" s="1137"/>
      <c r="AB65" s="776"/>
      <c r="AC65" s="776"/>
      <c r="AD65" s="776"/>
      <c r="AE65" s="776"/>
      <c r="AF65" s="1662"/>
      <c r="AG65" s="1662"/>
      <c r="AH65" s="1662"/>
      <c r="AI65" s="1662"/>
    </row>
    <row r="66" spans="1:37" ht="12.6" customHeight="1" x14ac:dyDescent="0.25">
      <c r="A66" s="8" t="str">
        <f t="shared" si="0"/>
        <v>01</v>
      </c>
      <c r="B66" s="149" t="s">
        <v>4112</v>
      </c>
      <c r="C66" s="149"/>
      <c r="D66" s="149"/>
      <c r="E66" s="149"/>
      <c r="F66" s="149"/>
      <c r="G66" s="149"/>
      <c r="H66" s="149"/>
      <c r="I66" s="1273"/>
      <c r="J66" s="1633"/>
      <c r="K66" s="1145">
        <f>'340'!I13</f>
        <v>0</v>
      </c>
      <c r="L66" s="1637"/>
      <c r="M66" s="1409"/>
      <c r="N66" s="1637"/>
      <c r="O66" s="1409"/>
      <c r="P66" s="1637"/>
      <c r="Q66" s="1409"/>
      <c r="R66" s="1635"/>
      <c r="S66" s="1638"/>
      <c r="T66" s="1639"/>
      <c r="U66" s="1515" t="str">
        <f t="shared" si="1"/>
        <v/>
      </c>
      <c r="W66" s="609" t="str">
        <f t="shared" ref="W66:W73" si="10">IF(X66=FALSE,"*","")</f>
        <v/>
      </c>
      <c r="X66" s="610" t="b">
        <f>+K66=SUM(M66,O66,Q66,S66)</f>
        <v>1</v>
      </c>
      <c r="Y66" s="1137">
        <f t="shared" ref="Y66:Y74" si="11">K66-SUM(M66,O66,Q66, S66)</f>
        <v>0</v>
      </c>
      <c r="AB66" s="1665" t="s">
        <v>4186</v>
      </c>
      <c r="AC66" s="1665" t="s">
        <v>4186</v>
      </c>
      <c r="AD66" s="1665" t="s">
        <v>4186</v>
      </c>
      <c r="AE66" s="1665" t="s">
        <v>4186</v>
      </c>
      <c r="AF66" s="1662" t="str">
        <f t="shared" si="3"/>
        <v/>
      </c>
      <c r="AG66" s="1662" t="str">
        <f t="shared" si="4"/>
        <v/>
      </c>
      <c r="AH66" s="1662" t="str">
        <f t="shared" si="5"/>
        <v/>
      </c>
      <c r="AI66" s="1662" t="str">
        <f t="shared" si="6"/>
        <v/>
      </c>
      <c r="AK66" s="2352" t="s">
        <v>1356</v>
      </c>
    </row>
    <row r="67" spans="1:37" ht="12.6" customHeight="1" x14ac:dyDescent="0.25">
      <c r="A67" s="8" t="str">
        <f t="shared" si="0"/>
        <v>01</v>
      </c>
      <c r="B67" s="149" t="s">
        <v>1405</v>
      </c>
      <c r="C67" s="149"/>
      <c r="D67" s="149"/>
      <c r="E67" s="149"/>
      <c r="F67" s="149"/>
      <c r="G67" s="149"/>
      <c r="H67" s="149"/>
      <c r="I67" s="1273"/>
      <c r="J67" s="1633"/>
      <c r="K67" s="1145">
        <f>'340'!I14</f>
        <v>0</v>
      </c>
      <c r="L67" s="1637"/>
      <c r="M67" s="1409"/>
      <c r="N67" s="1637"/>
      <c r="O67" s="1409"/>
      <c r="P67" s="1637"/>
      <c r="Q67" s="1409"/>
      <c r="R67" s="1635"/>
      <c r="S67" s="1638"/>
      <c r="T67" s="1639"/>
      <c r="U67" s="1515" t="str">
        <f t="shared" si="1"/>
        <v/>
      </c>
      <c r="W67" s="609" t="str">
        <f t="shared" si="10"/>
        <v/>
      </c>
      <c r="X67" s="610" t="b">
        <f t="shared" ref="X67:X74" si="12">+K67=SUM(M67,O67,Q67,S67)</f>
        <v>1</v>
      </c>
      <c r="Y67" s="1137">
        <f t="shared" si="11"/>
        <v>0</v>
      </c>
      <c r="AB67" s="1665" t="s">
        <v>4186</v>
      </c>
      <c r="AC67" s="1665" t="s">
        <v>4186</v>
      </c>
      <c r="AD67" s="1665" t="s">
        <v>4186</v>
      </c>
      <c r="AE67" s="1665" t="s">
        <v>4186</v>
      </c>
      <c r="AF67" s="1662" t="str">
        <f t="shared" si="3"/>
        <v/>
      </c>
      <c r="AG67" s="1662" t="str">
        <f t="shared" si="4"/>
        <v/>
      </c>
      <c r="AH67" s="1662" t="str">
        <f t="shared" si="5"/>
        <v/>
      </c>
      <c r="AI67" s="1662" t="str">
        <f t="shared" si="6"/>
        <v/>
      </c>
      <c r="AK67" s="2352" t="s">
        <v>1405</v>
      </c>
    </row>
    <row r="68" spans="1:37" ht="12.6" customHeight="1" x14ac:dyDescent="0.25">
      <c r="A68" s="8" t="str">
        <f t="shared" si="0"/>
        <v>01</v>
      </c>
      <c r="B68" s="149" t="s">
        <v>1406</v>
      </c>
      <c r="C68" s="149"/>
      <c r="D68" s="149"/>
      <c r="E68" s="149"/>
      <c r="F68" s="149"/>
      <c r="G68" s="149"/>
      <c r="H68" s="149"/>
      <c r="I68" s="1273"/>
      <c r="J68" s="1633"/>
      <c r="K68" s="1145">
        <f>'340'!I15</f>
        <v>0</v>
      </c>
      <c r="L68" s="1637"/>
      <c r="M68" s="1409"/>
      <c r="N68" s="1637"/>
      <c r="O68" s="1409"/>
      <c r="P68" s="1637"/>
      <c r="Q68" s="1409"/>
      <c r="R68" s="1635"/>
      <c r="S68" s="1638"/>
      <c r="T68" s="1639"/>
      <c r="U68" s="1515" t="str">
        <f t="shared" si="1"/>
        <v/>
      </c>
      <c r="W68" s="609" t="str">
        <f t="shared" si="10"/>
        <v/>
      </c>
      <c r="X68" s="610" t="b">
        <f t="shared" si="12"/>
        <v>1</v>
      </c>
      <c r="Y68" s="1137">
        <f t="shared" si="11"/>
        <v>0</v>
      </c>
      <c r="AB68" s="1665" t="s">
        <v>4186</v>
      </c>
      <c r="AC68" s="1665" t="s">
        <v>4186</v>
      </c>
      <c r="AD68" s="1665" t="s">
        <v>4186</v>
      </c>
      <c r="AE68" s="1665" t="s">
        <v>4186</v>
      </c>
      <c r="AF68" s="1662" t="str">
        <f t="shared" si="3"/>
        <v/>
      </c>
      <c r="AG68" s="1662" t="str">
        <f t="shared" si="4"/>
        <v/>
      </c>
      <c r="AH68" s="1662" t="str">
        <f t="shared" si="5"/>
        <v/>
      </c>
      <c r="AI68" s="1662" t="str">
        <f t="shared" si="6"/>
        <v/>
      </c>
      <c r="AK68" s="2352" t="s">
        <v>1406</v>
      </c>
    </row>
    <row r="69" spans="1:37" ht="12.6" customHeight="1" x14ac:dyDescent="0.25">
      <c r="A69" s="8" t="str">
        <f t="shared" si="0"/>
        <v>01</v>
      </c>
      <c r="B69" s="149" t="s">
        <v>3443</v>
      </c>
      <c r="C69" s="149"/>
      <c r="D69" s="149"/>
      <c r="E69" s="149"/>
      <c r="F69" s="149"/>
      <c r="G69" s="149"/>
      <c r="H69" s="149"/>
      <c r="I69" s="1273"/>
      <c r="J69" s="1633"/>
      <c r="K69" s="1145">
        <f>'340'!I16</f>
        <v>0</v>
      </c>
      <c r="L69" s="1637"/>
      <c r="M69" s="1409"/>
      <c r="N69" s="1637"/>
      <c r="O69" s="1409"/>
      <c r="P69" s="1637"/>
      <c r="Q69" s="1409"/>
      <c r="R69" s="1635"/>
      <c r="S69" s="1638"/>
      <c r="T69" s="1639"/>
      <c r="U69" s="1515" t="str">
        <f t="shared" si="1"/>
        <v/>
      </c>
      <c r="W69" s="609" t="str">
        <f t="shared" si="10"/>
        <v/>
      </c>
      <c r="X69" s="610" t="b">
        <f t="shared" si="12"/>
        <v>1</v>
      </c>
      <c r="Y69" s="1137">
        <f t="shared" si="11"/>
        <v>0</v>
      </c>
      <c r="AB69" s="1665" t="s">
        <v>4186</v>
      </c>
      <c r="AC69" s="1665" t="s">
        <v>4186</v>
      </c>
      <c r="AD69" s="1665" t="s">
        <v>4186</v>
      </c>
      <c r="AE69" s="1665" t="s">
        <v>4186</v>
      </c>
      <c r="AF69" s="1662" t="str">
        <f t="shared" si="3"/>
        <v/>
      </c>
      <c r="AG69" s="1662" t="str">
        <f t="shared" si="4"/>
        <v/>
      </c>
      <c r="AH69" s="1662" t="str">
        <f t="shared" si="5"/>
        <v/>
      </c>
      <c r="AI69" s="1662" t="str">
        <f t="shared" si="6"/>
        <v/>
      </c>
      <c r="AK69" s="2352" t="s">
        <v>3443</v>
      </c>
    </row>
    <row r="70" spans="1:37" ht="12.6" customHeight="1" x14ac:dyDescent="0.25">
      <c r="A70" s="8" t="str">
        <f t="shared" si="0"/>
        <v>01</v>
      </c>
      <c r="B70" s="149" t="s">
        <v>1718</v>
      </c>
      <c r="C70" s="149"/>
      <c r="D70" s="149"/>
      <c r="E70" s="149"/>
      <c r="F70" s="149"/>
      <c r="G70" s="149"/>
      <c r="H70" s="149"/>
      <c r="I70" s="1273"/>
      <c r="J70" s="1633"/>
      <c r="K70" s="1145">
        <f>'340'!I17</f>
        <v>0</v>
      </c>
      <c r="L70" s="1637"/>
      <c r="M70" s="1409"/>
      <c r="N70" s="1637"/>
      <c r="O70" s="1409"/>
      <c r="P70" s="1637"/>
      <c r="Q70" s="1409"/>
      <c r="R70" s="1635"/>
      <c r="S70" s="1638"/>
      <c r="T70" s="1639"/>
      <c r="U70" s="1515" t="str">
        <f t="shared" si="1"/>
        <v/>
      </c>
      <c r="W70" s="609" t="str">
        <f t="shared" si="10"/>
        <v/>
      </c>
      <c r="X70" s="610" t="b">
        <f t="shared" si="12"/>
        <v>1</v>
      </c>
      <c r="Y70" s="1137">
        <f t="shared" si="11"/>
        <v>0</v>
      </c>
      <c r="AB70" s="1665" t="s">
        <v>4186</v>
      </c>
      <c r="AC70" s="1665" t="s">
        <v>4186</v>
      </c>
      <c r="AD70" s="1665" t="s">
        <v>4186</v>
      </c>
      <c r="AE70" s="1665" t="s">
        <v>4186</v>
      </c>
      <c r="AF70" s="1662" t="str">
        <f t="shared" si="3"/>
        <v/>
      </c>
      <c r="AG70" s="1662" t="str">
        <f t="shared" si="4"/>
        <v/>
      </c>
      <c r="AH70" s="1662" t="str">
        <f t="shared" si="5"/>
        <v/>
      </c>
      <c r="AI70" s="1662" t="str">
        <f t="shared" si="6"/>
        <v/>
      </c>
      <c r="AK70" s="2352" t="s">
        <v>1718</v>
      </c>
    </row>
    <row r="71" spans="1:37" ht="12.6" customHeight="1" x14ac:dyDescent="0.25">
      <c r="A71" s="8" t="str">
        <f t="shared" si="0"/>
        <v>01</v>
      </c>
      <c r="B71" s="149" t="s">
        <v>4113</v>
      </c>
      <c r="C71" s="149"/>
      <c r="D71" s="149"/>
      <c r="E71" s="149"/>
      <c r="F71" s="149"/>
      <c r="G71" s="149"/>
      <c r="H71" s="149"/>
      <c r="I71" s="1273"/>
      <c r="J71" s="1633"/>
      <c r="K71" s="1145">
        <f>'340'!I18</f>
        <v>0</v>
      </c>
      <c r="L71" s="1637"/>
      <c r="M71" s="1409"/>
      <c r="N71" s="1637"/>
      <c r="O71" s="1409"/>
      <c r="P71" s="1637"/>
      <c r="Q71" s="1409"/>
      <c r="R71" s="1635"/>
      <c r="S71" s="1638"/>
      <c r="T71" s="1639"/>
      <c r="U71" s="1515" t="str">
        <f t="shared" si="1"/>
        <v/>
      </c>
      <c r="W71" s="609" t="str">
        <f t="shared" si="10"/>
        <v/>
      </c>
      <c r="X71" s="610" t="b">
        <f t="shared" si="12"/>
        <v>1</v>
      </c>
      <c r="Y71" s="1137">
        <f t="shared" si="11"/>
        <v>0</v>
      </c>
      <c r="AB71" s="1665" t="s">
        <v>4186</v>
      </c>
      <c r="AC71" s="1665" t="s">
        <v>4186</v>
      </c>
      <c r="AD71" s="1665" t="s">
        <v>4186</v>
      </c>
      <c r="AE71" s="1665" t="s">
        <v>4186</v>
      </c>
      <c r="AF71" s="1662" t="str">
        <f t="shared" si="3"/>
        <v/>
      </c>
      <c r="AG71" s="1662" t="str">
        <f t="shared" si="4"/>
        <v/>
      </c>
      <c r="AH71" s="1662" t="str">
        <f t="shared" si="5"/>
        <v/>
      </c>
      <c r="AI71" s="1662" t="str">
        <f t="shared" si="6"/>
        <v/>
      </c>
      <c r="AK71" s="2352" t="s">
        <v>4113</v>
      </c>
    </row>
    <row r="72" spans="1:37" ht="12.6" customHeight="1" x14ac:dyDescent="0.25">
      <c r="B72" s="149" t="s">
        <v>4293</v>
      </c>
      <c r="C72" s="149"/>
      <c r="D72" s="149"/>
      <c r="E72" s="149"/>
      <c r="F72" s="149"/>
      <c r="G72" s="149"/>
      <c r="H72" s="149"/>
      <c r="I72" s="1273"/>
      <c r="J72" s="1633"/>
      <c r="K72" s="1145">
        <f>'340'!I19</f>
        <v>0</v>
      </c>
      <c r="L72" s="1637"/>
      <c r="M72" s="1409"/>
      <c r="N72" s="1637"/>
      <c r="O72" s="1409"/>
      <c r="P72" s="1637"/>
      <c r="Q72" s="1409"/>
      <c r="R72" s="1635"/>
      <c r="S72" s="1638"/>
      <c r="T72" s="1639"/>
      <c r="U72" s="1515" t="str">
        <f t="shared" si="1"/>
        <v/>
      </c>
      <c r="W72" s="609" t="str">
        <f>IF(X72=FALSE,"*","")</f>
        <v/>
      </c>
      <c r="X72" s="610" t="b">
        <f>+K72=SUM(M72,O72,Q72,S72)</f>
        <v>1</v>
      </c>
      <c r="Y72" s="1137">
        <f>K72-SUM(M72,O72,Q72, S72)</f>
        <v>0</v>
      </c>
      <c r="AB72" s="1665" t="s">
        <v>4186</v>
      </c>
      <c r="AC72" s="1665" t="s">
        <v>4186</v>
      </c>
      <c r="AD72" s="1665" t="s">
        <v>4186</v>
      </c>
      <c r="AE72" s="1665" t="s">
        <v>4186</v>
      </c>
      <c r="AF72" s="1662" t="str">
        <f t="shared" si="3"/>
        <v/>
      </c>
      <c r="AG72" s="1662" t="str">
        <f t="shared" si="4"/>
        <v/>
      </c>
      <c r="AH72" s="1662" t="str">
        <f t="shared" si="5"/>
        <v/>
      </c>
      <c r="AI72" s="1662" t="str">
        <f t="shared" si="6"/>
        <v/>
      </c>
      <c r="AK72" s="2352" t="s">
        <v>4293</v>
      </c>
    </row>
    <row r="73" spans="1:37" ht="12.6" customHeight="1" x14ac:dyDescent="0.25">
      <c r="A73" s="8" t="str">
        <f t="shared" si="0"/>
        <v>01</v>
      </c>
      <c r="B73" s="149" t="s">
        <v>635</v>
      </c>
      <c r="C73" s="3241"/>
      <c r="D73" s="3241"/>
      <c r="E73" s="3241"/>
      <c r="F73" s="3241"/>
      <c r="G73" s="3241"/>
      <c r="H73" s="149"/>
      <c r="I73" s="1273"/>
      <c r="J73" s="1633"/>
      <c r="K73" s="1145">
        <f>'340'!I20</f>
        <v>0</v>
      </c>
      <c r="L73" s="1637"/>
      <c r="M73" s="1409"/>
      <c r="N73" s="1637"/>
      <c r="O73" s="1409"/>
      <c r="P73" s="1637"/>
      <c r="Q73" s="1409"/>
      <c r="R73" s="1635"/>
      <c r="S73" s="1638"/>
      <c r="T73" s="1639"/>
      <c r="U73" s="1515" t="str">
        <f t="shared" si="1"/>
        <v/>
      </c>
      <c r="W73" s="609" t="str">
        <f t="shared" si="10"/>
        <v/>
      </c>
      <c r="X73" s="610" t="b">
        <f t="shared" si="12"/>
        <v>1</v>
      </c>
      <c r="Y73" s="1137">
        <f t="shared" si="11"/>
        <v>0</v>
      </c>
      <c r="AB73" s="1665" t="s">
        <v>4186</v>
      </c>
      <c r="AC73" s="1665" t="s">
        <v>4186</v>
      </c>
      <c r="AD73" s="1665" t="s">
        <v>4186</v>
      </c>
      <c r="AE73" s="1665" t="s">
        <v>4186</v>
      </c>
      <c r="AF73" s="1662" t="str">
        <f t="shared" si="3"/>
        <v/>
      </c>
      <c r="AG73" s="1662" t="str">
        <f t="shared" si="4"/>
        <v/>
      </c>
      <c r="AH73" s="1662" t="str">
        <f t="shared" si="5"/>
        <v/>
      </c>
      <c r="AI73" s="1662" t="str">
        <f t="shared" si="6"/>
        <v/>
      </c>
      <c r="AK73" s="2352" t="s">
        <v>5115</v>
      </c>
    </row>
    <row r="74" spans="1:37" ht="12" customHeight="1" x14ac:dyDescent="0.25">
      <c r="B74" s="149" t="s">
        <v>635</v>
      </c>
      <c r="C74" s="3282"/>
      <c r="D74" s="3282"/>
      <c r="E74" s="3282"/>
      <c r="F74" s="3282"/>
      <c r="G74" s="3282"/>
      <c r="H74" s="149"/>
      <c r="I74" s="1273"/>
      <c r="J74" s="1633"/>
      <c r="K74" s="1145">
        <f>'340'!I21</f>
        <v>0</v>
      </c>
      <c r="L74" s="1637"/>
      <c r="M74" s="1409"/>
      <c r="N74" s="1637"/>
      <c r="O74" s="1409"/>
      <c r="P74" s="1637"/>
      <c r="Q74" s="1409"/>
      <c r="R74" s="1635"/>
      <c r="S74" s="1649"/>
      <c r="T74" s="1639"/>
      <c r="U74" s="1542" t="str">
        <f t="shared" si="1"/>
        <v/>
      </c>
      <c r="W74" s="609"/>
      <c r="X74" s="610" t="b">
        <f t="shared" si="12"/>
        <v>1</v>
      </c>
      <c r="Y74" s="1137">
        <f t="shared" si="11"/>
        <v>0</v>
      </c>
      <c r="AB74" s="1665" t="s">
        <v>4186</v>
      </c>
      <c r="AC74" s="1665" t="s">
        <v>4186</v>
      </c>
      <c r="AD74" s="1665" t="s">
        <v>4186</v>
      </c>
      <c r="AE74" s="1665" t="s">
        <v>4186</v>
      </c>
      <c r="AF74" s="1662" t="str">
        <f t="shared" si="3"/>
        <v/>
      </c>
      <c r="AG74" s="1662" t="str">
        <f t="shared" si="4"/>
        <v/>
      </c>
      <c r="AH74" s="1662" t="str">
        <f t="shared" si="5"/>
        <v/>
      </c>
      <c r="AI74" s="1662" t="str">
        <f t="shared" si="6"/>
        <v/>
      </c>
      <c r="AK74" s="2352" t="s">
        <v>5116</v>
      </c>
    </row>
    <row r="75" spans="1:37" ht="4.5" customHeight="1" x14ac:dyDescent="0.25">
      <c r="A75" s="8" t="str">
        <f t="shared" ref="A75:A84" si="13">AgyIdx</f>
        <v>01</v>
      </c>
      <c r="B75" s="1091"/>
      <c r="C75" s="149"/>
      <c r="D75" s="149"/>
      <c r="E75" s="149"/>
      <c r="F75" s="149"/>
      <c r="G75" s="149"/>
      <c r="H75" s="149"/>
      <c r="I75" s="1273"/>
      <c r="J75" s="1633"/>
      <c r="K75" s="1637"/>
      <c r="L75" s="1134"/>
      <c r="M75" s="1639"/>
      <c r="N75" s="1134"/>
      <c r="O75" s="1134"/>
      <c r="P75" s="149"/>
      <c r="Q75" s="149"/>
      <c r="R75" s="149"/>
      <c r="S75" s="149"/>
      <c r="T75" s="149"/>
      <c r="U75"/>
      <c r="X75" s="610"/>
      <c r="Y75" s="1137"/>
      <c r="AB75" s="776"/>
      <c r="AC75" s="776"/>
      <c r="AD75" s="776"/>
      <c r="AE75" s="776"/>
      <c r="AF75" s="1662"/>
      <c r="AG75" s="1662"/>
      <c r="AH75" s="1662"/>
      <c r="AI75" s="1662"/>
    </row>
    <row r="76" spans="1:37" ht="13.5" x14ac:dyDescent="0.25">
      <c r="A76" s="8" t="str">
        <f t="shared" si="13"/>
        <v>01</v>
      </c>
      <c r="B76" s="309" t="s">
        <v>4114</v>
      </c>
      <c r="C76" s="149"/>
      <c r="D76" s="149"/>
      <c r="E76" s="149"/>
      <c r="F76" s="149"/>
      <c r="G76" s="149"/>
      <c r="H76" s="149"/>
      <c r="I76" s="1273"/>
      <c r="J76" s="1633"/>
      <c r="K76" s="1637"/>
      <c r="L76" s="1134"/>
      <c r="M76" s="1639"/>
      <c r="N76" s="1134"/>
      <c r="O76" s="1134"/>
      <c r="P76" s="149"/>
      <c r="Q76" s="149"/>
      <c r="R76" s="149"/>
      <c r="S76" s="149"/>
      <c r="T76" s="149"/>
      <c r="U76"/>
      <c r="X76" s="610"/>
      <c r="Y76" s="1137"/>
      <c r="AB76" s="776"/>
      <c r="AC76" s="776"/>
      <c r="AD76" s="776"/>
      <c r="AE76" s="776"/>
      <c r="AF76" s="1662"/>
      <c r="AG76" s="1662"/>
      <c r="AH76" s="1662"/>
      <c r="AI76" s="1662"/>
    </row>
    <row r="77" spans="1:37" ht="12" customHeight="1" x14ac:dyDescent="0.25">
      <c r="A77" s="8" t="str">
        <f t="shared" si="13"/>
        <v>01</v>
      </c>
      <c r="B77" s="149" t="s">
        <v>4112</v>
      </c>
      <c r="C77" s="149"/>
      <c r="D77" s="149"/>
      <c r="E77" s="149"/>
      <c r="F77" s="149"/>
      <c r="G77" s="149"/>
      <c r="H77" s="149"/>
      <c r="I77" s="1273"/>
      <c r="J77" s="1633"/>
      <c r="K77" s="1145">
        <f>'340'!I31</f>
        <v>0</v>
      </c>
      <c r="L77" s="1637"/>
      <c r="M77" s="1409"/>
      <c r="N77" s="1637"/>
      <c r="O77" s="1409"/>
      <c r="P77" s="1637"/>
      <c r="Q77" s="1409"/>
      <c r="R77" s="1635"/>
      <c r="S77" s="1638"/>
      <c r="T77" s="1639"/>
      <c r="U77" s="1515" t="str">
        <f t="shared" si="1"/>
        <v/>
      </c>
      <c r="W77" s="609"/>
      <c r="X77" s="610" t="b">
        <f t="shared" ref="X77" si="14">+K77=SUM(M77,O77,Q77,S77)</f>
        <v>1</v>
      </c>
      <c r="Y77" s="1137">
        <f>K77-SUM(M77,O77,Q77, S77)</f>
        <v>0</v>
      </c>
      <c r="AB77" s="1665" t="s">
        <v>4186</v>
      </c>
      <c r="AC77" s="1665" t="s">
        <v>4186</v>
      </c>
      <c r="AD77" s="1665" t="s">
        <v>4186</v>
      </c>
      <c r="AE77" s="1665" t="s">
        <v>4186</v>
      </c>
      <c r="AF77" s="1662" t="str">
        <f t="shared" si="3"/>
        <v/>
      </c>
      <c r="AG77" s="1662" t="str">
        <f t="shared" si="4"/>
        <v/>
      </c>
      <c r="AH77" s="1662" t="str">
        <f t="shared" si="5"/>
        <v/>
      </c>
      <c r="AI77" s="1662" t="str">
        <f t="shared" si="6"/>
        <v/>
      </c>
      <c r="AK77" s="2336" t="s">
        <v>4112</v>
      </c>
    </row>
    <row r="78" spans="1:37" ht="7.5" customHeight="1" x14ac:dyDescent="0.25">
      <c r="A78" s="8" t="str">
        <f t="shared" si="13"/>
        <v>01</v>
      </c>
      <c r="B78" s="1091"/>
      <c r="C78" s="149"/>
      <c r="D78" s="149"/>
      <c r="E78" s="149"/>
      <c r="F78" s="149"/>
      <c r="G78" s="149"/>
      <c r="H78" s="149"/>
      <c r="I78" s="1273"/>
      <c r="J78" s="1633"/>
      <c r="K78" s="1637"/>
      <c r="L78" s="1134"/>
      <c r="M78" s="1639"/>
      <c r="N78" s="1134"/>
      <c r="O78" s="1134"/>
      <c r="P78" s="149"/>
      <c r="Q78" s="149"/>
      <c r="R78" s="149"/>
      <c r="S78" s="149"/>
      <c r="T78" s="149"/>
      <c r="U78" s="149"/>
      <c r="X78" s="610"/>
      <c r="Y78" s="1137"/>
      <c r="AB78" s="776"/>
      <c r="AC78" s="776"/>
      <c r="AD78" s="776"/>
      <c r="AE78" s="776"/>
      <c r="AF78" s="1662"/>
      <c r="AG78" s="1662"/>
      <c r="AH78" s="1662"/>
      <c r="AI78" s="1662"/>
    </row>
    <row r="79" spans="1:37" ht="7.5" customHeight="1" x14ac:dyDescent="0.25">
      <c r="B79" s="1091"/>
      <c r="C79" s="149"/>
      <c r="D79" s="149"/>
      <c r="E79" s="149"/>
      <c r="F79" s="149"/>
      <c r="G79" s="149"/>
      <c r="H79" s="149"/>
      <c r="I79" s="1273"/>
      <c r="J79" s="1633"/>
      <c r="K79" s="1637"/>
      <c r="L79" s="1134"/>
      <c r="M79" s="1639"/>
      <c r="N79" s="1134"/>
      <c r="O79" s="1134"/>
      <c r="P79" s="149"/>
      <c r="Q79" s="149"/>
      <c r="R79" s="149"/>
      <c r="S79" s="149"/>
      <c r="T79" s="149"/>
      <c r="U79" s="149"/>
      <c r="X79" s="610"/>
      <c r="Y79" s="1137"/>
      <c r="AB79" s="776"/>
      <c r="AC79" s="776"/>
      <c r="AD79" s="776"/>
      <c r="AE79" s="776"/>
      <c r="AF79" s="1662"/>
      <c r="AG79" s="1662"/>
      <c r="AH79" s="1662"/>
      <c r="AI79" s="1662"/>
    </row>
    <row r="80" spans="1:37" ht="13.5" x14ac:dyDescent="0.25">
      <c r="A80" s="8" t="str">
        <f>AgyIdx</f>
        <v>01</v>
      </c>
      <c r="B80" s="1091" t="s">
        <v>4115</v>
      </c>
      <c r="C80" s="149"/>
      <c r="D80" s="149"/>
      <c r="E80" s="149"/>
      <c r="F80" s="149"/>
      <c r="G80" s="149"/>
      <c r="H80" s="149"/>
      <c r="I80" s="1273"/>
      <c r="J80" s="1633"/>
      <c r="K80" s="1637"/>
      <c r="L80" s="1134"/>
      <c r="M80" s="894" t="s">
        <v>969</v>
      </c>
      <c r="O80" s="1369"/>
      <c r="P80" s="3280" t="str">
        <f>IF(AND(ISBLANK(O80),ISBLANK(O81))=TRUE,"Answer Missing"," ")</f>
        <v>Answer Missing</v>
      </c>
      <c r="Q80" s="3281"/>
      <c r="S80" s="3281" t="str">
        <f>IF(ISTEXT(O80), "Narrative WS Required", " ")</f>
        <v xml:space="preserve"> </v>
      </c>
      <c r="T80" s="3281"/>
      <c r="U80" s="3281"/>
      <c r="X80" s="610"/>
      <c r="Y80" s="1137"/>
      <c r="AK80" s="2336"/>
    </row>
    <row r="81" spans="1:25" ht="13.5" x14ac:dyDescent="0.25">
      <c r="A81" s="8" t="str">
        <f t="shared" si="13"/>
        <v>01</v>
      </c>
      <c r="B81" s="1091" t="s">
        <v>4116</v>
      </c>
      <c r="C81" s="149"/>
      <c r="D81" s="149"/>
      <c r="E81" s="149"/>
      <c r="F81" s="149"/>
      <c r="G81" s="149"/>
      <c r="H81" s="149"/>
      <c r="I81" s="1273"/>
      <c r="J81" s="1633"/>
      <c r="M81" s="894" t="s">
        <v>970</v>
      </c>
      <c r="O81" s="1369"/>
      <c r="P81" s="1089"/>
      <c r="X81" s="610"/>
      <c r="Y81" s="1137"/>
    </row>
    <row r="82" spans="1:25" ht="5.25" customHeight="1" x14ac:dyDescent="0.25">
      <c r="A82" s="8" t="str">
        <f t="shared" si="13"/>
        <v>01</v>
      </c>
      <c r="B82" s="1437"/>
      <c r="C82" s="1437"/>
      <c r="G82" s="149"/>
      <c r="H82" s="149"/>
      <c r="I82" s="1273"/>
      <c r="J82" s="1633"/>
      <c r="K82" s="1637"/>
      <c r="L82" s="1134"/>
      <c r="M82" s="1639"/>
      <c r="N82" s="1134"/>
      <c r="O82" s="1134"/>
      <c r="P82" s="149"/>
      <c r="X82" s="610"/>
      <c r="Y82" s="1137"/>
    </row>
    <row r="83" spans="1:25" ht="13.5" x14ac:dyDescent="0.25">
      <c r="A83" s="8" t="str">
        <f t="shared" si="13"/>
        <v>01</v>
      </c>
      <c r="B83" s="1091" t="s">
        <v>4117</v>
      </c>
      <c r="C83" s="149"/>
      <c r="D83" s="149"/>
      <c r="E83" s="149"/>
      <c r="F83" s="149"/>
      <c r="G83" s="149"/>
      <c r="H83" s="149"/>
      <c r="I83" s="1273"/>
      <c r="J83" s="1633"/>
      <c r="K83" s="1637"/>
      <c r="L83" s="1273"/>
      <c r="M83" s="894" t="s">
        <v>969</v>
      </c>
      <c r="O83" s="1369"/>
      <c r="P83" s="3280" t="str">
        <f>IF(AND(ISBLANK(O83),ISBLANK(O84))=TRUE,"Answer Missing"," ")</f>
        <v>Answer Missing</v>
      </c>
      <c r="Q83" s="3281"/>
      <c r="R83" s="149"/>
      <c r="S83" s="3281" t="str">
        <f>IF(ISTEXT(O83), "Narrative WS Required", " ")</f>
        <v xml:space="preserve"> </v>
      </c>
      <c r="T83" s="3281"/>
      <c r="U83" s="3281"/>
      <c r="X83" s="610"/>
      <c r="Y83" s="1137"/>
    </row>
    <row r="84" spans="1:25" ht="13.5" x14ac:dyDescent="0.25">
      <c r="A84" s="8" t="str">
        <f t="shared" si="13"/>
        <v>01</v>
      </c>
      <c r="B84" s="1091" t="s">
        <v>4118</v>
      </c>
      <c r="C84" s="149"/>
      <c r="D84" s="149"/>
      <c r="E84" s="149"/>
      <c r="F84" s="149"/>
      <c r="G84" s="149"/>
      <c r="H84" s="149"/>
      <c r="I84" s="1273"/>
      <c r="J84" s="1633"/>
      <c r="K84" s="1134"/>
      <c r="L84" s="149"/>
      <c r="M84" s="894" t="s">
        <v>970</v>
      </c>
      <c r="O84" s="1369"/>
      <c r="P84" s="1089"/>
      <c r="Q84" s="149"/>
      <c r="R84" s="149"/>
      <c r="X84" s="610"/>
      <c r="Y84" s="1137"/>
    </row>
    <row r="85" spans="1:25" ht="3.75" customHeight="1" x14ac:dyDescent="0.25">
      <c r="B85" s="1437"/>
      <c r="C85" s="1437"/>
      <c r="L85" s="149"/>
      <c r="R85" s="149"/>
      <c r="S85" s="1273"/>
      <c r="T85" s="1633"/>
      <c r="U85" s="1134"/>
      <c r="X85" s="610"/>
      <c r="Y85" s="1137"/>
    </row>
    <row r="86" spans="1:25" ht="13.5" x14ac:dyDescent="0.25">
      <c r="B86" s="1091" t="s">
        <v>4368</v>
      </c>
      <c r="C86" s="1437"/>
      <c r="D86" s="149"/>
      <c r="E86" s="149"/>
      <c r="F86" s="149"/>
      <c r="G86" s="149"/>
      <c r="H86" s="149"/>
      <c r="I86" s="1273"/>
      <c r="J86" s="1633"/>
      <c r="K86" s="1134"/>
      <c r="L86" s="149"/>
      <c r="M86" s="1134"/>
      <c r="N86" s="1134"/>
      <c r="O86" s="10"/>
      <c r="P86" s="1134"/>
      <c r="Q86" s="1134"/>
      <c r="R86" s="149"/>
      <c r="X86" s="610"/>
      <c r="Y86" s="1137"/>
    </row>
    <row r="87" spans="1:25" ht="13.5" x14ac:dyDescent="0.25">
      <c r="C87" s="1437"/>
      <c r="D87" s="149"/>
      <c r="E87" s="149"/>
      <c r="F87" s="149"/>
      <c r="G87" s="149"/>
      <c r="H87" s="149"/>
      <c r="I87" s="1273"/>
      <c r="J87" s="1633"/>
      <c r="K87" s="1134"/>
      <c r="L87" s="149"/>
      <c r="M87" s="1134"/>
      <c r="N87" s="1134"/>
      <c r="O87" s="10"/>
      <c r="P87" s="1134"/>
      <c r="Q87" s="1134"/>
      <c r="R87" s="149"/>
      <c r="X87" s="610"/>
      <c r="Y87" s="1137"/>
    </row>
    <row r="88" spans="1:25" ht="15" customHeight="1" x14ac:dyDescent="0.25">
      <c r="A88" s="8" t="str">
        <f>AgyIdx</f>
        <v>01</v>
      </c>
      <c r="B88" s="346"/>
      <c r="F88" s="324"/>
      <c r="G88" s="324"/>
      <c r="H88" s="324"/>
      <c r="I88" s="1642"/>
      <c r="K88" s="1637"/>
      <c r="L88" s="1437"/>
      <c r="M88" s="149"/>
      <c r="N88" s="149"/>
      <c r="O88" s="325"/>
      <c r="P88" s="325"/>
      <c r="Q88" s="325"/>
      <c r="X88" s="610"/>
      <c r="Y88" s="1137"/>
    </row>
    <row r="89" spans="1:25" x14ac:dyDescent="0.2">
      <c r="A89" s="8" t="str">
        <f>AgyIdx</f>
        <v>01</v>
      </c>
      <c r="B89" s="1422"/>
      <c r="I89" s="1133"/>
      <c r="K89" s="1134"/>
      <c r="L89" s="10"/>
      <c r="M89" s="10"/>
      <c r="N89" s="10"/>
      <c r="P89" s="10"/>
      <c r="Q89" s="10"/>
      <c r="X89" s="610"/>
      <c r="Y89" s="1137"/>
    </row>
    <row r="90" spans="1:25" x14ac:dyDescent="0.2">
      <c r="A90" s="8" t="str">
        <f>AgyIdx</f>
        <v>01</v>
      </c>
      <c r="B90" s="324"/>
    </row>
    <row r="91" spans="1:25" ht="15" x14ac:dyDescent="0.2">
      <c r="A91" s="794"/>
      <c r="B91" s="324"/>
      <c r="K91" s="794"/>
    </row>
    <row r="92" spans="1:25" ht="15" x14ac:dyDescent="0.2">
      <c r="A92" s="794"/>
      <c r="B92" s="324"/>
    </row>
    <row r="93" spans="1:25" ht="15" x14ac:dyDescent="0.2">
      <c r="A93" s="794"/>
      <c r="B93" s="324"/>
    </row>
    <row r="94" spans="1:25" ht="3.75" customHeight="1" x14ac:dyDescent="0.2">
      <c r="A94" s="794"/>
      <c r="B94" s="324"/>
    </row>
    <row r="95" spans="1:25" ht="15" x14ac:dyDescent="0.2">
      <c r="A95" s="794"/>
      <c r="B95" s="324"/>
    </row>
    <row r="96" spans="1:25" ht="15" x14ac:dyDescent="0.2">
      <c r="A96" s="794"/>
      <c r="B96" s="324"/>
    </row>
    <row r="97" spans="1:2" ht="15" x14ac:dyDescent="0.2">
      <c r="A97" s="794"/>
      <c r="B97" s="324"/>
    </row>
    <row r="98" spans="1:2" ht="15" x14ac:dyDescent="0.2">
      <c r="A98" s="794"/>
      <c r="B98" s="324"/>
    </row>
    <row r="99" spans="1:2" ht="15" x14ac:dyDescent="0.2">
      <c r="A99" s="794"/>
      <c r="B99" s="324"/>
    </row>
    <row r="100" spans="1:2" ht="3.75" customHeight="1" x14ac:dyDescent="0.2">
      <c r="A100" s="794"/>
      <c r="B100" s="324"/>
    </row>
    <row r="101" spans="1:2" ht="15" x14ac:dyDescent="0.2">
      <c r="A101" s="794"/>
      <c r="B101" s="324"/>
    </row>
    <row r="102" spans="1:2" ht="15" x14ac:dyDescent="0.2">
      <c r="A102" s="794"/>
      <c r="B102" s="324"/>
    </row>
    <row r="103" spans="1:2" ht="3.75" customHeight="1" x14ac:dyDescent="0.2">
      <c r="A103" s="794"/>
      <c r="B103" s="324"/>
    </row>
    <row r="104" spans="1:2" ht="15" x14ac:dyDescent="0.2">
      <c r="A104" s="794"/>
      <c r="B104" s="324"/>
    </row>
    <row r="105" spans="1:2" ht="3.75" customHeight="1" x14ac:dyDescent="0.2">
      <c r="A105" s="794"/>
    </row>
    <row r="106" spans="1:2" ht="15" x14ac:dyDescent="0.2">
      <c r="A106" s="794"/>
    </row>
    <row r="107" spans="1:2" ht="15" x14ac:dyDescent="0.2">
      <c r="A107" s="794"/>
    </row>
    <row r="108" spans="1:2" ht="15" x14ac:dyDescent="0.2">
      <c r="A108" s="794"/>
    </row>
    <row r="109" spans="1:2" ht="15" x14ac:dyDescent="0.2">
      <c r="A109" s="794"/>
    </row>
    <row r="110" spans="1:2" ht="15" x14ac:dyDescent="0.2">
      <c r="A110" s="794"/>
      <c r="B110" s="794"/>
    </row>
    <row r="111" spans="1:2" ht="15" x14ac:dyDescent="0.2">
      <c r="A111" s="794"/>
      <c r="B111" s="794"/>
    </row>
    <row r="112" spans="1:2" ht="15" x14ac:dyDescent="0.2">
      <c r="A112" s="794"/>
      <c r="B112" s="794"/>
    </row>
    <row r="113" spans="1:2" ht="15" x14ac:dyDescent="0.2">
      <c r="A113" s="794"/>
      <c r="B113" s="794"/>
    </row>
  </sheetData>
  <sheetProtection algorithmName="SHA-512" hashValue="h9wV7RwN5MSSO3cx2GuzW8IDGFu7ro5nsgY9M3gk6jCRs2OZ577vy8DsAuD2bSCOEIeazNUEWCDFgU7LkXcR8Q==" saltValue="yOcbnm9d8rmKsJCMJcSaxQ==" spinCount="100000" sheet="1" objects="1" scenarios="1" autoFilter="0"/>
  <mergeCells count="26">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 ref="M12:Q12"/>
    <mergeCell ref="B1:T1"/>
    <mergeCell ref="Y1:Y3"/>
    <mergeCell ref="B2:T2"/>
    <mergeCell ref="B3:T3"/>
    <mergeCell ref="B4:T4"/>
    <mergeCell ref="M6:Q6"/>
    <mergeCell ref="M7:Q7"/>
    <mergeCell ref="E8:G8"/>
    <mergeCell ref="M8:Q8"/>
    <mergeCell ref="M9:Q9"/>
  </mergeCells>
  <conditionalFormatting sqref="U1:U3">
    <cfRule type="cellIs" dxfId="21" priority="9" stopIfTrue="1" operator="equal">
      <formula>"na"</formula>
    </cfRule>
  </conditionalFormatting>
  <conditionalFormatting sqref="Y1:Y3">
    <cfRule type="cellIs" dxfId="20" priority="8" stopIfTrue="1" operator="equal">
      <formula>"na"</formula>
    </cfRule>
  </conditionalFormatting>
  <conditionalFormatting sqref="P80">
    <cfRule type="containsText" dxfId="19" priority="7" stopIfTrue="1" operator="containsText" text="Answer Missing">
      <formula>NOT(ISERROR(SEARCH("Answer Missing",P80)))</formula>
    </cfRule>
  </conditionalFormatting>
  <conditionalFormatting sqref="P83">
    <cfRule type="containsText" dxfId="18" priority="6" stopIfTrue="1" operator="containsText" text="Answer Missing">
      <formula>NOT(ISERROR(SEARCH("Answer Missing",P83)))</formula>
    </cfRule>
  </conditionalFormatting>
  <conditionalFormatting sqref="S80">
    <cfRule type="containsText" dxfId="17" priority="5" stopIfTrue="1" operator="containsText" text="Answer Missing">
      <formula>NOT(ISERROR(SEARCH("Answer Missing",S80)))</formula>
    </cfRule>
  </conditionalFormatting>
  <conditionalFormatting sqref="S83">
    <cfRule type="containsText" dxfId="16" priority="4" stopIfTrue="1" operator="containsText" text="Answer Missing">
      <formula>NOT(ISERROR(SEARCH("Answer Missing",S83)))</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7" right="0.7" top="0.75" bottom="0.75" header="0.3" footer="0.3"/>
  <pageSetup scale="85" orientation="landscape" r:id="rId1"/>
  <headerFooter>
    <oddFooter>&amp;R&amp;A (&amp;P of &amp;N)</oddFooter>
  </headerFooter>
  <rowBreaks count="2" manualBreakCount="2">
    <brk id="48" min="1" max="21" man="1"/>
    <brk id="64"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Notes!$AC$3:$AC$8</xm:f>
          </x14:formula1>
          <xm:sqref>C45:G47</xm:sqref>
        </x14:dataValidation>
        <x14:dataValidation type="list" allowBlank="1" showInputMessage="1" showErrorMessage="1" xr:uid="{C8F02C7A-E6C2-4311-B629-FCF1585D0CBE}">
          <x14:formula1>
            <xm:f>Notes!$AC$12:$AC$23</xm:f>
          </x14:formula1>
          <xm:sqref>C55:C60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workbookViewId="0">
      <selection activeCell="J31" sqref="J31"/>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8.5703125" style="61" customWidth="1"/>
    <col min="6" max="6" width="22.5703125" style="61" customWidth="1"/>
    <col min="7" max="7" width="7.5703125" style="61" customWidth="1"/>
    <col min="8" max="8" width="8.5703125" style="61" customWidth="1"/>
    <col min="9" max="9" width="7.42578125" style="61" customWidth="1"/>
    <col min="10" max="10" width="21.5703125" style="61" customWidth="1"/>
    <col min="11" max="11" width="4.5703125" style="61" customWidth="1"/>
    <col min="12" max="16384" width="9.42578125" style="61"/>
  </cols>
  <sheetData>
    <row r="1" spans="1:12" ht="15.75" x14ac:dyDescent="0.25">
      <c r="A1" s="61" t="str">
        <f t="shared" ref="A1:A10" si="0">AgyIdx</f>
        <v>01</v>
      </c>
      <c r="B1" s="2697" t="str">
        <f>+Index!$A$1</f>
        <v xml:space="preserve">                                                               Office of the State Controller                                                                </v>
      </c>
      <c r="C1" s="2697"/>
      <c r="D1" s="2697"/>
      <c r="E1" s="2697"/>
      <c r="F1" s="2697"/>
      <c r="G1" s="2697"/>
      <c r="H1" s="2697"/>
      <c r="I1" s="2697"/>
      <c r="J1" s="2697"/>
      <c r="K1" s="2750"/>
    </row>
    <row r="2" spans="1:12" ht="15.75" x14ac:dyDescent="0.25">
      <c r="A2" s="61" t="str">
        <f t="shared" si="0"/>
        <v>01</v>
      </c>
      <c r="B2" s="2753" t="str">
        <f>+Index!$A$2</f>
        <v>2022 ACFR Worksheets</v>
      </c>
      <c r="C2" s="2753"/>
      <c r="D2" s="2753"/>
      <c r="E2" s="2753"/>
      <c r="F2" s="2753"/>
      <c r="G2" s="2753"/>
      <c r="H2" s="2753"/>
      <c r="I2" s="2753"/>
      <c r="J2" s="2753"/>
      <c r="K2" s="2750"/>
    </row>
    <row r="3" spans="1:12" ht="15" x14ac:dyDescent="0.25">
      <c r="A3" s="61" t="str">
        <f t="shared" si="0"/>
        <v>01</v>
      </c>
      <c r="B3" s="2772" t="s">
        <v>3842</v>
      </c>
      <c r="C3" s="2772"/>
      <c r="D3" s="2772"/>
      <c r="E3" s="2772"/>
      <c r="F3" s="2772"/>
      <c r="G3" s="2772"/>
      <c r="H3" s="2772"/>
      <c r="I3" s="2772"/>
      <c r="J3" s="2772"/>
      <c r="K3" s="2750"/>
    </row>
    <row r="4" spans="1:12" ht="12.75" customHeight="1" x14ac:dyDescent="0.2">
      <c r="A4" s="61" t="str">
        <f t="shared" si="0"/>
        <v>01</v>
      </c>
      <c r="B4" s="454"/>
      <c r="C4" s="454"/>
      <c r="D4" s="454"/>
      <c r="E4" s="454"/>
      <c r="F4" s="454"/>
      <c r="G4" s="454"/>
      <c r="H4" s="454"/>
      <c r="I4" s="454"/>
      <c r="J4" s="447"/>
      <c r="K4" s="448"/>
    </row>
    <row r="5" spans="1:12" x14ac:dyDescent="0.2">
      <c r="A5" s="61" t="str">
        <f t="shared" si="0"/>
        <v>01</v>
      </c>
      <c r="B5" s="1089"/>
      <c r="C5" s="1089"/>
      <c r="D5" s="1089"/>
      <c r="E5" s="451"/>
      <c r="F5" s="1345"/>
      <c r="G5" s="1335" t="s">
        <v>327</v>
      </c>
      <c r="H5" s="1336" t="str">
        <f>+Index!$E$10</f>
        <v>01</v>
      </c>
      <c r="I5" s="1337"/>
      <c r="J5" s="1337"/>
    </row>
    <row r="6" spans="1:12" x14ac:dyDescent="0.2">
      <c r="A6" s="61" t="str">
        <f t="shared" si="0"/>
        <v>01</v>
      </c>
      <c r="B6" s="1089"/>
      <c r="C6" s="1089"/>
      <c r="D6" s="1089"/>
      <c r="E6" s="1089"/>
      <c r="F6" s="1333"/>
      <c r="G6" s="1335" t="s">
        <v>1154</v>
      </c>
      <c r="H6" s="1338" t="str">
        <f>AgyName</f>
        <v>North Carolina General Assembly</v>
      </c>
      <c r="I6" s="1339"/>
      <c r="J6" s="1339"/>
    </row>
    <row r="7" spans="1:12" x14ac:dyDescent="0.2">
      <c r="A7" s="61" t="str">
        <f t="shared" si="0"/>
        <v>01</v>
      </c>
      <c r="B7" s="2770" t="s">
        <v>3447</v>
      </c>
      <c r="C7" s="2739"/>
      <c r="D7" s="2739"/>
      <c r="E7" s="1334" t="s">
        <v>805</v>
      </c>
      <c r="F7" s="454"/>
      <c r="G7" s="1335" t="s">
        <v>972</v>
      </c>
      <c r="H7" s="1340" t="str">
        <f>CONCATENATE(Index!$E$12," ",Index!$E$14)</f>
        <v xml:space="preserve"> </v>
      </c>
      <c r="I7" s="1370"/>
      <c r="J7" s="1370"/>
    </row>
    <row r="8" spans="1:12" x14ac:dyDescent="0.2">
      <c r="A8" s="61" t="str">
        <f t="shared" si="0"/>
        <v>01</v>
      </c>
      <c r="B8" s="1333"/>
      <c r="C8" s="1333"/>
      <c r="D8" s="1345"/>
      <c r="E8" s="454"/>
      <c r="F8" s="454"/>
      <c r="G8" s="1335" t="s">
        <v>348</v>
      </c>
      <c r="H8" s="1340">
        <f>+Index!$E$13</f>
        <v>0</v>
      </c>
      <c r="I8" s="1370"/>
      <c r="J8" s="1370"/>
    </row>
    <row r="9" spans="1:12" ht="10.35" customHeight="1" thickBot="1" x14ac:dyDescent="0.25">
      <c r="A9" s="61" t="str">
        <f t="shared" si="0"/>
        <v>01</v>
      </c>
      <c r="B9" s="1346"/>
      <c r="C9" s="1346"/>
      <c r="D9" s="1346"/>
      <c r="E9" s="1346"/>
      <c r="F9" s="1346"/>
      <c r="G9" s="1346"/>
      <c r="H9" s="1346"/>
      <c r="I9" s="1346"/>
      <c r="J9" s="1346"/>
    </row>
    <row r="10" spans="1:12" ht="9" customHeight="1" x14ac:dyDescent="0.25">
      <c r="A10" s="61" t="str">
        <f t="shared" si="0"/>
        <v>01</v>
      </c>
      <c r="B10" s="1341"/>
      <c r="C10" s="1341"/>
      <c r="D10" s="1341"/>
      <c r="E10" s="1341"/>
      <c r="F10" s="1341"/>
      <c r="G10" s="1341"/>
      <c r="H10" s="1341"/>
      <c r="I10" s="1341"/>
      <c r="J10" s="1341"/>
    </row>
    <row r="11" spans="1:12" ht="15.75" customHeight="1" x14ac:dyDescent="0.2">
      <c r="B11" s="1204" t="s">
        <v>3825</v>
      </c>
      <c r="C11" s="1204"/>
      <c r="D11" s="1204"/>
      <c r="E11" s="1204"/>
      <c r="F11" s="1204"/>
      <c r="G11" s="1204"/>
      <c r="H11" s="1204"/>
      <c r="I11" s="1204"/>
      <c r="J11" s="1204"/>
      <c r="K11" s="1342"/>
      <c r="L11" s="1306"/>
    </row>
    <row r="12" spans="1:12" ht="12.75" customHeight="1" x14ac:dyDescent="0.2">
      <c r="B12" s="1204" t="s">
        <v>3891</v>
      </c>
      <c r="C12" s="1204"/>
      <c r="D12" s="1204"/>
      <c r="E12" s="1204"/>
      <c r="F12" s="1204"/>
      <c r="G12" s="1204"/>
      <c r="H12" s="1204"/>
      <c r="I12" s="1204"/>
      <c r="J12" s="1204"/>
      <c r="K12" s="1342"/>
      <c r="L12" s="1306"/>
    </row>
    <row r="13" spans="1:12" ht="12.75" customHeight="1" x14ac:dyDescent="0.2">
      <c r="B13" s="2773" t="s">
        <v>3883</v>
      </c>
      <c r="C13" s="2774"/>
      <c r="D13" s="2774"/>
      <c r="E13" s="2774"/>
      <c r="F13" s="2774"/>
      <c r="G13" s="1204"/>
      <c r="H13" s="1204"/>
      <c r="I13" s="1204"/>
      <c r="J13" s="1204"/>
      <c r="K13" s="1342"/>
      <c r="L13" s="1306"/>
    </row>
    <row r="14" spans="1:12" ht="12.75" customHeight="1" x14ac:dyDescent="0.2">
      <c r="B14" s="1426"/>
      <c r="C14" s="1204"/>
      <c r="D14" s="1204"/>
      <c r="E14" s="1204"/>
      <c r="F14" s="1204"/>
      <c r="G14" s="1204"/>
      <c r="H14" s="1204"/>
      <c r="I14" s="1204"/>
      <c r="J14" s="1204"/>
      <c r="K14" s="1342"/>
      <c r="L14" s="1306"/>
    </row>
    <row r="15" spans="1:12" s="63" customFormat="1" ht="12.75" customHeight="1" x14ac:dyDescent="0.25">
      <c r="B15" s="1204" t="s">
        <v>3826</v>
      </c>
      <c r="C15" s="1088"/>
      <c r="D15" s="1089"/>
      <c r="E15" s="1089"/>
      <c r="F15" s="1089"/>
      <c r="G15" s="1089"/>
      <c r="H15" s="1089"/>
      <c r="I15" s="1089"/>
      <c r="J15" s="1089"/>
      <c r="K15" s="61"/>
    </row>
    <row r="16" spans="1:12" s="63" customFormat="1" ht="12.75" customHeight="1" x14ac:dyDescent="0.25">
      <c r="B16" s="1204" t="s">
        <v>3827</v>
      </c>
      <c r="C16" s="1088"/>
      <c r="D16" s="1089"/>
      <c r="E16" s="1089"/>
      <c r="F16" s="1089"/>
      <c r="G16" s="1089"/>
      <c r="H16" s="1089"/>
      <c r="I16" s="1089"/>
      <c r="J16" s="1089"/>
      <c r="K16" s="61"/>
    </row>
    <row r="17" spans="2:11" s="63" customFormat="1" ht="4.3499999999999996" customHeight="1" x14ac:dyDescent="0.25">
      <c r="B17" s="1204"/>
      <c r="C17" s="1088"/>
      <c r="D17" s="1089"/>
      <c r="E17" s="1089"/>
      <c r="F17" s="1089"/>
      <c r="G17" s="1089"/>
      <c r="H17" s="1089"/>
      <c r="I17" s="1089"/>
      <c r="J17" s="1089"/>
      <c r="K17" s="61"/>
    </row>
    <row r="18" spans="2:11" s="63" customFormat="1" ht="12.75" customHeight="1" x14ac:dyDescent="0.25">
      <c r="B18" s="1089"/>
      <c r="C18" s="1204" t="s">
        <v>213</v>
      </c>
      <c r="D18" s="2771" t="s">
        <v>3926</v>
      </c>
      <c r="E18" s="2739"/>
      <c r="F18" s="2739"/>
      <c r="G18" s="2739"/>
      <c r="H18" s="2739"/>
      <c r="I18" s="2739"/>
      <c r="J18" s="2739"/>
      <c r="K18" s="61"/>
    </row>
    <row r="19" spans="2:11" s="63" customFormat="1" ht="12.75" customHeight="1" x14ac:dyDescent="0.25">
      <c r="B19" s="1089"/>
      <c r="C19" s="1204"/>
      <c r="D19" s="2771" t="s">
        <v>3828</v>
      </c>
      <c r="E19" s="2739"/>
      <c r="F19" s="2739"/>
      <c r="G19" s="2739"/>
      <c r="H19" s="2739"/>
      <c r="I19" s="2739"/>
      <c r="J19" s="2739"/>
      <c r="K19" s="61"/>
    </row>
    <row r="20" spans="2:11" s="63" customFormat="1" ht="4.3499999999999996" customHeight="1" x14ac:dyDescent="0.25">
      <c r="B20" s="1089"/>
      <c r="C20" s="1204"/>
      <c r="D20" s="2771"/>
      <c r="E20" s="2739"/>
      <c r="F20" s="2739"/>
      <c r="G20" s="2739"/>
      <c r="H20" s="2739"/>
      <c r="I20" s="2739"/>
      <c r="J20" s="2739"/>
      <c r="K20" s="61"/>
    </row>
    <row r="21" spans="2:11" s="63" customFormat="1" ht="12.75" customHeight="1" x14ac:dyDescent="0.25">
      <c r="B21" s="1089"/>
      <c r="C21" s="1204" t="s">
        <v>214</v>
      </c>
      <c r="D21" s="2771" t="s">
        <v>3829</v>
      </c>
      <c r="E21" s="2739"/>
      <c r="F21" s="2739"/>
      <c r="G21" s="2739"/>
      <c r="H21" s="2739"/>
      <c r="I21" s="2739"/>
      <c r="J21" s="2739"/>
      <c r="K21" s="61"/>
    </row>
    <row r="22" spans="2:11" s="63" customFormat="1" ht="12.75" customHeight="1" x14ac:dyDescent="0.25">
      <c r="B22" s="1089"/>
      <c r="C22" s="1204"/>
      <c r="D22" s="1343" t="s">
        <v>3830</v>
      </c>
      <c r="E22" s="272"/>
      <c r="F22" s="272"/>
      <c r="G22" s="272"/>
      <c r="H22" s="272"/>
      <c r="I22" s="272"/>
      <c r="J22" s="272"/>
      <c r="K22" s="61"/>
    </row>
    <row r="23" spans="2:11" s="63" customFormat="1" ht="4.3499999999999996" customHeight="1" x14ac:dyDescent="0.25">
      <c r="B23" s="1089"/>
      <c r="C23" s="1204"/>
      <c r="D23" s="2771"/>
      <c r="E23" s="2739"/>
      <c r="F23" s="2739"/>
      <c r="G23" s="2739"/>
      <c r="H23" s="2739"/>
      <c r="I23" s="2739"/>
      <c r="J23" s="2739"/>
      <c r="K23" s="61"/>
    </row>
    <row r="24" spans="2:11" s="63" customFormat="1" ht="15.75" x14ac:dyDescent="0.25">
      <c r="B24" s="1089"/>
      <c r="C24" s="1204" t="s">
        <v>143</v>
      </c>
      <c r="D24" s="2739" t="s">
        <v>3884</v>
      </c>
      <c r="E24" s="2739"/>
      <c r="F24" s="2739"/>
      <c r="G24" s="2739"/>
      <c r="H24" s="2739"/>
      <c r="I24" s="2739"/>
      <c r="J24" s="2739"/>
      <c r="K24" s="61"/>
    </row>
    <row r="25" spans="2:11" s="63" customFormat="1" ht="12.75" customHeight="1" x14ac:dyDescent="0.25">
      <c r="B25" s="1089"/>
      <c r="C25" s="1204"/>
      <c r="D25" s="2739" t="s">
        <v>3885</v>
      </c>
      <c r="E25" s="2739"/>
      <c r="F25" s="2739"/>
      <c r="G25" s="2739"/>
      <c r="H25" s="2739"/>
      <c r="I25" s="2739"/>
      <c r="J25" s="2739"/>
      <c r="K25" s="61"/>
    </row>
    <row r="26" spans="2:11" s="63" customFormat="1" ht="12.75" customHeight="1" x14ac:dyDescent="0.25">
      <c r="B26" s="1089"/>
      <c r="C26" s="1204"/>
      <c r="D26" s="272" t="s">
        <v>3886</v>
      </c>
      <c r="E26" s="272"/>
      <c r="F26" s="272"/>
      <c r="G26" s="272"/>
      <c r="H26" s="272"/>
      <c r="I26" s="272"/>
      <c r="J26" s="272"/>
      <c r="K26" s="61"/>
    </row>
    <row r="27" spans="2:11" s="63" customFormat="1" ht="12.75" customHeight="1" x14ac:dyDescent="0.25">
      <c r="B27" s="1088"/>
      <c r="C27" s="1088"/>
      <c r="D27" s="1089"/>
      <c r="E27" s="1089"/>
      <c r="F27" s="1089"/>
      <c r="G27" s="1089"/>
      <c r="H27" s="1089"/>
      <c r="I27" s="1089"/>
      <c r="J27" s="1089"/>
      <c r="K27" s="61"/>
    </row>
    <row r="28" spans="2:11" s="63" customFormat="1" ht="12.75" customHeight="1" x14ac:dyDescent="0.25">
      <c r="B28" s="1204" t="s">
        <v>4694</v>
      </c>
      <c r="C28" s="1088"/>
      <c r="D28" s="1089"/>
      <c r="E28" s="1089"/>
      <c r="F28" s="1089"/>
      <c r="G28" s="1089"/>
      <c r="H28" s="1089"/>
      <c r="I28" s="1089"/>
      <c r="J28" s="1089"/>
      <c r="K28" s="61"/>
    </row>
    <row r="29" spans="2:11" s="63" customFormat="1" ht="12.75" customHeight="1" x14ac:dyDescent="0.25">
      <c r="B29" s="1204" t="s">
        <v>5364</v>
      </c>
      <c r="C29" s="1088"/>
      <c r="D29" s="1089"/>
      <c r="E29" s="1089"/>
      <c r="F29" s="1089"/>
      <c r="G29" s="1089"/>
      <c r="H29" s="1089"/>
      <c r="I29" s="1089"/>
      <c r="J29" s="1089"/>
      <c r="K29" s="61"/>
    </row>
    <row r="30" spans="2:11" s="63" customFormat="1" ht="12.75" customHeight="1" x14ac:dyDescent="0.25">
      <c r="B30" s="1088"/>
      <c r="C30" s="1088"/>
      <c r="D30" s="1089"/>
      <c r="E30" s="1089"/>
      <c r="F30" s="1089"/>
      <c r="G30" s="1089"/>
      <c r="H30" s="1089"/>
      <c r="I30" s="1089"/>
      <c r="J30" s="1089"/>
      <c r="K30" s="61"/>
    </row>
    <row r="31" spans="2:11" s="63" customFormat="1" ht="12.75" customHeight="1" x14ac:dyDescent="0.25">
      <c r="B31" s="1088"/>
      <c r="C31" s="1088"/>
      <c r="D31" s="1090" t="s">
        <v>969</v>
      </c>
      <c r="E31" s="1495"/>
      <c r="F31" s="1420" t="str">
        <f>IF(AND(ISBLANK(E31),ISBLANK(E32))=TRUE,"Answer Missing"," ")</f>
        <v>Answer Missing</v>
      </c>
      <c r="G31" s="1089"/>
      <c r="H31" s="1089"/>
      <c r="I31" s="1089"/>
      <c r="J31" s="1089"/>
      <c r="K31" s="61"/>
    </row>
    <row r="32" spans="2:11" s="63" customFormat="1" ht="12.75" customHeight="1" x14ac:dyDescent="0.25">
      <c r="B32" s="1088"/>
      <c r="C32" s="1088"/>
      <c r="D32" s="1090" t="s">
        <v>970</v>
      </c>
      <c r="E32" s="1495"/>
      <c r="F32" s="1089"/>
      <c r="G32" s="1089"/>
      <c r="H32" s="1089"/>
      <c r="I32" s="1089"/>
      <c r="J32" s="1089"/>
      <c r="K32" s="61"/>
    </row>
    <row r="33" spans="2:12" s="63" customFormat="1" ht="12.75" customHeight="1" x14ac:dyDescent="0.25">
      <c r="B33" s="1088"/>
      <c r="C33" s="1088"/>
      <c r="D33" s="1090"/>
      <c r="E33" s="1492"/>
      <c r="F33" s="1089"/>
      <c r="G33" s="1089"/>
      <c r="H33" s="1089"/>
      <c r="I33" s="1089"/>
      <c r="J33" s="1089"/>
      <c r="K33" s="61"/>
    </row>
    <row r="34" spans="2:12" s="63" customFormat="1" ht="12.75" customHeight="1" x14ac:dyDescent="0.25">
      <c r="B34" s="1089" t="s">
        <v>4695</v>
      </c>
      <c r="C34" s="1088"/>
      <c r="D34" s="1089"/>
      <c r="E34" s="1089"/>
      <c r="F34" s="1089"/>
      <c r="G34" s="1089"/>
      <c r="H34" s="1089"/>
      <c r="I34" s="1089"/>
      <c r="J34" s="1089"/>
      <c r="K34" s="61"/>
    </row>
    <row r="35" spans="2:12" s="63" customFormat="1" ht="12.75" customHeight="1" x14ac:dyDescent="0.25">
      <c r="B35" s="1089" t="s">
        <v>4696</v>
      </c>
      <c r="C35" s="1088"/>
      <c r="D35" s="1089"/>
      <c r="E35" s="1089"/>
      <c r="F35" s="1089"/>
      <c r="G35" s="1089"/>
      <c r="H35" s="1089"/>
      <c r="I35" s="1089"/>
      <c r="J35" s="1089"/>
      <c r="K35" s="61"/>
    </row>
    <row r="36" spans="2:12" s="63" customFormat="1" ht="12.75" customHeight="1" x14ac:dyDescent="0.25">
      <c r="B36" s="1089" t="s">
        <v>3887</v>
      </c>
      <c r="C36" s="1088"/>
      <c r="D36" s="1089"/>
      <c r="E36" s="1089"/>
      <c r="F36" s="1089"/>
      <c r="G36" s="1089"/>
      <c r="H36" s="1089"/>
      <c r="I36" s="1089"/>
      <c r="J36" s="1089"/>
      <c r="K36" s="61"/>
    </row>
    <row r="37" spans="2:12" s="63" customFormat="1" ht="12.75" customHeight="1" x14ac:dyDescent="0.25">
      <c r="B37" s="1088"/>
      <c r="C37" s="1088"/>
      <c r="D37" s="1552"/>
      <c r="E37" s="1493" t="s">
        <v>3888</v>
      </c>
      <c r="F37" s="1089"/>
      <c r="G37" s="1089"/>
      <c r="H37" s="1089"/>
      <c r="I37" s="1089"/>
      <c r="J37" s="1089"/>
      <c r="K37" s="61"/>
    </row>
    <row r="38" spans="2:12" s="63" customFormat="1" ht="12.75" customHeight="1" x14ac:dyDescent="0.25">
      <c r="B38" s="1088"/>
      <c r="C38" s="1088"/>
      <c r="D38" s="1558"/>
      <c r="E38" s="1493" t="s">
        <v>3889</v>
      </c>
      <c r="F38" s="1089"/>
      <c r="G38" s="1089"/>
      <c r="H38" s="1089"/>
      <c r="I38" s="1089"/>
      <c r="J38" s="1089"/>
      <c r="K38" s="61"/>
    </row>
    <row r="39" spans="2:12" s="63" customFormat="1" ht="12.75" customHeight="1" x14ac:dyDescent="0.25">
      <c r="B39" s="1088"/>
      <c r="C39" s="1088"/>
      <c r="D39" s="1558"/>
      <c r="E39" s="1493" t="s">
        <v>3890</v>
      </c>
      <c r="F39" s="1089"/>
      <c r="G39" s="1089"/>
      <c r="H39" s="1089"/>
      <c r="I39" s="1089"/>
      <c r="J39" s="1089"/>
      <c r="K39" s="61"/>
    </row>
    <row r="40" spans="2:12" s="63" customFormat="1" ht="12.75" customHeight="1" x14ac:dyDescent="0.25">
      <c r="B40" s="1088"/>
      <c r="C40" s="1088"/>
      <c r="D40" s="1558"/>
      <c r="E40" s="1493" t="s">
        <v>4697</v>
      </c>
      <c r="F40" s="1089"/>
      <c r="G40" s="1089"/>
      <c r="H40" s="1089"/>
      <c r="I40" s="1089"/>
      <c r="J40" s="1089"/>
      <c r="K40" s="61"/>
    </row>
    <row r="41" spans="2:12" s="63" customFormat="1" ht="12.75" customHeight="1" x14ac:dyDescent="0.25">
      <c r="B41" s="1088"/>
      <c r="C41" s="1088"/>
      <c r="D41" s="1494"/>
      <c r="E41" s="1493"/>
      <c r="F41" s="1089"/>
      <c r="G41" s="1089"/>
      <c r="H41" s="1089"/>
      <c r="I41" s="1089"/>
      <c r="J41" s="1089"/>
      <c r="K41" s="61"/>
    </row>
    <row r="42" spans="2:12" s="63" customFormat="1" ht="12.75" customHeight="1" x14ac:dyDescent="0.25">
      <c r="B42" s="1344" t="s">
        <v>1955</v>
      </c>
      <c r="C42" s="1088"/>
      <c r="D42" s="1089"/>
      <c r="E42" s="1089"/>
      <c r="F42" s="1089"/>
      <c r="G42" s="1089"/>
      <c r="H42" s="1089"/>
      <c r="I42" s="1089"/>
      <c r="J42" s="1089"/>
      <c r="K42" s="61"/>
    </row>
    <row r="43" spans="2:12" ht="12.75" customHeight="1" x14ac:dyDescent="0.2">
      <c r="B43" s="1204" t="s">
        <v>4698</v>
      </c>
      <c r="C43" s="273"/>
      <c r="D43" s="273"/>
      <c r="E43" s="273"/>
      <c r="F43" s="273"/>
      <c r="G43" s="273"/>
      <c r="H43" s="273"/>
      <c r="I43" s="273"/>
      <c r="J43" s="1089"/>
    </row>
    <row r="44" spans="2:12" ht="12.75" customHeight="1" x14ac:dyDescent="0.2">
      <c r="B44" s="1204" t="s">
        <v>4907</v>
      </c>
      <c r="C44" s="273"/>
      <c r="D44" s="273"/>
      <c r="E44" s="273"/>
      <c r="F44" s="273"/>
      <c r="G44" s="273"/>
      <c r="H44" s="273"/>
      <c r="I44" s="273"/>
      <c r="J44" s="1089"/>
    </row>
    <row r="45" spans="2:12" ht="12" customHeight="1" x14ac:dyDescent="0.2">
      <c r="B45" s="1088"/>
      <c r="C45" s="1088"/>
      <c r="D45" s="1089"/>
      <c r="E45" s="1089"/>
      <c r="F45" s="1089"/>
      <c r="G45" s="1089"/>
      <c r="H45" s="1089"/>
      <c r="I45" s="1089"/>
      <c r="J45" s="1089"/>
    </row>
    <row r="46" spans="2:12" ht="5.0999999999999996" customHeight="1" x14ac:dyDescent="0.2">
      <c r="B46" s="1088"/>
      <c r="C46" s="1088"/>
      <c r="D46" s="1089"/>
      <c r="E46" s="1089"/>
      <c r="F46" s="1089"/>
      <c r="G46" s="1089"/>
      <c r="H46" s="1089"/>
      <c r="I46" s="1089"/>
      <c r="J46" s="1089"/>
    </row>
    <row r="47" spans="2:12" ht="15.75" customHeight="1" x14ac:dyDescent="0.2">
      <c r="B47" s="1089"/>
      <c r="C47" s="1089"/>
      <c r="D47" s="1089"/>
      <c r="E47" s="1089"/>
      <c r="F47" s="1089"/>
      <c r="G47" s="1089"/>
      <c r="H47" s="1089"/>
      <c r="I47" s="1089"/>
      <c r="J47" s="1089"/>
    </row>
    <row r="48" spans="2:12" ht="15.75" customHeight="1" x14ac:dyDescent="0.2">
      <c r="B48" s="1089"/>
      <c r="C48" s="1089"/>
      <c r="D48" s="1089"/>
      <c r="E48" s="1089"/>
      <c r="F48" s="1089"/>
      <c r="G48" s="1089"/>
      <c r="H48" s="1089"/>
      <c r="I48" s="1089"/>
      <c r="J48" s="273"/>
      <c r="K48" s="273"/>
      <c r="L48" s="40"/>
    </row>
    <row r="49" spans="2:12" ht="15.75" customHeight="1" x14ac:dyDescent="0.2">
      <c r="B49" s="1089"/>
      <c r="C49" s="1089"/>
      <c r="D49" s="1089"/>
      <c r="E49" s="1089"/>
      <c r="F49" s="1089"/>
      <c r="G49" s="1089"/>
      <c r="H49" s="1089"/>
      <c r="I49" s="1089"/>
      <c r="J49" s="273"/>
      <c r="K49" s="273"/>
      <c r="L49" s="273"/>
    </row>
    <row r="50" spans="2:12" ht="15.75" customHeight="1" x14ac:dyDescent="0.2">
      <c r="B50" s="1088"/>
      <c r="C50" s="1088"/>
      <c r="D50" s="1089"/>
      <c r="E50" s="1089"/>
      <c r="F50" s="1089"/>
      <c r="G50" s="1089"/>
      <c r="H50" s="1089"/>
      <c r="I50" s="1089"/>
      <c r="J50" s="1089"/>
    </row>
    <row r="51" spans="2:12" ht="12" customHeight="1" x14ac:dyDescent="0.2">
      <c r="B51" s="1088"/>
      <c r="C51" s="1088"/>
      <c r="D51" s="1089"/>
      <c r="E51" s="1089"/>
      <c r="F51" s="1089"/>
      <c r="G51" s="1089"/>
      <c r="H51" s="1089"/>
      <c r="I51" s="1089"/>
      <c r="J51" s="1089"/>
    </row>
    <row r="52" spans="2:12" ht="12" customHeight="1" x14ac:dyDescent="0.2">
      <c r="B52" s="1088"/>
      <c r="C52" s="1088"/>
      <c r="D52" s="1089"/>
      <c r="E52" s="1089"/>
      <c r="F52" s="1089"/>
      <c r="G52" s="1089"/>
      <c r="H52" s="1089"/>
      <c r="I52" s="1089"/>
      <c r="J52" s="1089"/>
    </row>
    <row r="53" spans="2:12" ht="12" customHeight="1" x14ac:dyDescent="0.2">
      <c r="B53" s="1088"/>
      <c r="C53" s="1088"/>
      <c r="D53" s="1089"/>
      <c r="E53" s="1089"/>
      <c r="F53" s="1089"/>
      <c r="G53" s="1089"/>
      <c r="H53" s="1089"/>
      <c r="I53" s="1089"/>
      <c r="J53" s="1089"/>
    </row>
    <row r="54" spans="2:12" ht="12" customHeight="1" x14ac:dyDescent="0.2">
      <c r="B54" s="1088"/>
      <c r="C54" s="1088"/>
      <c r="D54" s="1089"/>
      <c r="E54" s="1089"/>
      <c r="F54" s="1089"/>
      <c r="G54" s="1089"/>
      <c r="H54" s="1089"/>
      <c r="I54" s="1089"/>
      <c r="J54" s="1089"/>
    </row>
    <row r="55" spans="2:12" ht="5.0999999999999996" customHeight="1" x14ac:dyDescent="0.2">
      <c r="B55" s="1088"/>
      <c r="C55" s="1088"/>
      <c r="D55" s="1089"/>
      <c r="E55" s="1089"/>
      <c r="F55" s="1089"/>
      <c r="G55" s="1089"/>
      <c r="H55" s="1089"/>
      <c r="I55" s="1089"/>
      <c r="J55" s="1089"/>
    </row>
    <row r="56" spans="2:12" ht="12" customHeight="1" x14ac:dyDescent="0.2">
      <c r="B56" s="1088"/>
      <c r="C56" s="1088"/>
      <c r="D56" s="1089"/>
      <c r="E56" s="1089"/>
      <c r="F56" s="1089"/>
      <c r="G56" s="1089"/>
      <c r="H56" s="1089"/>
      <c r="I56" s="1089"/>
      <c r="J56" s="1089"/>
    </row>
    <row r="57" spans="2:12" ht="12" customHeight="1" x14ac:dyDescent="0.2">
      <c r="B57" s="1088"/>
      <c r="C57" s="1088"/>
      <c r="D57" s="1089"/>
      <c r="E57" s="1089"/>
      <c r="F57" s="1089"/>
      <c r="G57" s="1089"/>
      <c r="H57" s="1089"/>
      <c r="I57" s="1089"/>
      <c r="J57" s="1089"/>
    </row>
    <row r="58" spans="2:12" ht="12" customHeight="1" x14ac:dyDescent="0.2">
      <c r="B58" s="1088"/>
      <c r="C58" s="1088"/>
      <c r="D58" s="1089"/>
      <c r="E58" s="1089"/>
      <c r="F58" s="1089"/>
      <c r="G58" s="1089"/>
      <c r="H58" s="1089"/>
      <c r="I58" s="1089"/>
      <c r="J58" s="1089"/>
    </row>
    <row r="59" spans="2:12" ht="12" customHeight="1" x14ac:dyDescent="0.2">
      <c r="B59" s="1088"/>
      <c r="C59" s="1088"/>
      <c r="D59" s="1089"/>
      <c r="E59" s="1089"/>
      <c r="F59" s="1089"/>
      <c r="G59" s="1089"/>
      <c r="H59" s="1089"/>
      <c r="I59" s="1089"/>
      <c r="J59" s="1089"/>
    </row>
    <row r="60" spans="2:12" ht="12" customHeight="1" x14ac:dyDescent="0.2">
      <c r="B60" s="456"/>
      <c r="C60" s="456"/>
      <c r="D60" s="457"/>
      <c r="E60" s="457"/>
      <c r="F60" s="457"/>
      <c r="G60" s="457"/>
      <c r="H60" s="457"/>
      <c r="I60" s="457"/>
      <c r="J60" s="457"/>
    </row>
    <row r="61" spans="2:12" ht="12" customHeight="1" x14ac:dyDescent="0.2">
      <c r="B61" s="456"/>
      <c r="C61" s="456"/>
      <c r="D61" s="457"/>
      <c r="E61" s="457"/>
      <c r="F61" s="457"/>
      <c r="G61" s="457"/>
      <c r="H61" s="457"/>
      <c r="I61" s="457"/>
      <c r="J61" s="457"/>
    </row>
    <row r="62" spans="2:12" ht="5.0999999999999996" customHeight="1" x14ac:dyDescent="0.2">
      <c r="B62" s="456"/>
      <c r="C62" s="456"/>
      <c r="D62" s="457"/>
      <c r="E62" s="457"/>
      <c r="F62" s="457"/>
      <c r="G62" s="457"/>
      <c r="H62" s="457"/>
      <c r="I62" s="457"/>
      <c r="J62" s="457"/>
    </row>
    <row r="66" spans="1:12" ht="14.1" customHeight="1" x14ac:dyDescent="0.2">
      <c r="B66" s="456"/>
      <c r="C66" s="273"/>
      <c r="D66" s="273"/>
      <c r="E66" s="273"/>
      <c r="F66" s="273"/>
      <c r="G66" s="273"/>
      <c r="H66" s="273"/>
      <c r="I66" s="273"/>
      <c r="J66" s="273"/>
      <c r="K66" s="273"/>
      <c r="L66" s="273"/>
    </row>
    <row r="67" spans="1:12" ht="5.0999999999999996" customHeight="1" x14ac:dyDescent="0.2">
      <c r="B67" s="456"/>
      <c r="C67" s="456"/>
      <c r="D67" s="457"/>
      <c r="E67" s="457"/>
      <c r="F67" s="457"/>
      <c r="G67" s="457"/>
      <c r="H67" s="457"/>
      <c r="I67" s="457"/>
      <c r="J67" s="457"/>
    </row>
    <row r="68" spans="1:12" ht="12" customHeight="1" x14ac:dyDescent="0.2">
      <c r="B68" s="456"/>
      <c r="C68" s="456"/>
      <c r="D68" s="457"/>
      <c r="E68" s="457"/>
      <c r="F68" s="457"/>
      <c r="G68" s="457"/>
      <c r="H68" s="457"/>
      <c r="I68" s="457"/>
      <c r="J68" s="457"/>
    </row>
    <row r="69" spans="1:12" x14ac:dyDescent="0.2">
      <c r="B69" s="456"/>
      <c r="C69" s="456"/>
      <c r="D69" s="457"/>
      <c r="E69" s="457"/>
      <c r="F69" s="457"/>
      <c r="G69" s="457"/>
      <c r="H69" s="457"/>
      <c r="I69" s="457"/>
      <c r="J69" s="457"/>
    </row>
    <row r="70" spans="1:12" x14ac:dyDescent="0.2">
      <c r="B70" s="456"/>
      <c r="C70" s="456"/>
      <c r="D70" s="457"/>
      <c r="E70" s="457"/>
      <c r="F70" s="457"/>
      <c r="G70" s="457"/>
      <c r="H70" s="457"/>
      <c r="I70" s="457"/>
      <c r="J70" s="457"/>
    </row>
    <row r="71" spans="1:12" ht="16.5" customHeight="1" x14ac:dyDescent="0.2">
      <c r="B71" s="456"/>
      <c r="C71" s="456"/>
      <c r="D71" s="457"/>
      <c r="E71" s="457"/>
      <c r="F71" s="457"/>
      <c r="G71" s="457"/>
      <c r="H71" s="457"/>
      <c r="I71" s="457"/>
      <c r="J71" s="457"/>
    </row>
    <row r="72" spans="1:12" ht="5.0999999999999996" customHeight="1" x14ac:dyDescent="0.2">
      <c r="B72" s="456"/>
      <c r="C72" s="456"/>
      <c r="D72" s="457"/>
      <c r="E72" s="457"/>
      <c r="F72" s="457"/>
      <c r="G72" s="457"/>
      <c r="H72" s="457"/>
      <c r="I72" s="457"/>
      <c r="J72" s="457"/>
    </row>
    <row r="73" spans="1:12" x14ac:dyDescent="0.2">
      <c r="B73" s="456"/>
      <c r="C73" s="456"/>
      <c r="D73" s="457"/>
      <c r="E73" s="457"/>
      <c r="F73" s="457"/>
      <c r="G73" s="457"/>
      <c r="H73" s="457"/>
      <c r="I73" s="457"/>
      <c r="J73" s="457"/>
    </row>
    <row r="74" spans="1:12" x14ac:dyDescent="0.2">
      <c r="B74" s="456"/>
      <c r="C74" s="456"/>
      <c r="D74" s="457"/>
      <c r="E74" s="457"/>
      <c r="F74" s="457"/>
      <c r="G74" s="457"/>
      <c r="H74" s="457"/>
      <c r="I74" s="457"/>
      <c r="J74" s="457"/>
    </row>
    <row r="75" spans="1:12" x14ac:dyDescent="0.2">
      <c r="B75" s="456"/>
      <c r="C75" s="456"/>
      <c r="D75" s="457"/>
      <c r="E75" s="457"/>
      <c r="F75" s="457"/>
      <c r="G75" s="457"/>
      <c r="H75" s="457"/>
      <c r="I75" s="457"/>
      <c r="J75" s="457"/>
    </row>
    <row r="76" spans="1:12" ht="16.5" customHeight="1" x14ac:dyDescent="0.2">
      <c r="B76" s="456"/>
      <c r="C76" s="456"/>
      <c r="D76" s="457"/>
      <c r="E76" s="457"/>
      <c r="F76" s="457"/>
      <c r="G76" s="457"/>
      <c r="H76" s="457"/>
      <c r="I76" s="457"/>
      <c r="J76" s="457"/>
    </row>
    <row r="77" spans="1:12" ht="11.1" customHeight="1" x14ac:dyDescent="0.2">
      <c r="B77" s="456"/>
      <c r="C77" s="456"/>
      <c r="D77" s="457"/>
      <c r="E77" s="457"/>
      <c r="F77" s="457"/>
      <c r="G77" s="457"/>
      <c r="H77" s="457"/>
      <c r="I77" s="457"/>
      <c r="J77" s="457"/>
    </row>
    <row r="78" spans="1:12" x14ac:dyDescent="0.2">
      <c r="A78" s="61" t="str">
        <f>AgyIdx</f>
        <v>01</v>
      </c>
      <c r="B78" s="456"/>
      <c r="C78" s="456"/>
      <c r="D78" s="457"/>
      <c r="E78" s="457"/>
      <c r="F78" s="457"/>
      <c r="G78" s="457"/>
      <c r="H78" s="457"/>
      <c r="I78" s="457"/>
      <c r="J78" s="457"/>
    </row>
    <row r="79" spans="1:12" ht="15" x14ac:dyDescent="0.2">
      <c r="A79" s="443" t="str">
        <f ca="1">MID(CELL("filename",A1),FIND("]",CELL("filename",A1))+1,256)</f>
        <v>120</v>
      </c>
      <c r="B79" s="456" t="str">
        <f t="shared" ref="B79:B88" ca="1" si="1">IF(ISNA(INDEX(ErrorTable,MATCH($A$79&amp;$A80&amp;FALSE,ErrorKey,0),6)),"",INDEX(ErrorTable,MATCH($A$79&amp;$A80&amp;FALSE,ErrorKey,0),6))</f>
        <v/>
      </c>
      <c r="C79" s="456"/>
      <c r="D79" s="457"/>
      <c r="E79" s="457"/>
      <c r="F79" s="457"/>
      <c r="G79" s="457"/>
      <c r="H79" s="457"/>
      <c r="I79" s="457"/>
      <c r="J79" s="457"/>
    </row>
    <row r="80" spans="1:12" ht="15" x14ac:dyDescent="0.2">
      <c r="A80" s="443" t="s">
        <v>446</v>
      </c>
      <c r="B80" s="456" t="str">
        <f t="shared" ca="1" si="1"/>
        <v/>
      </c>
      <c r="C80" s="456"/>
      <c r="D80" s="457"/>
      <c r="E80" s="457"/>
      <c r="F80" s="457"/>
      <c r="G80" s="457"/>
      <c r="H80" s="457"/>
      <c r="I80" s="457"/>
      <c r="J80" s="457"/>
    </row>
    <row r="81" spans="1:10" ht="15" x14ac:dyDescent="0.2">
      <c r="A81" s="443" t="s">
        <v>447</v>
      </c>
      <c r="B81" s="456" t="str">
        <f t="shared" ca="1" si="1"/>
        <v/>
      </c>
      <c r="C81" s="456"/>
      <c r="D81" s="457"/>
      <c r="E81" s="457"/>
      <c r="F81" s="457"/>
      <c r="G81" s="457"/>
      <c r="H81" s="457"/>
      <c r="I81" s="457"/>
      <c r="J81" s="457"/>
    </row>
    <row r="82" spans="1:10" ht="15" x14ac:dyDescent="0.2">
      <c r="A82" s="443" t="s">
        <v>448</v>
      </c>
      <c r="B82" s="443" t="str">
        <f t="shared" ca="1" si="1"/>
        <v/>
      </c>
      <c r="C82" s="456"/>
      <c r="D82" s="457"/>
      <c r="E82" s="457"/>
      <c r="F82" s="457"/>
      <c r="G82" s="457"/>
      <c r="H82" s="457"/>
      <c r="I82" s="457"/>
      <c r="J82" s="457"/>
    </row>
    <row r="83" spans="1:10" ht="15" x14ac:dyDescent="0.2">
      <c r="A83" s="443" t="s">
        <v>450</v>
      </c>
      <c r="B83" s="443" t="str">
        <f t="shared" ca="1" si="1"/>
        <v/>
      </c>
      <c r="C83" s="443"/>
    </row>
    <row r="84" spans="1:10" ht="15" x14ac:dyDescent="0.2">
      <c r="A84" s="443" t="s">
        <v>451</v>
      </c>
      <c r="B84" s="443" t="str">
        <f t="shared" ca="1" si="1"/>
        <v/>
      </c>
      <c r="C84" s="443"/>
    </row>
    <row r="85" spans="1:10" ht="15" x14ac:dyDescent="0.2">
      <c r="A85" s="443" t="s">
        <v>452</v>
      </c>
      <c r="B85" s="443" t="str">
        <f t="shared" ca="1" si="1"/>
        <v/>
      </c>
      <c r="C85" s="443"/>
    </row>
    <row r="86" spans="1:10" ht="15" x14ac:dyDescent="0.2">
      <c r="A86" s="443" t="s">
        <v>453</v>
      </c>
      <c r="B86" s="443" t="str">
        <f t="shared" ca="1" si="1"/>
        <v/>
      </c>
      <c r="C86" s="443"/>
    </row>
    <row r="87" spans="1:10" ht="15" x14ac:dyDescent="0.2">
      <c r="A87" s="443" t="s">
        <v>454</v>
      </c>
      <c r="B87" s="443" t="str">
        <f t="shared" ca="1" si="1"/>
        <v/>
      </c>
      <c r="C87" s="443"/>
    </row>
    <row r="88" spans="1:10" ht="15" x14ac:dyDescent="0.2">
      <c r="A88" s="443" t="s">
        <v>455</v>
      </c>
      <c r="B88" s="443" t="str">
        <f t="shared" ca="1" si="1"/>
        <v/>
      </c>
      <c r="C88" s="443"/>
    </row>
    <row r="89" spans="1:10" ht="15" x14ac:dyDescent="0.2">
      <c r="A89" s="443" t="s">
        <v>456</v>
      </c>
      <c r="C89" s="443"/>
    </row>
  </sheetData>
  <sheetProtection algorithmName="SHA-512" hashValue="9lDoY+N3DE9GjyKKze+tsaNiSjfs5c+XosEMVRw0vBc5NpL2vtnjUE7MbV86xeCmzehgCoPt02r5yiBEPPObkA==" saltValue="i1Ou/hSaSjvUyaw2KrLk5g==" spinCount="100000" sheet="1" objects="1" scenarios="1" autoFilter="0"/>
  <mergeCells count="13">
    <mergeCell ref="K1:K3"/>
    <mergeCell ref="B2:J2"/>
    <mergeCell ref="B3:J3"/>
    <mergeCell ref="B7:D7"/>
    <mergeCell ref="D18:J18"/>
    <mergeCell ref="B13:F13"/>
    <mergeCell ref="D25:J25"/>
    <mergeCell ref="B1:J1"/>
    <mergeCell ref="D19:J19"/>
    <mergeCell ref="D23:J23"/>
    <mergeCell ref="D24:J24"/>
    <mergeCell ref="D20:J20"/>
    <mergeCell ref="D21:J21"/>
  </mergeCells>
  <conditionalFormatting sqref="K1:K3">
    <cfRule type="cellIs" dxfId="171" priority="2" stopIfTrue="1" operator="equal">
      <formula>"na"</formula>
    </cfRule>
  </conditionalFormatting>
  <conditionalFormatting sqref="F31">
    <cfRule type="containsText" dxfId="170" priority="1" stopIfTrue="1" operator="containsText" text="Answer Missing">
      <formula>NOT(ISERROR(SEARCH("Answer Missing",F31)))</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5" right="0.5" top="0.5" bottom="0.5" header="0.43" footer="0.25"/>
  <pageSetup orientation="portrait" r:id="rId3"/>
  <headerFooter alignWithMargins="0">
    <oddFooter>&amp;R&amp;A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pageSetUpPr fitToPage="1"/>
  </sheetPr>
  <dimension ref="A1:U46"/>
  <sheetViews>
    <sheetView showGridLines="0" topLeftCell="B1" zoomScaleNormal="100" workbookViewId="0">
      <selection activeCell="B1" sqref="B1:R1"/>
    </sheetView>
  </sheetViews>
  <sheetFormatPr defaultColWidth="9.42578125" defaultRowHeight="12.75" x14ac:dyDescent="0.2"/>
  <cols>
    <col min="1" max="1" width="6.5703125" style="8" hidden="1" customWidth="1"/>
    <col min="2" max="2" width="6.5703125" style="8" customWidth="1"/>
    <col min="3" max="3" width="1.5703125" style="8" customWidth="1"/>
    <col min="4" max="4" width="6.42578125" style="8" customWidth="1"/>
    <col min="5" max="5" width="7.5703125" style="8" customWidth="1"/>
    <col min="6" max="6" width="1.5703125" style="8" customWidth="1"/>
    <col min="7" max="7" width="4.5703125" style="8" customWidth="1"/>
    <col min="8" max="8" width="0.5703125" style="8" customWidth="1"/>
    <col min="9" max="9" width="3.5703125" style="8" customWidth="1"/>
    <col min="10" max="10" width="1.42578125" style="8" customWidth="1"/>
    <col min="11" max="11" width="13.42578125" style="8" customWidth="1"/>
    <col min="12" max="12" width="2.5703125" style="8" customWidth="1"/>
    <col min="13" max="13" width="11.5703125" style="8" customWidth="1"/>
    <col min="14" max="14" width="1.42578125" style="8" customWidth="1"/>
    <col min="15" max="15" width="8.42578125" style="8" customWidth="1"/>
    <col min="16" max="16" width="1.42578125" style="8" customWidth="1"/>
    <col min="17" max="17" width="15.42578125" style="8" customWidth="1"/>
    <col min="18" max="18" width="0.5703125" style="8" customWidth="1"/>
    <col min="19" max="19" width="7.5703125" style="8" bestFit="1"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25.15" customHeight="1" x14ac:dyDescent="0.25">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829" t="str">
        <f>IF(Index!$B$98="na","NA","")</f>
        <v/>
      </c>
      <c r="U1" s="2652"/>
    </row>
    <row r="2" spans="1:21" ht="15" customHeight="1" x14ac:dyDescent="0.3">
      <c r="B2" s="3283" t="str">
        <f>+Index!$A$2</f>
        <v>2022 ACFR Worksheets</v>
      </c>
      <c r="C2" s="3283"/>
      <c r="D2" s="3283"/>
      <c r="E2" s="3283"/>
      <c r="F2" s="3283"/>
      <c r="G2" s="3283"/>
      <c r="H2" s="3283"/>
      <c r="I2" s="3283"/>
      <c r="J2" s="3283"/>
      <c r="K2" s="3283"/>
      <c r="L2" s="3283"/>
      <c r="M2" s="3283"/>
      <c r="N2" s="3283"/>
      <c r="O2" s="3283"/>
      <c r="P2" s="3283"/>
      <c r="Q2" s="3283"/>
      <c r="R2" s="3283"/>
      <c r="S2" s="2829"/>
      <c r="U2" s="2652"/>
    </row>
    <row r="3" spans="1:21" ht="15" customHeight="1" x14ac:dyDescent="0.3">
      <c r="B3" s="3283" t="s">
        <v>1075</v>
      </c>
      <c r="C3" s="3283"/>
      <c r="D3" s="3283"/>
      <c r="E3" s="3283"/>
      <c r="F3" s="3283"/>
      <c r="G3" s="3283"/>
      <c r="H3" s="3283"/>
      <c r="I3" s="3283"/>
      <c r="J3" s="3283"/>
      <c r="K3" s="3283"/>
      <c r="L3" s="3283"/>
      <c r="M3" s="3283"/>
      <c r="N3" s="3283"/>
      <c r="O3" s="3283"/>
      <c r="P3" s="3283"/>
      <c r="Q3" s="3283"/>
      <c r="R3" s="3283"/>
      <c r="S3" s="2829"/>
      <c r="U3" s="2652"/>
    </row>
    <row r="4" spans="1:21" ht="15" customHeight="1" x14ac:dyDescent="0.3">
      <c r="B4" s="3283" t="s">
        <v>4369</v>
      </c>
      <c r="C4" s="3283"/>
      <c r="D4" s="3283"/>
      <c r="E4" s="3283"/>
      <c r="F4" s="3283"/>
      <c r="G4" s="3283"/>
      <c r="H4" s="3283"/>
      <c r="I4" s="3283"/>
      <c r="J4" s="3283"/>
      <c r="K4" s="3283"/>
      <c r="L4" s="3283"/>
      <c r="M4" s="3283"/>
      <c r="N4" s="3283"/>
      <c r="O4" s="3283"/>
      <c r="P4" s="3283"/>
      <c r="Q4" s="3283"/>
      <c r="R4" s="3283"/>
    </row>
    <row r="5" spans="1:21" ht="15" customHeight="1" x14ac:dyDescent="0.3">
      <c r="B5" s="3284" t="s">
        <v>3945</v>
      </c>
      <c r="C5" s="3284"/>
      <c r="D5" s="3284"/>
      <c r="E5" s="3284"/>
      <c r="F5" s="3284"/>
      <c r="G5" s="3284"/>
      <c r="H5" s="3284"/>
      <c r="I5" s="3284"/>
      <c r="J5" s="3284"/>
      <c r="K5" s="3284"/>
      <c r="L5" s="3284"/>
      <c r="M5" s="3284"/>
      <c r="N5" s="3284"/>
      <c r="O5" s="3284"/>
      <c r="P5" s="3284"/>
      <c r="Q5" s="3284"/>
      <c r="R5" s="1554"/>
    </row>
    <row r="6" spans="1:21" ht="15" customHeight="1" x14ac:dyDescent="0.2">
      <c r="M6" s="430" t="s">
        <v>137</v>
      </c>
    </row>
    <row r="7" spans="1:21" ht="15" customHeight="1" x14ac:dyDescent="0.2">
      <c r="E7" s="151"/>
      <c r="L7" s="9" t="s">
        <v>327</v>
      </c>
      <c r="M7" s="3244" t="str">
        <f>+Index!$E$10</f>
        <v>01</v>
      </c>
      <c r="N7" s="3244"/>
      <c r="O7" s="3244"/>
      <c r="P7" s="3244"/>
      <c r="Q7" s="3244"/>
    </row>
    <row r="8" spans="1:21" ht="15" customHeight="1" x14ac:dyDescent="0.2">
      <c r="L8" s="9" t="s">
        <v>1154</v>
      </c>
      <c r="M8" s="3244" t="str">
        <f>+Index!$E$11</f>
        <v>North Carolina General Assembly</v>
      </c>
      <c r="N8" s="3244"/>
      <c r="O8" s="3244"/>
      <c r="P8" s="3244"/>
      <c r="Q8" s="3244"/>
    </row>
    <row r="9" spans="1:21" ht="15" customHeight="1" x14ac:dyDescent="0.2">
      <c r="B9" s="8" t="s">
        <v>477</v>
      </c>
      <c r="E9" s="3245" t="s">
        <v>971</v>
      </c>
      <c r="F9" s="3245"/>
      <c r="G9" s="3245"/>
      <c r="H9" s="296"/>
      <c r="I9" s="296"/>
      <c r="L9" s="9" t="s">
        <v>972</v>
      </c>
      <c r="M9" s="3248" t="str">
        <f>CONCATENATE(Index!$E$12," ",Index!$E$14)</f>
        <v xml:space="preserve"> </v>
      </c>
      <c r="N9" s="3248"/>
      <c r="O9" s="3248"/>
      <c r="P9" s="3248"/>
      <c r="Q9" s="3248"/>
    </row>
    <row r="10" spans="1:21" ht="15" customHeight="1" x14ac:dyDescent="0.2">
      <c r="E10" s="776"/>
      <c r="F10" s="776"/>
      <c r="G10" s="776"/>
      <c r="H10" s="296"/>
      <c r="I10" s="296"/>
      <c r="L10" s="9" t="s">
        <v>348</v>
      </c>
      <c r="M10" s="3249">
        <f>+Index!$E$13</f>
        <v>0</v>
      </c>
      <c r="N10" s="3249"/>
      <c r="O10" s="3249"/>
      <c r="P10" s="3249"/>
      <c r="Q10" s="3249"/>
    </row>
    <row r="11" spans="1:21" ht="10.35" customHeight="1" thickBot="1" x14ac:dyDescent="0.25">
      <c r="B11" s="148"/>
      <c r="C11" s="148"/>
      <c r="D11" s="148"/>
      <c r="E11" s="148"/>
      <c r="F11" s="148"/>
      <c r="G11" s="148"/>
      <c r="H11" s="148"/>
      <c r="I11" s="148"/>
      <c r="J11" s="148"/>
      <c r="K11" s="148"/>
      <c r="L11" s="148"/>
      <c r="M11" s="148"/>
      <c r="N11" s="148"/>
      <c r="O11" s="148"/>
      <c r="P11" s="148"/>
      <c r="Q11" s="148"/>
    </row>
    <row r="12" spans="1:21" ht="3" customHeight="1" x14ac:dyDescent="0.2">
      <c r="A12" s="8" t="str">
        <f>AgyIdx</f>
        <v>01</v>
      </c>
    </row>
    <row r="14" spans="1:21" x14ac:dyDescent="0.2">
      <c r="B14" s="8" t="s">
        <v>3590</v>
      </c>
    </row>
    <row r="15" spans="1:21" x14ac:dyDescent="0.2">
      <c r="B15" s="8" t="s">
        <v>4766</v>
      </c>
    </row>
    <row r="17" spans="1:17" x14ac:dyDescent="0.2">
      <c r="B17" s="346" t="s">
        <v>4089</v>
      </c>
    </row>
    <row r="18" spans="1:17" x14ac:dyDescent="0.2">
      <c r="B18" s="346" t="s">
        <v>4090</v>
      </c>
    </row>
    <row r="19" spans="1:17" ht="9" customHeight="1" x14ac:dyDescent="0.2"/>
    <row r="20" spans="1:17" x14ac:dyDescent="0.2">
      <c r="B20" s="3290" t="s">
        <v>1820</v>
      </c>
      <c r="C20" s="3291"/>
      <c r="D20" s="3291"/>
      <c r="E20" s="3291"/>
      <c r="F20" s="3291"/>
      <c r="G20" s="3291"/>
      <c r="H20" s="3291"/>
      <c r="I20" s="3291"/>
      <c r="J20" s="3291"/>
      <c r="K20" s="3291"/>
      <c r="L20" s="3291"/>
      <c r="M20" s="3291"/>
      <c r="N20" s="3291"/>
      <c r="O20" s="3291"/>
      <c r="P20" s="3291"/>
      <c r="Q20" s="3291"/>
    </row>
    <row r="21" spans="1:17" ht="15.75" customHeight="1" x14ac:dyDescent="0.2">
      <c r="Q21" s="1138" t="s">
        <v>1740</v>
      </c>
    </row>
    <row r="22" spans="1:17" x14ac:dyDescent="0.2">
      <c r="B22" s="3287" t="s">
        <v>1721</v>
      </c>
      <c r="C22" s="2894"/>
      <c r="D22" s="2894"/>
      <c r="E22" s="2894"/>
      <c r="F22" s="2894"/>
      <c r="G22" s="2894"/>
      <c r="H22" s="2894"/>
      <c r="I22" s="2894"/>
      <c r="K22" s="3287" t="s">
        <v>1722</v>
      </c>
      <c r="L22" s="2894"/>
      <c r="M22" s="2894"/>
      <c r="N22" s="2894"/>
      <c r="O22" s="2894"/>
      <c r="Q22" s="1139" t="s">
        <v>1741</v>
      </c>
    </row>
    <row r="23" spans="1:17" ht="18.75" customHeight="1" x14ac:dyDescent="0.2">
      <c r="A23" s="8" t="str">
        <f t="shared" ref="A23:A28" si="0">AgyIdx</f>
        <v>01</v>
      </c>
      <c r="B23" s="3288"/>
      <c r="C23" s="3289"/>
      <c r="D23" s="3289"/>
      <c r="E23" s="3289"/>
      <c r="F23" s="3289"/>
      <c r="G23" s="3289"/>
      <c r="H23" s="3289"/>
      <c r="I23" s="3289"/>
      <c r="K23" s="3285"/>
      <c r="L23" s="3286"/>
      <c r="M23" s="3286"/>
      <c r="N23" s="3286"/>
      <c r="O23" s="3286"/>
      <c r="Q23" s="1194"/>
    </row>
    <row r="24" spans="1:17" ht="15.75" customHeight="1" x14ac:dyDescent="0.2">
      <c r="A24" s="8" t="str">
        <f t="shared" si="0"/>
        <v>01</v>
      </c>
      <c r="B24" s="3288"/>
      <c r="C24" s="3289"/>
      <c r="D24" s="3289"/>
      <c r="E24" s="3289"/>
      <c r="F24" s="3289"/>
      <c r="G24" s="3289"/>
      <c r="H24" s="3289"/>
      <c r="I24" s="3289"/>
      <c r="K24" s="3285"/>
      <c r="L24" s="3286"/>
      <c r="M24" s="3286"/>
      <c r="N24" s="3286"/>
      <c r="O24" s="3286"/>
      <c r="Q24" s="1194"/>
    </row>
    <row r="25" spans="1:17" ht="15.75" customHeight="1" x14ac:dyDescent="0.2">
      <c r="A25" s="8" t="str">
        <f t="shared" si="0"/>
        <v>01</v>
      </c>
      <c r="B25" s="3288"/>
      <c r="C25" s="3289"/>
      <c r="D25" s="3289"/>
      <c r="E25" s="3289"/>
      <c r="F25" s="3289"/>
      <c r="G25" s="3289"/>
      <c r="H25" s="3289"/>
      <c r="I25" s="3289"/>
      <c r="K25" s="3285"/>
      <c r="L25" s="3286"/>
      <c r="M25" s="3286"/>
      <c r="N25" s="3286"/>
      <c r="O25" s="3286"/>
      <c r="Q25" s="1194"/>
    </row>
    <row r="26" spans="1:17" ht="15.75" customHeight="1" x14ac:dyDescent="0.2">
      <c r="A26" s="8" t="str">
        <f t="shared" si="0"/>
        <v>01</v>
      </c>
      <c r="B26" s="3288"/>
      <c r="C26" s="2817"/>
      <c r="D26" s="2817"/>
      <c r="E26" s="2817"/>
      <c r="F26" s="2817"/>
      <c r="G26" s="2817"/>
      <c r="H26" s="2817"/>
      <c r="I26" s="2817"/>
      <c r="K26" s="3285"/>
      <c r="L26" s="2817"/>
      <c r="M26" s="2817"/>
      <c r="N26" s="2817"/>
      <c r="O26" s="2817"/>
      <c r="Q26" s="1194"/>
    </row>
    <row r="27" spans="1:17" ht="15.75" customHeight="1" x14ac:dyDescent="0.2">
      <c r="A27" s="8" t="str">
        <f t="shared" si="0"/>
        <v>01</v>
      </c>
      <c r="B27" s="3288"/>
      <c r="C27" s="2817"/>
      <c r="D27" s="2817"/>
      <c r="E27" s="2817"/>
      <c r="F27" s="2817"/>
      <c r="G27" s="2817"/>
      <c r="H27" s="2817"/>
      <c r="I27" s="2817"/>
      <c r="K27" s="3285"/>
      <c r="L27" s="2817"/>
      <c r="M27" s="2817"/>
      <c r="N27" s="2817"/>
      <c r="O27" s="2817"/>
      <c r="Q27" s="1194"/>
    </row>
    <row r="28" spans="1:17" ht="15.75" customHeight="1" x14ac:dyDescent="0.2">
      <c r="A28" s="8" t="str">
        <f t="shared" si="0"/>
        <v>01</v>
      </c>
      <c r="B28" s="3288"/>
      <c r="C28" s="3289"/>
      <c r="D28" s="3289"/>
      <c r="E28" s="3289"/>
      <c r="F28" s="3289"/>
      <c r="G28" s="3289"/>
      <c r="H28" s="3289"/>
      <c r="I28" s="3289"/>
      <c r="K28" s="3285"/>
      <c r="L28" s="3286"/>
      <c r="M28" s="3286"/>
      <c r="N28" s="3286"/>
      <c r="O28" s="3286"/>
      <c r="Q28" s="1194"/>
    </row>
    <row r="29" spans="1:17" ht="15.75" customHeight="1" x14ac:dyDescent="0.2"/>
    <row r="30" spans="1:17" x14ac:dyDescent="0.2">
      <c r="B30" s="3290" t="s">
        <v>1821</v>
      </c>
      <c r="C30" s="3291"/>
      <c r="D30" s="3291"/>
      <c r="E30" s="3291"/>
      <c r="F30" s="3291"/>
      <c r="G30" s="3291"/>
      <c r="H30" s="3291"/>
      <c r="I30" s="3291"/>
      <c r="J30" s="3291"/>
      <c r="K30" s="3291"/>
      <c r="L30" s="3291"/>
      <c r="M30" s="3291"/>
      <c r="N30" s="3291"/>
      <c r="O30" s="3291"/>
      <c r="P30" s="3291"/>
      <c r="Q30" s="3291"/>
    </row>
    <row r="31" spans="1:17" ht="15.75" customHeight="1" x14ac:dyDescent="0.2">
      <c r="Q31" s="1138" t="s">
        <v>1740</v>
      </c>
    </row>
    <row r="32" spans="1:17" x14ac:dyDescent="0.2">
      <c r="B32" s="3287" t="s">
        <v>1721</v>
      </c>
      <c r="C32" s="2894"/>
      <c r="D32" s="2894"/>
      <c r="E32" s="2894"/>
      <c r="F32" s="2894"/>
      <c r="G32" s="2894"/>
      <c r="H32" s="2894"/>
      <c r="I32" s="2894"/>
      <c r="K32" s="3287" t="s">
        <v>1722</v>
      </c>
      <c r="L32" s="2894"/>
      <c r="M32" s="2894"/>
      <c r="N32" s="2894"/>
      <c r="O32" s="2894"/>
      <c r="Q32" s="1139" t="s">
        <v>1741</v>
      </c>
    </row>
    <row r="33" spans="1:17" ht="18.75" customHeight="1" x14ac:dyDescent="0.2">
      <c r="A33" s="8" t="str">
        <f>AgyIdx</f>
        <v>01</v>
      </c>
      <c r="B33" s="3288"/>
      <c r="C33" s="3289"/>
      <c r="D33" s="3289"/>
      <c r="E33" s="3289"/>
      <c r="F33" s="3289"/>
      <c r="G33" s="3289"/>
      <c r="H33" s="3289"/>
      <c r="I33" s="3289"/>
      <c r="K33" s="3285"/>
      <c r="L33" s="3286"/>
      <c r="M33" s="3286"/>
      <c r="N33" s="3286"/>
      <c r="O33" s="3286"/>
      <c r="Q33" s="1194"/>
    </row>
    <row r="34" spans="1:17" ht="15.75" customHeight="1" x14ac:dyDescent="0.2">
      <c r="A34" s="8" t="str">
        <f>AgyIdx</f>
        <v>01</v>
      </c>
      <c r="B34" s="3288"/>
      <c r="C34" s="3289"/>
      <c r="D34" s="3289"/>
      <c r="E34" s="3289"/>
      <c r="F34" s="3289"/>
      <c r="G34" s="3289"/>
      <c r="H34" s="3289"/>
      <c r="I34" s="3289"/>
      <c r="K34" s="3285"/>
      <c r="L34" s="3286"/>
      <c r="M34" s="3286"/>
      <c r="N34" s="3286"/>
      <c r="O34" s="3286"/>
      <c r="Q34" s="1194"/>
    </row>
    <row r="35" spans="1:17" ht="15.75" customHeight="1" x14ac:dyDescent="0.2">
      <c r="A35" s="8" t="str">
        <f>AgyIdx</f>
        <v>01</v>
      </c>
      <c r="B35" s="3288"/>
      <c r="C35" s="3292"/>
      <c r="D35" s="3292"/>
      <c r="E35" s="3292"/>
      <c r="F35" s="3292"/>
      <c r="G35" s="3292"/>
      <c r="H35" s="3292"/>
      <c r="I35" s="3292"/>
      <c r="K35" s="3285"/>
      <c r="L35" s="3292"/>
      <c r="M35" s="3292"/>
      <c r="N35" s="3292"/>
      <c r="O35" s="3292"/>
      <c r="Q35" s="1194"/>
    </row>
    <row r="36" spans="1:17" ht="15.75" customHeight="1" x14ac:dyDescent="0.2">
      <c r="A36" s="8" t="str">
        <f>AgyIdx</f>
        <v>01</v>
      </c>
      <c r="B36" s="3288"/>
      <c r="C36" s="2817"/>
      <c r="D36" s="2817"/>
      <c r="E36" s="2817"/>
      <c r="F36" s="2817"/>
      <c r="G36" s="2817"/>
      <c r="H36" s="2817"/>
      <c r="I36" s="2817"/>
      <c r="K36" s="3285"/>
      <c r="L36" s="2817"/>
      <c r="M36" s="2817"/>
      <c r="N36" s="2817"/>
      <c r="O36" s="2817"/>
      <c r="Q36" s="1194"/>
    </row>
    <row r="37" spans="1:17" ht="15.75" customHeight="1" x14ac:dyDescent="0.2">
      <c r="A37" s="8" t="str">
        <f>AgyIdx</f>
        <v>01</v>
      </c>
      <c r="B37" s="3288"/>
      <c r="C37" s="2817"/>
      <c r="D37" s="2817"/>
      <c r="E37" s="2817"/>
      <c r="F37" s="2817"/>
      <c r="G37" s="2817"/>
      <c r="H37" s="2817"/>
      <c r="I37" s="2817"/>
      <c r="K37" s="3285"/>
      <c r="L37" s="2817"/>
      <c r="M37" s="2817"/>
      <c r="N37" s="2817"/>
      <c r="O37" s="2817"/>
      <c r="Q37" s="1194"/>
    </row>
    <row r="38" spans="1:17" ht="15.75" customHeight="1" x14ac:dyDescent="0.2"/>
    <row r="39" spans="1:17" x14ac:dyDescent="0.2">
      <c r="B39" s="3290" t="s">
        <v>1811</v>
      </c>
      <c r="C39" s="3291"/>
      <c r="D39" s="3291"/>
      <c r="E39" s="3291"/>
      <c r="F39" s="3291"/>
      <c r="G39" s="3291"/>
      <c r="H39" s="3291"/>
      <c r="I39" s="3291"/>
      <c r="J39" s="3291"/>
      <c r="K39" s="3291"/>
      <c r="L39" s="3291"/>
      <c r="M39" s="3291"/>
      <c r="N39" s="3291"/>
      <c r="O39" s="3291"/>
      <c r="P39" s="3291"/>
      <c r="Q39" s="3291"/>
    </row>
    <row r="40" spans="1:17" ht="15.75" customHeight="1" x14ac:dyDescent="0.2">
      <c r="Q40" s="1138" t="s">
        <v>1740</v>
      </c>
    </row>
    <row r="41" spans="1:17" x14ac:dyDescent="0.2">
      <c r="B41" s="3287" t="s">
        <v>1721</v>
      </c>
      <c r="C41" s="2894"/>
      <c r="D41" s="2894"/>
      <c r="E41" s="2894"/>
      <c r="F41" s="2894"/>
      <c r="G41" s="2894"/>
      <c r="H41" s="2894"/>
      <c r="I41" s="2894"/>
      <c r="K41" s="3287" t="s">
        <v>1722</v>
      </c>
      <c r="L41" s="2894"/>
      <c r="M41" s="2894"/>
      <c r="N41" s="2894"/>
      <c r="O41" s="2894"/>
      <c r="Q41" s="1139" t="s">
        <v>1741</v>
      </c>
    </row>
    <row r="42" spans="1:17" ht="18.75" customHeight="1" x14ac:dyDescent="0.2">
      <c r="A42" s="8" t="str">
        <f>AgyIdx</f>
        <v>01</v>
      </c>
      <c r="B42" s="3288"/>
      <c r="C42" s="3289"/>
      <c r="D42" s="3289"/>
      <c r="E42" s="3289"/>
      <c r="F42" s="3289"/>
      <c r="G42" s="3289"/>
      <c r="H42" s="3289"/>
      <c r="I42" s="3289"/>
      <c r="K42" s="3285"/>
      <c r="L42" s="3286"/>
      <c r="M42" s="3286"/>
      <c r="N42" s="3286"/>
      <c r="O42" s="3286"/>
      <c r="Q42" s="1194"/>
    </row>
    <row r="43" spans="1:17" ht="15.75" customHeight="1" x14ac:dyDescent="0.2">
      <c r="A43" s="8" t="str">
        <f>AgyIdx</f>
        <v>01</v>
      </c>
      <c r="B43" s="3288"/>
      <c r="C43" s="3289"/>
      <c r="D43" s="3289"/>
      <c r="E43" s="3289"/>
      <c r="F43" s="3289"/>
      <c r="G43" s="3289"/>
      <c r="H43" s="3289"/>
      <c r="I43" s="3289"/>
      <c r="K43" s="3285"/>
      <c r="L43" s="3286"/>
      <c r="M43" s="3286"/>
      <c r="N43" s="3286"/>
      <c r="O43" s="3286"/>
      <c r="Q43" s="1194"/>
    </row>
    <row r="44" spans="1:17" ht="15.75" customHeight="1" x14ac:dyDescent="0.2">
      <c r="A44" s="8" t="str">
        <f>AgyIdx</f>
        <v>01</v>
      </c>
      <c r="B44" s="3288"/>
      <c r="C44" s="3289"/>
      <c r="D44" s="3289"/>
      <c r="E44" s="3289"/>
      <c r="F44" s="3289"/>
      <c r="G44" s="3289"/>
      <c r="H44" s="3289"/>
      <c r="I44" s="3289"/>
      <c r="K44" s="3285"/>
      <c r="L44" s="3286"/>
      <c r="M44" s="3286"/>
      <c r="N44" s="3286"/>
      <c r="O44" s="3286"/>
      <c r="Q44" s="1194"/>
    </row>
    <row r="45" spans="1:17" ht="9" customHeight="1" x14ac:dyDescent="0.2"/>
    <row r="46" spans="1:17" ht="9" customHeight="1" x14ac:dyDescent="0.2"/>
  </sheetData>
  <sheetProtection algorithmName="SHA-512" hashValue="djz61u7TGmfzgLlCZOfhEswfp3KxLHbqJkNjhbrtu3fgfemd+7vmBvNNnU/NLuZChPefjYmTARhxqn/E219q7Q==" saltValue="vaflK5usjux3TH4jYV2iRw==" spinCount="100000" sheet="1" objects="1" scenarios="1" autoFilter="0"/>
  <customSheetViews>
    <customSheetView guid="{B08879A4-635B-4C39-9937-AC7883D562FC}" showGridLines="0" fitToPage="1">
      <selection activeCell="B1" sqref="B1:R1"/>
      <pageMargins left="0.5" right="0.5" top="0.5" bottom="0.5" header="0.5" footer="0.25"/>
      <printOptions horizontalCentered="1"/>
      <pageSetup scale="96" orientation="portrait" r:id="rId1"/>
      <headerFooter alignWithMargins="0">
        <oddHeader xml:space="preserve"> </oddHeader>
        <oddFooter>&amp;R&amp;A</oddFooter>
      </headerFooter>
    </customSheetView>
    <customSheetView guid="{9FCFC836-1CA5-48BF-958D-24D2EA94B219}" showGridLines="0" fitToPage="1">
      <selection activeCell="B1" sqref="B1:R1"/>
      <pageMargins left="0.5" right="0.5" top="0.5" bottom="0.5" header="0.5" footer="0.25"/>
      <printOptions horizontalCentered="1"/>
      <pageSetup scale="96" orientation="portrait" r:id="rId2"/>
      <headerFooter alignWithMargins="0">
        <oddHeader xml:space="preserve"> </oddHeader>
        <oddFooter>&amp;R&amp;A</oddFooter>
      </headerFooter>
    </customSheetView>
  </customSheetViews>
  <mergeCells count="48">
    <mergeCell ref="K26:O26"/>
    <mergeCell ref="B27:I27"/>
    <mergeCell ref="K25:O25"/>
    <mergeCell ref="B25:I25"/>
    <mergeCell ref="M8:Q8"/>
    <mergeCell ref="M9:Q9"/>
    <mergeCell ref="E9:G9"/>
    <mergeCell ref="K22:O22"/>
    <mergeCell ref="K23:O23"/>
    <mergeCell ref="B20:Q20"/>
    <mergeCell ref="B23:I23"/>
    <mergeCell ref="B26:I26"/>
    <mergeCell ref="M10:Q10"/>
    <mergeCell ref="K44:O44"/>
    <mergeCell ref="B39:Q39"/>
    <mergeCell ref="B41:I41"/>
    <mergeCell ref="B34:I34"/>
    <mergeCell ref="B44:I44"/>
    <mergeCell ref="B35:I35"/>
    <mergeCell ref="K37:O37"/>
    <mergeCell ref="B43:I43"/>
    <mergeCell ref="B37:I37"/>
    <mergeCell ref="K35:O35"/>
    <mergeCell ref="B36:I36"/>
    <mergeCell ref="K36:O36"/>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B2:R2"/>
    <mergeCell ref="B3:R3"/>
    <mergeCell ref="B4:R4"/>
    <mergeCell ref="M7:Q7"/>
    <mergeCell ref="S1:S3"/>
    <mergeCell ref="B5:Q5"/>
    <mergeCell ref="B1:R1"/>
  </mergeCells>
  <conditionalFormatting sqref="S1:S3">
    <cfRule type="cellIs" dxfId="15" priority="2" stopIfTrue="1" operator="equal">
      <formula>"na"</formula>
    </cfRule>
  </conditionalFormatting>
  <conditionalFormatting sqref="U1:U3">
    <cfRule type="cellIs" dxfId="14" priority="1" stopIfTrue="1" operator="equal">
      <formula>"na"</formula>
    </cfRule>
  </conditionalFormatting>
  <hyperlinks>
    <hyperlink ref="B1:R1" location="Index!A1" display="Index!A1" xr:uid="{00000000-0004-0000-4700-000000000000}"/>
  </hyperlinks>
  <printOptions horizontalCentered="1"/>
  <pageMargins left="0.75" right="0.5" top="0.5" bottom="0.5" header="0.5" footer="0.25"/>
  <pageSetup scale="96" orientation="portrait" r:id="rId3"/>
  <headerFooter alignWithMargins="0">
    <oddHeader xml:space="preserve"> </oddHeader>
    <oddFooter>&amp;R&amp;A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1"/>
  <sheetViews>
    <sheetView showGridLines="0" topLeftCell="B1" zoomScaleNormal="100" workbookViewId="0">
      <selection activeCell="K21" sqref="K21"/>
    </sheetView>
  </sheetViews>
  <sheetFormatPr defaultColWidth="9.42578125" defaultRowHeight="12.75" x14ac:dyDescent="0.2"/>
  <cols>
    <col min="1" max="1" width="9.42578125" style="8" hidden="1" customWidth="1"/>
    <col min="2" max="2" width="6.5703125" style="8" customWidth="1"/>
    <col min="3" max="3" width="1.5703125" style="8" customWidth="1"/>
    <col min="4" max="4" width="6.42578125" style="8" customWidth="1"/>
    <col min="5" max="5" width="8.5703125" style="8" customWidth="1"/>
    <col min="6" max="6" width="1.5703125" style="8" customWidth="1"/>
    <col min="7" max="7" width="5.5703125" style="8" customWidth="1"/>
    <col min="8" max="8" width="0.5703125" style="8" customWidth="1"/>
    <col min="9" max="9" width="4.5703125" style="8" hidden="1" customWidth="1"/>
    <col min="10" max="10" width="0.5703125" style="8" customWidth="1"/>
    <col min="11" max="11" width="13.42578125" style="8" customWidth="1"/>
    <col min="12" max="12" width="2.5703125" style="8" customWidth="1"/>
    <col min="13" max="13" width="12.5703125" style="8" customWidth="1"/>
    <col min="14" max="14" width="1.42578125" style="8" customWidth="1"/>
    <col min="15" max="15" width="13.42578125" style="8" customWidth="1"/>
    <col min="16" max="16" width="1.42578125" style="8" customWidth="1"/>
    <col min="17" max="17" width="12.5703125" style="8" customWidth="1"/>
    <col min="18" max="18" width="0.5703125" style="8" customWidth="1"/>
    <col min="19" max="19" width="4.5703125" style="8"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15" customHeight="1" x14ac:dyDescent="0.25">
      <c r="A1" s="8" t="str">
        <f t="shared" ref="A1:A32" si="0">AgyIdx</f>
        <v>01</v>
      </c>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829" t="str">
        <f>IF(Index!$B$99="na","NA","")</f>
        <v/>
      </c>
      <c r="U1" s="2829"/>
    </row>
    <row r="2" spans="1:21" ht="15" customHeight="1" x14ac:dyDescent="0.25">
      <c r="A2" s="8" t="str">
        <f t="shared" si="0"/>
        <v>01</v>
      </c>
      <c r="B2" s="3243" t="str">
        <f>+Index!$A$2</f>
        <v>2022 ACFR Worksheets</v>
      </c>
      <c r="C2" s="3243"/>
      <c r="D2" s="3243"/>
      <c r="E2" s="3243"/>
      <c r="F2" s="3243"/>
      <c r="G2" s="3243"/>
      <c r="H2" s="3243"/>
      <c r="I2" s="3243"/>
      <c r="J2" s="3243"/>
      <c r="K2" s="3243"/>
      <c r="L2" s="3243"/>
      <c r="M2" s="3243"/>
      <c r="N2" s="3243"/>
      <c r="O2" s="3243"/>
      <c r="P2" s="3243"/>
      <c r="Q2" s="3243"/>
      <c r="R2" s="3243"/>
      <c r="S2" s="2829"/>
      <c r="U2" s="2829"/>
    </row>
    <row r="3" spans="1:21" ht="15" customHeight="1" x14ac:dyDescent="0.25">
      <c r="A3" s="8" t="str">
        <f t="shared" si="0"/>
        <v>01</v>
      </c>
      <c r="B3" s="3243" t="s">
        <v>1075</v>
      </c>
      <c r="C3" s="3243"/>
      <c r="D3" s="3243"/>
      <c r="E3" s="3243"/>
      <c r="F3" s="3243"/>
      <c r="G3" s="3243"/>
      <c r="H3" s="3243"/>
      <c r="I3" s="3243"/>
      <c r="J3" s="3243"/>
      <c r="K3" s="3243"/>
      <c r="L3" s="3243"/>
      <c r="M3" s="3243"/>
      <c r="N3" s="3243"/>
      <c r="O3" s="3243"/>
      <c r="P3" s="3243"/>
      <c r="Q3" s="3243"/>
      <c r="R3" s="3243"/>
      <c r="S3" s="2829"/>
      <c r="U3" s="2829"/>
    </row>
    <row r="4" spans="1:21" ht="15" customHeight="1" x14ac:dyDescent="0.25">
      <c r="A4" s="8" t="str">
        <f t="shared" si="0"/>
        <v>01</v>
      </c>
      <c r="B4" s="3243" t="s">
        <v>4119</v>
      </c>
      <c r="C4" s="3243"/>
      <c r="D4" s="3243"/>
      <c r="E4" s="3243"/>
      <c r="F4" s="3243"/>
      <c r="G4" s="3243"/>
      <c r="H4" s="3243"/>
      <c r="I4" s="3243"/>
      <c r="J4" s="3243"/>
      <c r="K4" s="3243"/>
      <c r="L4" s="3243"/>
      <c r="M4" s="3243"/>
      <c r="N4" s="3243"/>
      <c r="O4" s="3243"/>
      <c r="P4" s="3243"/>
      <c r="Q4" s="3243"/>
      <c r="R4" s="3243"/>
    </row>
    <row r="5" spans="1:21" ht="15" customHeight="1" x14ac:dyDescent="0.25">
      <c r="B5" s="1622"/>
      <c r="C5" s="1622"/>
      <c r="D5" s="1622"/>
      <c r="E5" s="1622"/>
      <c r="F5" s="1622"/>
      <c r="G5" s="1622"/>
      <c r="H5" s="1622"/>
      <c r="I5" s="1622"/>
      <c r="J5" s="1622"/>
      <c r="K5" s="1622"/>
      <c r="L5" s="1622"/>
      <c r="M5" s="1622"/>
      <c r="N5" s="1622"/>
      <c r="O5" s="1622"/>
      <c r="P5" s="1622"/>
      <c r="Q5" s="1622"/>
      <c r="R5" s="1622"/>
    </row>
    <row r="6" spans="1:21" ht="15" customHeight="1" x14ac:dyDescent="0.2">
      <c r="A6" s="8" t="str">
        <f t="shared" si="0"/>
        <v>01</v>
      </c>
      <c r="B6" s="1643" t="s">
        <v>4404</v>
      </c>
    </row>
    <row r="7" spans="1:21" ht="15" customHeight="1" x14ac:dyDescent="0.2">
      <c r="D7" s="1643"/>
    </row>
    <row r="8" spans="1:21" ht="15" customHeight="1" x14ac:dyDescent="0.2">
      <c r="A8" s="8" t="str">
        <f t="shared" si="0"/>
        <v>01</v>
      </c>
      <c r="E8" s="776"/>
      <c r="L8" s="9" t="s">
        <v>327</v>
      </c>
      <c r="M8" s="3277" t="str">
        <f>+Index!$E$10</f>
        <v>01</v>
      </c>
      <c r="N8" s="3277"/>
      <c r="O8" s="3277"/>
      <c r="P8" s="3277"/>
      <c r="Q8" s="3277"/>
    </row>
    <row r="9" spans="1:21" ht="15" customHeight="1" x14ac:dyDescent="0.2">
      <c r="A9" s="8" t="str">
        <f t="shared" si="0"/>
        <v>01</v>
      </c>
      <c r="L9" s="9" t="s">
        <v>1154</v>
      </c>
      <c r="M9" s="3277" t="str">
        <f>+Index!$E$11</f>
        <v>North Carolina General Assembly</v>
      </c>
      <c r="N9" s="3277"/>
      <c r="O9" s="3277"/>
      <c r="P9" s="3277"/>
      <c r="Q9" s="3277"/>
    </row>
    <row r="10" spans="1:21" ht="15" customHeight="1" x14ac:dyDescent="0.2">
      <c r="A10" s="8" t="str">
        <f t="shared" si="0"/>
        <v>01</v>
      </c>
      <c r="B10" s="8" t="s">
        <v>477</v>
      </c>
      <c r="E10" s="3245" t="s">
        <v>971</v>
      </c>
      <c r="F10" s="3245"/>
      <c r="G10" s="3245"/>
      <c r="H10" s="296"/>
      <c r="I10" s="296"/>
      <c r="L10" s="9" t="s">
        <v>972</v>
      </c>
      <c r="M10" s="3278" t="str">
        <f>CONCATENATE(Index!$E$12," ",Index!$E$14)</f>
        <v xml:space="preserve"> </v>
      </c>
      <c r="N10" s="3278"/>
      <c r="O10" s="3278"/>
      <c r="P10" s="3278"/>
      <c r="Q10" s="3278"/>
    </row>
    <row r="11" spans="1:21" ht="15" customHeight="1" x14ac:dyDescent="0.2">
      <c r="A11" s="8" t="str">
        <f t="shared" si="0"/>
        <v>01</v>
      </c>
      <c r="E11" s="776"/>
      <c r="F11" s="776"/>
      <c r="G11" s="776"/>
      <c r="H11" s="296"/>
      <c r="I11" s="296"/>
      <c r="L11" s="9" t="s">
        <v>348</v>
      </c>
      <c r="M11" s="3279">
        <f>+Index!$E$13</f>
        <v>0</v>
      </c>
      <c r="N11" s="3279"/>
      <c r="O11" s="3279"/>
      <c r="P11" s="3279"/>
      <c r="Q11" s="3279"/>
    </row>
    <row r="12" spans="1:21" ht="5.25" customHeight="1" thickBot="1" x14ac:dyDescent="0.25">
      <c r="A12" s="8" t="str">
        <f t="shared" si="0"/>
        <v>01</v>
      </c>
      <c r="B12" s="148"/>
      <c r="C12" s="148"/>
      <c r="D12" s="148"/>
      <c r="E12" s="148"/>
      <c r="F12" s="148"/>
      <c r="G12" s="148"/>
      <c r="H12" s="148"/>
      <c r="I12" s="148"/>
      <c r="J12" s="148"/>
      <c r="K12" s="148"/>
      <c r="L12" s="148"/>
      <c r="M12" s="148"/>
      <c r="N12" s="148"/>
      <c r="O12" s="148"/>
      <c r="P12" s="148"/>
      <c r="Q12" s="148"/>
    </row>
    <row r="13" spans="1:21" ht="3" customHeight="1" x14ac:dyDescent="0.2">
      <c r="A13" s="8" t="str">
        <f t="shared" si="0"/>
        <v>01</v>
      </c>
    </row>
    <row r="14" spans="1:21" ht="10.5" customHeight="1" x14ac:dyDescent="0.25">
      <c r="A14" s="8" t="str">
        <f t="shared" si="0"/>
        <v>01</v>
      </c>
      <c r="B14" s="1625"/>
      <c r="C14" s="1625"/>
      <c r="D14" s="1625"/>
      <c r="E14" s="1625"/>
      <c r="F14" s="1625"/>
      <c r="G14" s="1625"/>
      <c r="H14" s="1625"/>
      <c r="I14" s="1625"/>
      <c r="J14" s="1625"/>
      <c r="K14" s="1625"/>
      <c r="L14" s="298"/>
      <c r="M14" s="323"/>
      <c r="N14" s="323"/>
      <c r="O14" s="323"/>
      <c r="P14" s="323"/>
      <c r="Q14" s="323"/>
      <c r="R14" s="149"/>
      <c r="S14" s="149"/>
    </row>
    <row r="15" spans="1:21" ht="13.35" customHeight="1" x14ac:dyDescent="0.25">
      <c r="A15" s="8" t="str">
        <f t="shared" si="0"/>
        <v>01</v>
      </c>
      <c r="B15" s="1625"/>
      <c r="C15" s="1625"/>
      <c r="D15" s="1625"/>
      <c r="E15" s="1625"/>
      <c r="F15" s="1625"/>
      <c r="G15" s="1625"/>
      <c r="H15" s="1625"/>
      <c r="I15" s="1625"/>
      <c r="J15" s="1625"/>
      <c r="R15" s="149"/>
      <c r="S15" s="149"/>
    </row>
    <row r="16" spans="1:21" ht="12" customHeight="1" x14ac:dyDescent="0.25">
      <c r="A16" s="8" t="str">
        <f t="shared" si="0"/>
        <v>01</v>
      </c>
      <c r="B16" s="1625"/>
      <c r="C16" s="1625"/>
      <c r="D16" s="1625"/>
      <c r="E16" s="1625"/>
      <c r="F16" s="1625"/>
      <c r="G16" s="1625"/>
      <c r="H16" s="1625"/>
      <c r="I16" s="1625"/>
      <c r="J16" s="1625"/>
      <c r="K16" s="3293" t="s">
        <v>4120</v>
      </c>
      <c r="L16" s="3293"/>
      <c r="M16" s="3293"/>
      <c r="N16" s="3293"/>
      <c r="O16" s="3293"/>
      <c r="P16" s="3293"/>
      <c r="Q16" s="3293"/>
      <c r="R16" s="149"/>
      <c r="S16" s="149"/>
    </row>
    <row r="17" spans="1:21" ht="12" customHeight="1" x14ac:dyDescent="0.25">
      <c r="A17" s="8" t="str">
        <f t="shared" si="0"/>
        <v>01</v>
      </c>
      <c r="B17" s="1625"/>
      <c r="C17" s="1625"/>
      <c r="D17" s="1625"/>
      <c r="E17" s="1625"/>
      <c r="F17" s="1625"/>
      <c r="G17" s="1625"/>
      <c r="H17" s="1625"/>
      <c r="I17" s="1625"/>
      <c r="J17" s="1625"/>
      <c r="K17" s="1627"/>
      <c r="L17" s="1626"/>
      <c r="M17" s="1627"/>
      <c r="N17" s="1628"/>
      <c r="O17" s="1627" t="s">
        <v>4121</v>
      </c>
      <c r="P17" s="1628"/>
      <c r="Q17" s="1627" t="s">
        <v>4121</v>
      </c>
      <c r="R17" s="149"/>
      <c r="S17" s="149"/>
    </row>
    <row r="18" spans="1:21" ht="12" customHeight="1" x14ac:dyDescent="0.25">
      <c r="A18" s="8" t="str">
        <f t="shared" si="0"/>
        <v>01</v>
      </c>
      <c r="B18" s="1625"/>
      <c r="C18" s="1627"/>
      <c r="D18" s="1625"/>
      <c r="E18" s="298" t="s">
        <v>973</v>
      </c>
      <c r="F18" s="298"/>
      <c r="G18" s="1625"/>
      <c r="H18" s="1625"/>
      <c r="I18" s="1625"/>
      <c r="J18" s="1625"/>
      <c r="K18" s="1627"/>
      <c r="L18" s="1625"/>
      <c r="M18" s="1627" t="s">
        <v>4122</v>
      </c>
      <c r="N18" s="1628"/>
      <c r="O18" s="1627" t="s">
        <v>4123</v>
      </c>
      <c r="P18" s="1628"/>
      <c r="Q18" s="1627" t="s">
        <v>4124</v>
      </c>
      <c r="R18" s="149"/>
      <c r="S18" s="149"/>
      <c r="U18" s="1138"/>
    </row>
    <row r="19" spans="1:21" ht="12" customHeight="1" x14ac:dyDescent="0.25">
      <c r="A19" s="8" t="str">
        <f t="shared" si="0"/>
        <v>01</v>
      </c>
      <c r="B19" s="304" t="s">
        <v>653</v>
      </c>
      <c r="C19" s="1630"/>
      <c r="D19" s="1630"/>
      <c r="E19" s="1630"/>
      <c r="F19" s="304"/>
      <c r="G19" s="1630"/>
      <c r="H19" s="1625"/>
      <c r="I19" s="1625"/>
      <c r="J19" s="1625"/>
      <c r="K19" s="1632" t="s">
        <v>985</v>
      </c>
      <c r="L19" s="1625"/>
      <c r="M19" s="1632" t="s">
        <v>4125</v>
      </c>
      <c r="N19" s="307"/>
      <c r="O19" s="1632" t="s">
        <v>4126</v>
      </c>
      <c r="P19" s="307"/>
      <c r="Q19" s="1632" t="s">
        <v>4127</v>
      </c>
      <c r="R19" s="149"/>
      <c r="S19" s="149"/>
      <c r="U19" s="1138"/>
    </row>
    <row r="20" spans="1:21" ht="12" customHeight="1" x14ac:dyDescent="0.2">
      <c r="A20" s="8" t="str">
        <f t="shared" si="0"/>
        <v>01</v>
      </c>
      <c r="B20" s="149"/>
      <c r="C20" s="149"/>
      <c r="D20" s="149"/>
      <c r="E20" s="149"/>
      <c r="F20" s="149"/>
      <c r="G20" s="149"/>
      <c r="H20" s="149"/>
      <c r="I20" s="1633"/>
      <c r="J20" s="1633"/>
      <c r="K20" s="1634"/>
      <c r="L20" s="1634"/>
      <c r="M20" s="1634"/>
      <c r="N20" s="1634"/>
      <c r="O20" s="1634">
        <v>1</v>
      </c>
      <c r="P20" s="149"/>
      <c r="Q20" s="1634">
        <v>2</v>
      </c>
      <c r="R20" s="1634"/>
      <c r="S20" s="149"/>
    </row>
    <row r="21" spans="1:21" ht="12" customHeight="1" x14ac:dyDescent="0.25">
      <c r="A21" s="8" t="str">
        <f t="shared" si="0"/>
        <v>01</v>
      </c>
      <c r="B21" s="149" t="s">
        <v>1873</v>
      </c>
      <c r="C21" s="1274"/>
      <c r="D21" s="149"/>
      <c r="E21" s="149"/>
      <c r="F21" s="149"/>
      <c r="G21" s="149"/>
      <c r="H21" s="149"/>
      <c r="I21" s="1636" t="s">
        <v>1605</v>
      </c>
      <c r="J21" s="1275"/>
      <c r="K21" s="1409"/>
      <c r="L21" s="1637"/>
      <c r="M21" s="1409"/>
      <c r="N21" s="1637"/>
      <c r="O21" s="1640"/>
      <c r="P21" s="1644"/>
      <c r="Q21" s="1640"/>
      <c r="R21" s="1635"/>
      <c r="S21" s="609" t="s">
        <v>4128</v>
      </c>
      <c r="T21" s="610"/>
      <c r="U21" s="1137"/>
    </row>
    <row r="22" spans="1:21" ht="12" customHeight="1" x14ac:dyDescent="0.25">
      <c r="A22" s="8" t="str">
        <f t="shared" si="0"/>
        <v>01</v>
      </c>
      <c r="B22" s="149" t="s">
        <v>1874</v>
      </c>
      <c r="C22" s="1274"/>
      <c r="D22" s="149"/>
      <c r="E22" s="149"/>
      <c r="F22" s="149"/>
      <c r="G22" s="149"/>
      <c r="H22" s="149"/>
      <c r="I22" s="1636" t="s">
        <v>1606</v>
      </c>
      <c r="J22" s="1275"/>
      <c r="K22" s="1409"/>
      <c r="L22" s="1637"/>
      <c r="M22" s="1409"/>
      <c r="N22" s="1637"/>
      <c r="O22" s="1640"/>
      <c r="P22" s="1644"/>
      <c r="Q22" s="1640"/>
      <c r="R22" s="1635"/>
      <c r="S22" s="609" t="s">
        <v>4128</v>
      </c>
      <c r="T22" s="610"/>
      <c r="U22" s="1137"/>
    </row>
    <row r="23" spans="1:21" ht="12" customHeight="1" x14ac:dyDescent="0.25">
      <c r="A23" s="8" t="str">
        <f t="shared" si="0"/>
        <v>01</v>
      </c>
      <c r="B23" s="149" t="s">
        <v>1875</v>
      </c>
      <c r="C23" s="1274"/>
      <c r="D23" s="149"/>
      <c r="E23" s="149"/>
      <c r="F23" s="149"/>
      <c r="G23" s="149"/>
      <c r="H23" s="149"/>
      <c r="I23" s="1636" t="s">
        <v>1607</v>
      </c>
      <c r="J23" s="1275"/>
      <c r="K23" s="1409"/>
      <c r="L23" s="1637"/>
      <c r="M23" s="1409"/>
      <c r="N23" s="1637"/>
      <c r="O23" s="1640"/>
      <c r="P23" s="1644"/>
      <c r="Q23" s="1640"/>
      <c r="R23" s="1635"/>
      <c r="S23" s="609" t="s">
        <v>4128</v>
      </c>
      <c r="T23" s="610"/>
      <c r="U23" s="1137"/>
    </row>
    <row r="24" spans="1:21" ht="12" customHeight="1" x14ac:dyDescent="0.25">
      <c r="A24" s="8" t="str">
        <f t="shared" si="0"/>
        <v>01</v>
      </c>
      <c r="B24" s="149" t="s">
        <v>1876</v>
      </c>
      <c r="C24" s="1274"/>
      <c r="D24" s="149"/>
      <c r="E24" s="149"/>
      <c r="F24" s="149"/>
      <c r="G24" s="149"/>
      <c r="H24" s="149"/>
      <c r="I24" s="1636" t="s">
        <v>1608</v>
      </c>
      <c r="J24" s="1275"/>
      <c r="K24" s="1409"/>
      <c r="L24" s="1637"/>
      <c r="M24" s="1409"/>
      <c r="N24" s="1637"/>
      <c r="O24" s="1640"/>
      <c r="P24" s="1644"/>
      <c r="Q24" s="1640"/>
      <c r="R24" s="1635"/>
      <c r="S24" s="609" t="s">
        <v>4128</v>
      </c>
      <c r="T24" s="610"/>
      <c r="U24" s="1137"/>
    </row>
    <row r="25" spans="1:21" ht="12" customHeight="1" x14ac:dyDescent="0.25">
      <c r="A25" s="8" t="str">
        <f t="shared" si="0"/>
        <v>01</v>
      </c>
      <c r="B25" s="149" t="s">
        <v>3923</v>
      </c>
      <c r="C25" s="1274"/>
      <c r="D25" s="149"/>
      <c r="E25" s="149"/>
      <c r="F25" s="149"/>
      <c r="G25" s="149"/>
      <c r="H25" s="149"/>
      <c r="I25" s="1636" t="s">
        <v>3924</v>
      </c>
      <c r="J25" s="1275"/>
      <c r="K25" s="1409"/>
      <c r="L25" s="1637"/>
      <c r="M25" s="1409"/>
      <c r="N25" s="1637"/>
      <c r="O25" s="1640"/>
      <c r="P25" s="1644"/>
      <c r="Q25" s="1640"/>
      <c r="R25" s="1635"/>
      <c r="S25" s="609" t="s">
        <v>4128</v>
      </c>
      <c r="T25" s="610"/>
      <c r="U25" s="1137"/>
    </row>
    <row r="26" spans="1:21" ht="12" customHeight="1" x14ac:dyDescent="0.25">
      <c r="A26" s="8" t="str">
        <f t="shared" si="0"/>
        <v>01</v>
      </c>
      <c r="B26" s="149" t="s">
        <v>635</v>
      </c>
      <c r="C26" s="3241"/>
      <c r="D26" s="3241"/>
      <c r="E26" s="3241"/>
      <c r="F26" s="3241"/>
      <c r="G26" s="3241"/>
      <c r="H26" s="149"/>
      <c r="I26" s="1636" t="s">
        <v>1610</v>
      </c>
      <c r="J26" s="1275"/>
      <c r="K26" s="1409"/>
      <c r="L26" s="1637"/>
      <c r="M26" s="1409"/>
      <c r="N26" s="1637"/>
      <c r="O26" s="1640"/>
      <c r="P26" s="1644"/>
      <c r="Q26" s="1640"/>
      <c r="R26" s="1635"/>
      <c r="S26" s="609" t="s">
        <v>4128</v>
      </c>
      <c r="T26" s="610"/>
      <c r="U26" s="1137"/>
    </row>
    <row r="27" spans="1:21" ht="12" customHeight="1" x14ac:dyDescent="0.25">
      <c r="A27" s="8" t="str">
        <f t="shared" si="0"/>
        <v>01</v>
      </c>
      <c r="B27" s="149" t="s">
        <v>635</v>
      </c>
      <c r="C27" s="3282"/>
      <c r="D27" s="3282"/>
      <c r="E27" s="3282"/>
      <c r="F27" s="3282"/>
      <c r="G27" s="3282"/>
      <c r="H27" s="149"/>
      <c r="I27" s="1636" t="s">
        <v>1610</v>
      </c>
      <c r="J27" s="1275"/>
      <c r="K27" s="1409"/>
      <c r="L27" s="1637"/>
      <c r="M27" s="1409"/>
      <c r="N27" s="1637"/>
      <c r="O27" s="1640"/>
      <c r="P27" s="1644"/>
      <c r="Q27" s="1640"/>
      <c r="R27" s="1635"/>
      <c r="S27" s="609" t="s">
        <v>4128</v>
      </c>
      <c r="T27" s="610"/>
      <c r="U27" s="1137"/>
    </row>
    <row r="28" spans="1:21" ht="12" customHeight="1" x14ac:dyDescent="0.25">
      <c r="A28" s="8" t="str">
        <f t="shared" si="0"/>
        <v>01</v>
      </c>
      <c r="B28" s="149" t="s">
        <v>635</v>
      </c>
      <c r="C28" s="3282"/>
      <c r="D28" s="3282"/>
      <c r="E28" s="3282"/>
      <c r="F28" s="3282"/>
      <c r="G28" s="3282"/>
      <c r="H28" s="149"/>
      <c r="I28" s="1636" t="s">
        <v>1611</v>
      </c>
      <c r="J28" s="1275"/>
      <c r="K28" s="1409"/>
      <c r="L28" s="1637"/>
      <c r="M28" s="1409"/>
      <c r="N28" s="1637"/>
      <c r="O28" s="1640"/>
      <c r="P28" s="1644"/>
      <c r="Q28" s="1640"/>
      <c r="R28" s="1635"/>
      <c r="S28" s="609" t="s">
        <v>4128</v>
      </c>
      <c r="T28" s="610"/>
      <c r="U28" s="1137"/>
    </row>
    <row r="29" spans="1:21" ht="14.1" customHeight="1" thickBot="1" x14ac:dyDescent="0.3">
      <c r="A29" s="8" t="str">
        <f t="shared" si="0"/>
        <v>01</v>
      </c>
      <c r="B29" s="1437" t="s">
        <v>4129</v>
      </c>
      <c r="C29" s="149"/>
      <c r="D29" s="149"/>
      <c r="E29" s="149"/>
      <c r="F29" s="149"/>
      <c r="G29" s="149"/>
      <c r="H29" s="149"/>
      <c r="I29" s="1636"/>
      <c r="J29" s="1275"/>
      <c r="K29" s="1645">
        <f>SUM(K21:K28)</f>
        <v>0</v>
      </c>
      <c r="L29" s="1637"/>
      <c r="M29" s="1637"/>
      <c r="N29" s="1637"/>
      <c r="O29" s="1637"/>
      <c r="P29" s="1637"/>
      <c r="Q29" s="1637"/>
      <c r="R29" s="1635"/>
      <c r="S29" s="1646"/>
    </row>
    <row r="30" spans="1:21" ht="4.3499999999999996" customHeight="1" thickTop="1" x14ac:dyDescent="0.25">
      <c r="A30" s="8" t="str">
        <f t="shared" si="0"/>
        <v>01</v>
      </c>
      <c r="B30" s="149"/>
      <c r="C30" s="149"/>
      <c r="D30" s="149"/>
      <c r="E30" s="149"/>
      <c r="F30" s="149"/>
      <c r="G30" s="149"/>
      <c r="H30" s="149"/>
      <c r="I30" s="1636"/>
      <c r="J30" s="1275"/>
      <c r="K30" s="1637"/>
      <c r="L30" s="1134"/>
      <c r="M30" s="1134"/>
      <c r="N30" s="1134"/>
      <c r="O30" s="1134"/>
      <c r="P30" s="1134"/>
      <c r="Q30" s="1134"/>
      <c r="R30" s="149"/>
      <c r="S30" s="149"/>
    </row>
    <row r="31" spans="1:21" ht="15" customHeight="1" x14ac:dyDescent="0.25">
      <c r="A31" s="8" t="str">
        <f t="shared" si="0"/>
        <v>01</v>
      </c>
      <c r="B31" s="309"/>
      <c r="C31" s="1437"/>
      <c r="D31" s="149"/>
      <c r="E31" s="149"/>
      <c r="F31" s="149"/>
      <c r="G31" s="149"/>
      <c r="H31" s="149"/>
      <c r="I31" s="1636"/>
      <c r="J31" s="1275"/>
      <c r="K31" s="1637"/>
      <c r="L31" s="1134"/>
      <c r="M31" s="319"/>
      <c r="N31" s="1134"/>
      <c r="O31" s="1134"/>
      <c r="P31" s="1134"/>
      <c r="Q31" s="1134"/>
      <c r="R31" s="149"/>
      <c r="S31" s="149"/>
    </row>
    <row r="32" spans="1:21" ht="12.6" customHeight="1" x14ac:dyDescent="0.25">
      <c r="A32" s="8" t="str">
        <f t="shared" si="0"/>
        <v>01</v>
      </c>
      <c r="B32" s="149"/>
      <c r="C32" s="149"/>
      <c r="D32" s="149"/>
      <c r="E32" s="149"/>
      <c r="F32" s="149"/>
      <c r="G32" s="149"/>
      <c r="H32" s="149"/>
      <c r="I32" s="1273"/>
      <c r="J32" s="1633"/>
      <c r="K32" s="1637"/>
      <c r="L32" s="1134"/>
      <c r="M32" s="1639"/>
      <c r="N32" s="1134"/>
      <c r="O32" s="1134"/>
      <c r="P32" s="149"/>
      <c r="Q32" s="149"/>
      <c r="R32" s="149"/>
      <c r="S32" s="149"/>
    </row>
    <row r="33" spans="1:19" ht="12.6" customHeight="1" x14ac:dyDescent="0.25">
      <c r="A33" s="8" t="str">
        <f t="shared" ref="A33:A40" si="1">AgyIdx</f>
        <v>01</v>
      </c>
      <c r="B33" s="1091" t="s">
        <v>5546</v>
      </c>
      <c r="C33" s="149"/>
      <c r="D33" s="149"/>
      <c r="E33" s="149"/>
      <c r="F33" s="149"/>
      <c r="G33" s="149"/>
      <c r="H33" s="149"/>
      <c r="I33" s="1273"/>
      <c r="J33" s="1633"/>
      <c r="K33" s="1637"/>
      <c r="L33" s="1134"/>
      <c r="M33" s="1639"/>
      <c r="N33" s="1134"/>
      <c r="O33" s="1134"/>
      <c r="P33" s="149"/>
      <c r="Q33" s="149"/>
      <c r="R33" s="149"/>
      <c r="S33" s="149"/>
    </row>
    <row r="34" spans="1:19" ht="12.6" customHeight="1" x14ac:dyDescent="0.25">
      <c r="A34" s="8" t="str">
        <f t="shared" si="1"/>
        <v>01</v>
      </c>
      <c r="B34" s="1437"/>
      <c r="C34" s="1437"/>
      <c r="D34" s="149"/>
      <c r="E34" s="149"/>
      <c r="F34" s="149"/>
      <c r="G34" s="149"/>
      <c r="H34" s="149"/>
      <c r="I34" s="1273"/>
      <c r="J34" s="1633"/>
      <c r="K34" s="1637"/>
      <c r="L34" s="1134"/>
      <c r="M34" s="1639"/>
      <c r="N34" s="1134"/>
      <c r="O34" s="1134"/>
      <c r="P34" s="149"/>
      <c r="Q34" s="149"/>
      <c r="R34" s="149"/>
      <c r="S34" s="149"/>
    </row>
    <row r="35" spans="1:19" ht="12.6" customHeight="1" x14ac:dyDescent="0.25">
      <c r="A35" s="8" t="str">
        <f t="shared" si="1"/>
        <v>01</v>
      </c>
      <c r="B35" s="1091" t="s">
        <v>1288</v>
      </c>
      <c r="C35" s="1437"/>
      <c r="D35" s="149"/>
      <c r="E35" s="149"/>
      <c r="F35" s="149"/>
      <c r="G35" s="149"/>
      <c r="H35" s="149"/>
      <c r="I35" s="1273"/>
      <c r="J35" s="1633"/>
      <c r="K35" s="1637"/>
      <c r="L35" s="1134"/>
      <c r="M35" s="1637"/>
      <c r="N35" s="1134"/>
      <c r="O35" s="1134"/>
      <c r="P35" s="149"/>
      <c r="Q35" s="149"/>
      <c r="R35" s="149"/>
      <c r="S35" s="149"/>
    </row>
    <row r="36" spans="1:19" ht="12" customHeight="1" x14ac:dyDescent="0.25">
      <c r="A36" s="8" t="str">
        <f t="shared" si="1"/>
        <v>01</v>
      </c>
      <c r="B36" s="1091" t="s">
        <v>4130</v>
      </c>
      <c r="C36" s="1437"/>
      <c r="D36" s="1437"/>
      <c r="E36" s="1437"/>
      <c r="F36" s="1437"/>
      <c r="G36" s="1437"/>
      <c r="H36" s="149"/>
      <c r="I36" s="1642"/>
      <c r="J36" s="1275"/>
      <c r="K36" s="1637"/>
      <c r="L36" s="1273"/>
      <c r="M36" s="1637"/>
      <c r="N36" s="149"/>
      <c r="O36" s="1437"/>
      <c r="P36" s="149"/>
      <c r="Q36" s="149"/>
      <c r="R36" s="149"/>
      <c r="S36" s="149"/>
    </row>
    <row r="37" spans="1:19" x14ac:dyDescent="0.2">
      <c r="A37" s="8" t="str">
        <f t="shared" si="1"/>
        <v>01</v>
      </c>
      <c r="B37" s="1091" t="s">
        <v>4131</v>
      </c>
      <c r="C37" s="149"/>
      <c r="D37" s="149"/>
      <c r="E37" s="149"/>
      <c r="F37" s="149"/>
      <c r="G37" s="149"/>
      <c r="H37" s="149"/>
      <c r="I37" s="1133"/>
      <c r="J37" s="149"/>
      <c r="K37" s="1134"/>
      <c r="L37" s="149"/>
      <c r="M37" s="1134"/>
      <c r="N37" s="1134"/>
      <c r="O37" s="10"/>
      <c r="P37" s="1134"/>
      <c r="Q37" s="1134"/>
      <c r="R37" s="149"/>
      <c r="S37" s="149"/>
    </row>
    <row r="38" spans="1:19" ht="15" customHeight="1" x14ac:dyDescent="0.25">
      <c r="A38" s="8" t="str">
        <f t="shared" si="1"/>
        <v>01</v>
      </c>
      <c r="B38" s="324"/>
      <c r="C38" s="324"/>
      <c r="D38" s="324"/>
      <c r="E38" s="324"/>
      <c r="F38" s="324"/>
      <c r="G38" s="324"/>
      <c r="H38" s="324"/>
      <c r="I38" s="1642"/>
      <c r="K38" s="1637"/>
      <c r="L38" s="1437"/>
      <c r="M38" s="149"/>
      <c r="N38" s="149"/>
      <c r="O38" s="325"/>
      <c r="P38" s="325"/>
      <c r="Q38" s="325"/>
    </row>
    <row r="39" spans="1:19" x14ac:dyDescent="0.2">
      <c r="A39" s="8" t="str">
        <f t="shared" si="1"/>
        <v>01</v>
      </c>
      <c r="I39" s="1133"/>
      <c r="K39" s="1134"/>
      <c r="L39" s="10"/>
      <c r="M39" s="10"/>
      <c r="N39" s="10"/>
      <c r="P39" s="10"/>
      <c r="Q39" s="10"/>
    </row>
    <row r="40" spans="1:19" x14ac:dyDescent="0.2">
      <c r="A40" s="8" t="str">
        <f t="shared" si="1"/>
        <v>01</v>
      </c>
    </row>
    <row r="41" spans="1:19" ht="15" x14ac:dyDescent="0.2">
      <c r="A41" s="794"/>
      <c r="B41" s="794"/>
      <c r="K41" s="794"/>
    </row>
    <row r="42" spans="1:19" ht="15" x14ac:dyDescent="0.2">
      <c r="A42" s="794"/>
      <c r="B42" s="794" t="s">
        <v>4128</v>
      </c>
    </row>
    <row r="43" spans="1:19" ht="15" x14ac:dyDescent="0.2">
      <c r="A43" s="794"/>
      <c r="B43" s="794" t="s">
        <v>4128</v>
      </c>
    </row>
    <row r="44" spans="1:19" ht="15" x14ac:dyDescent="0.2">
      <c r="A44" s="794"/>
      <c r="B44" s="794" t="s">
        <v>4128</v>
      </c>
    </row>
    <row r="45" spans="1:19" ht="15" x14ac:dyDescent="0.2">
      <c r="A45" s="794"/>
      <c r="B45" s="794" t="s">
        <v>4128</v>
      </c>
    </row>
    <row r="46" spans="1:19" ht="15" x14ac:dyDescent="0.2">
      <c r="A46" s="794"/>
      <c r="B46" s="794" t="s">
        <v>4128</v>
      </c>
    </row>
    <row r="47" spans="1:19" ht="15" x14ac:dyDescent="0.2">
      <c r="A47" s="794"/>
      <c r="B47" s="794" t="s">
        <v>4128</v>
      </c>
    </row>
    <row r="48" spans="1:19" ht="15" x14ac:dyDescent="0.2">
      <c r="A48" s="794"/>
      <c r="B48" s="794" t="s">
        <v>4128</v>
      </c>
    </row>
    <row r="49" spans="1:2" ht="15" x14ac:dyDescent="0.2">
      <c r="A49" s="794"/>
      <c r="B49" s="794" t="s">
        <v>4128</v>
      </c>
    </row>
    <row r="50" spans="1:2" ht="15" x14ac:dyDescent="0.2">
      <c r="A50" s="794"/>
      <c r="B50" s="794" t="s">
        <v>4128</v>
      </c>
    </row>
    <row r="51" spans="1:2" ht="15" x14ac:dyDescent="0.2">
      <c r="A51" s="794"/>
      <c r="B51" s="794" t="s">
        <v>4128</v>
      </c>
    </row>
  </sheetData>
  <sheetProtection algorithmName="SHA-512" hashValue="zHyMYiWSeI4GGAT8uO0kV6FTPr9flxTckDbf5fL09cmtLK4n4vk/YplPEZP9Ra83ZpyIl/i0WnWaiJjgtCiw7Q==" saltValue="MYcqkconVodlA2U0ITOiAw==" spinCount="100000" sheet="1" objects="1" scenarios="1" autoFilter="0"/>
  <mergeCells count="15">
    <mergeCell ref="C26:G26"/>
    <mergeCell ref="C27:G27"/>
    <mergeCell ref="C28:G28"/>
    <mergeCell ref="K16:Q16"/>
    <mergeCell ref="M8:Q8"/>
    <mergeCell ref="M9:Q9"/>
    <mergeCell ref="E10:G10"/>
    <mergeCell ref="M10:Q10"/>
    <mergeCell ref="M11:Q11"/>
    <mergeCell ref="B4:R4"/>
    <mergeCell ref="B1:R1"/>
    <mergeCell ref="S1:S3"/>
    <mergeCell ref="U1:U3"/>
    <mergeCell ref="B2:R2"/>
    <mergeCell ref="B3:R3"/>
  </mergeCells>
  <conditionalFormatting sqref="S1:S3">
    <cfRule type="cellIs" dxfId="13" priority="2" stopIfTrue="1" operator="equal">
      <formula>"na"</formula>
    </cfRule>
  </conditionalFormatting>
  <conditionalFormatting sqref="U1:U3">
    <cfRule type="cellIs" dxfId="12" priority="1" stopIfTrue="1" operator="equal">
      <formula>"na"</formula>
    </cfRule>
  </conditionalFormatting>
  <hyperlinks>
    <hyperlink ref="B1:R1" location="Index!A1" display="Index!A1" xr:uid="{00000000-0004-0000-4800-000000000000}"/>
  </hyperlinks>
  <pageMargins left="0.7" right="0.7" top="0.75" bottom="0.75" header="0.3" footer="0.3"/>
  <pageSetup scale="96" orientation="portrait" r:id="rId1"/>
  <headerFooter>
    <oddFooter>&amp;R&amp;A</oddFooter>
  </headerFooter>
  <colBreaks count="1" manualBreakCount="1">
    <brk id="19"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dimension ref="A1:J54"/>
  <sheetViews>
    <sheetView showGridLines="0" topLeftCell="A22" zoomScaleNormal="100" workbookViewId="0">
      <selection activeCell="V58" sqref="V58"/>
    </sheetView>
  </sheetViews>
  <sheetFormatPr defaultColWidth="9.42578125" defaultRowHeight="12.75" x14ac:dyDescent="0.2"/>
  <cols>
    <col min="10" max="10" width="9.5703125" customWidth="1"/>
  </cols>
  <sheetData>
    <row r="1" spans="1:10" ht="15.75" x14ac:dyDescent="0.25">
      <c r="A1" s="2697" t="str">
        <f>+Index!$A$1</f>
        <v xml:space="preserve">                                                               Office of the State Controller                                                                </v>
      </c>
      <c r="B1" s="2697"/>
      <c r="C1" s="2697"/>
      <c r="D1" s="2697"/>
      <c r="E1" s="2697"/>
      <c r="F1" s="2697"/>
      <c r="G1" s="2697"/>
      <c r="H1" s="2697"/>
      <c r="I1" s="2697"/>
      <c r="J1" s="2829" t="str">
        <f>IF(Index!$B$100="na","NA","")</f>
        <v/>
      </c>
    </row>
    <row r="2" spans="1:10" ht="15.75" x14ac:dyDescent="0.25">
      <c r="A2" s="2753" t="str">
        <f>+Index!$A$2</f>
        <v>2022 ACFR Worksheets</v>
      </c>
      <c r="B2" s="2753"/>
      <c r="C2" s="2753"/>
      <c r="D2" s="2753"/>
      <c r="E2" s="2753"/>
      <c r="F2" s="2753"/>
      <c r="G2" s="2753"/>
      <c r="H2" s="2753"/>
      <c r="I2" s="2753"/>
      <c r="J2" s="2829"/>
    </row>
    <row r="3" spans="1:10" ht="15.75" x14ac:dyDescent="0.25">
      <c r="A3" s="2754" t="s">
        <v>1075</v>
      </c>
      <c r="B3" s="2754"/>
      <c r="C3" s="2754"/>
      <c r="D3" s="2754"/>
      <c r="E3" s="2754"/>
      <c r="F3" s="2754"/>
      <c r="G3" s="2754"/>
      <c r="H3" s="2754"/>
      <c r="I3" s="2754"/>
      <c r="J3" s="2829"/>
    </row>
    <row r="4" spans="1:10" ht="15.75" x14ac:dyDescent="0.25">
      <c r="A4" s="2754" t="s">
        <v>4132</v>
      </c>
      <c r="B4" s="2754"/>
      <c r="C4" s="2754"/>
      <c r="D4" s="2754"/>
      <c r="E4" s="2754"/>
      <c r="F4" s="2754"/>
      <c r="G4" s="2754"/>
      <c r="H4" s="2754"/>
      <c r="I4" s="2754"/>
    </row>
    <row r="5" spans="1:10" x14ac:dyDescent="0.2">
      <c r="B5" s="454"/>
      <c r="C5" s="454"/>
      <c r="D5" s="454"/>
      <c r="E5" s="61"/>
      <c r="F5" s="454"/>
      <c r="G5" s="454"/>
      <c r="H5" s="454"/>
      <c r="I5" s="447"/>
    </row>
    <row r="6" spans="1:10" x14ac:dyDescent="0.2">
      <c r="A6" s="1643" t="s">
        <v>4163</v>
      </c>
      <c r="B6" s="454"/>
      <c r="C6" s="454"/>
      <c r="D6" s="454"/>
      <c r="E6" s="61"/>
      <c r="F6" s="454"/>
      <c r="G6" s="454"/>
      <c r="H6" s="454"/>
      <c r="I6" s="447"/>
    </row>
    <row r="7" spans="1:10" x14ac:dyDescent="0.2">
      <c r="A7" s="1643" t="s">
        <v>4164</v>
      </c>
      <c r="B7" s="454"/>
      <c r="C7" s="454"/>
      <c r="D7" s="454"/>
      <c r="E7" s="61"/>
      <c r="F7" s="454"/>
      <c r="G7" s="454"/>
      <c r="H7" s="454"/>
      <c r="I7" s="447"/>
    </row>
    <row r="8" spans="1:10" x14ac:dyDescent="0.2">
      <c r="A8" s="61"/>
      <c r="B8" s="1089"/>
      <c r="C8" s="1089"/>
      <c r="D8" s="451"/>
      <c r="E8" s="1345"/>
      <c r="F8" s="1335" t="s">
        <v>327</v>
      </c>
      <c r="G8" s="1336" t="str">
        <f>+Index!$E$10</f>
        <v>01</v>
      </c>
      <c r="H8" s="1337"/>
      <c r="I8" s="1337"/>
      <c r="J8" s="272"/>
    </row>
    <row r="9" spans="1:10" x14ac:dyDescent="0.2">
      <c r="A9" s="1089"/>
      <c r="B9" s="1089"/>
      <c r="C9" s="1089"/>
      <c r="D9" s="1089"/>
      <c r="E9" s="1333"/>
      <c r="F9" s="1335" t="s">
        <v>1154</v>
      </c>
      <c r="G9" s="1338" t="str">
        <f>AgyName</f>
        <v>North Carolina General Assembly</v>
      </c>
      <c r="H9" s="1339"/>
      <c r="I9" s="1339"/>
    </row>
    <row r="10" spans="1:10" x14ac:dyDescent="0.2">
      <c r="A10" s="2900" t="s">
        <v>3447</v>
      </c>
      <c r="B10" s="2900"/>
      <c r="C10" s="1334" t="s">
        <v>805</v>
      </c>
      <c r="E10" s="454"/>
      <c r="F10" s="1335" t="s">
        <v>972</v>
      </c>
      <c r="G10" s="1340" t="str">
        <f>CONCATENATE(Index!$E$12," ",Index!$E$14)</f>
        <v xml:space="preserve"> </v>
      </c>
      <c r="H10" s="1370"/>
      <c r="I10" s="1370"/>
    </row>
    <row r="11" spans="1:10" x14ac:dyDescent="0.2">
      <c r="A11" s="1333"/>
      <c r="B11" s="1333"/>
      <c r="C11" s="1345"/>
      <c r="D11" s="454"/>
      <c r="E11" s="454"/>
      <c r="F11" s="1335" t="s">
        <v>348</v>
      </c>
      <c r="G11" s="1340">
        <f>+Index!$E$13</f>
        <v>0</v>
      </c>
      <c r="H11" s="1370"/>
      <c r="I11" s="1370"/>
    </row>
    <row r="12" spans="1:10" ht="13.5" thickBot="1" x14ac:dyDescent="0.25">
      <c r="A12" s="1346"/>
      <c r="B12" s="1346"/>
      <c r="C12" s="1346"/>
      <c r="D12" s="1346"/>
      <c r="E12" s="1346"/>
      <c r="F12" s="1346"/>
      <c r="G12" s="1346"/>
      <c r="H12" s="1346"/>
      <c r="I12" s="1346"/>
      <c r="J12" s="838"/>
    </row>
    <row r="13" spans="1:10" ht="15" x14ac:dyDescent="0.25">
      <c r="A13" s="1341"/>
      <c r="B13" s="1341"/>
      <c r="C13" s="1341"/>
      <c r="D13" s="1341"/>
      <c r="E13" s="1341"/>
      <c r="F13" s="1341"/>
      <c r="G13" s="1341"/>
      <c r="H13" s="1341"/>
      <c r="I13" s="1341"/>
    </row>
    <row r="14" spans="1:10" x14ac:dyDescent="0.2">
      <c r="A14" s="1204" t="s">
        <v>4133</v>
      </c>
      <c r="B14" s="1204"/>
      <c r="C14" s="1204"/>
      <c r="D14" s="1204"/>
      <c r="E14" s="1204"/>
      <c r="F14" s="1204"/>
      <c r="G14" s="1204"/>
      <c r="H14" s="1204"/>
      <c r="I14" s="1204"/>
    </row>
    <row r="15" spans="1:10" x14ac:dyDescent="0.2">
      <c r="A15" s="1204" t="s">
        <v>4134</v>
      </c>
      <c r="B15" s="1204"/>
      <c r="C15" s="1204"/>
      <c r="D15" s="1204"/>
      <c r="E15" s="1204"/>
      <c r="F15" s="1204"/>
      <c r="G15" s="1204"/>
      <c r="H15" s="1204"/>
      <c r="I15" s="1204"/>
    </row>
    <row r="16" spans="1:10" x14ac:dyDescent="0.2">
      <c r="A16" s="1204"/>
      <c r="B16" s="1204"/>
      <c r="C16" s="1204"/>
      <c r="D16" s="1204"/>
      <c r="E16" s="1204"/>
      <c r="F16" s="1204"/>
      <c r="G16" s="1204"/>
      <c r="H16" s="1204"/>
      <c r="I16" s="1204"/>
    </row>
    <row r="17" spans="1:9" x14ac:dyDescent="0.2">
      <c r="A17" s="1204" t="s">
        <v>4135</v>
      </c>
      <c r="B17" s="1204"/>
      <c r="C17" s="1204"/>
      <c r="D17" s="1204"/>
      <c r="E17" s="1204"/>
      <c r="F17" s="1204"/>
      <c r="G17" s="1204"/>
      <c r="H17" s="1204"/>
      <c r="I17" s="1204"/>
    </row>
    <row r="18" spans="1:9" x14ac:dyDescent="0.2">
      <c r="A18" s="1426" t="s">
        <v>4136</v>
      </c>
      <c r="B18" s="1204"/>
      <c r="C18" s="1204"/>
      <c r="D18" s="1204"/>
      <c r="E18" s="1204"/>
      <c r="F18" s="1204"/>
      <c r="G18" s="1204"/>
      <c r="H18" s="1204"/>
      <c r="I18" s="1204"/>
    </row>
    <row r="19" spans="1:9" x14ac:dyDescent="0.2">
      <c r="A19" s="1426"/>
      <c r="B19" s="1204"/>
      <c r="C19" s="1204"/>
      <c r="D19" s="1204"/>
      <c r="E19" s="1204"/>
      <c r="F19" s="1204"/>
      <c r="G19" s="1204"/>
      <c r="H19" s="1204"/>
      <c r="I19" s="1204"/>
    </row>
    <row r="20" spans="1:9" ht="15.75" x14ac:dyDescent="0.25">
      <c r="A20" s="756" t="s">
        <v>4137</v>
      </c>
      <c r="B20" s="1204"/>
      <c r="C20" s="1204"/>
      <c r="D20" s="1204"/>
      <c r="E20" s="1204"/>
      <c r="F20" s="1204"/>
      <c r="G20" s="1204"/>
      <c r="H20" s="1204"/>
      <c r="I20" s="1204"/>
    </row>
    <row r="21" spans="1:9" ht="15.75" x14ac:dyDescent="0.25">
      <c r="A21" s="756"/>
      <c r="B21" s="1204"/>
      <c r="C21" s="1204"/>
      <c r="D21" s="1204"/>
      <c r="E21" s="1204"/>
      <c r="F21" s="1204"/>
      <c r="G21" s="1204"/>
      <c r="H21" s="1204"/>
      <c r="I21" s="1204"/>
    </row>
    <row r="22" spans="1:9" x14ac:dyDescent="0.2">
      <c r="A22" s="1204" t="s">
        <v>4138</v>
      </c>
      <c r="B22" s="1088"/>
      <c r="C22" s="1089"/>
      <c r="D22" s="1089"/>
      <c r="E22" s="1089"/>
      <c r="F22" s="1089"/>
      <c r="G22" s="1089"/>
      <c r="H22" s="1089"/>
      <c r="I22" s="1089"/>
    </row>
    <row r="23" spans="1:9" x14ac:dyDescent="0.2">
      <c r="A23" s="1204" t="s">
        <v>4139</v>
      </c>
      <c r="B23" s="1088"/>
      <c r="C23" s="1089"/>
      <c r="D23" s="1089"/>
      <c r="E23" s="1089"/>
      <c r="F23" s="1089"/>
      <c r="G23" s="1089"/>
      <c r="H23" s="1089"/>
      <c r="I23" s="1089"/>
    </row>
    <row r="24" spans="1:9" x14ac:dyDescent="0.2">
      <c r="A24" s="1647" t="s">
        <v>4140</v>
      </c>
      <c r="B24" s="1088"/>
      <c r="C24" s="1089"/>
      <c r="D24" s="1089"/>
      <c r="E24" s="1089"/>
      <c r="F24" s="1089"/>
      <c r="G24" s="1089"/>
      <c r="H24" s="1089"/>
      <c r="I24" s="1089"/>
    </row>
    <row r="25" spans="1:9" x14ac:dyDescent="0.2">
      <c r="A25" s="1493" t="s">
        <v>4749</v>
      </c>
      <c r="B25" s="1204"/>
      <c r="C25" s="1204"/>
      <c r="D25" s="272"/>
      <c r="E25" s="272"/>
      <c r="F25" s="272"/>
      <c r="G25" s="272"/>
      <c r="H25" s="272"/>
      <c r="I25" s="272"/>
    </row>
    <row r="26" spans="1:9" x14ac:dyDescent="0.2">
      <c r="A26" s="1493" t="s">
        <v>4750</v>
      </c>
      <c r="B26" s="1204"/>
      <c r="C26" s="1204"/>
      <c r="D26" s="272"/>
      <c r="E26" s="272"/>
      <c r="F26" s="272"/>
      <c r="G26" s="272"/>
      <c r="H26" s="272"/>
      <c r="I26" s="272"/>
    </row>
    <row r="27" spans="1:9" x14ac:dyDescent="0.2">
      <c r="A27" s="1493" t="s">
        <v>4751</v>
      </c>
      <c r="B27" s="1204"/>
      <c r="C27" s="1204"/>
      <c r="D27" s="272"/>
      <c r="E27" s="272"/>
      <c r="F27" s="272"/>
      <c r="G27" s="272"/>
      <c r="H27" s="272"/>
      <c r="I27" s="272"/>
    </row>
    <row r="28" spans="1:9" x14ac:dyDescent="0.2">
      <c r="A28" s="1493" t="s">
        <v>4752</v>
      </c>
      <c r="B28" s="1204"/>
      <c r="C28" s="1204"/>
      <c r="D28" s="272"/>
      <c r="E28" s="272"/>
      <c r="F28" s="272"/>
      <c r="G28" s="272"/>
      <c r="H28" s="272"/>
      <c r="I28" s="272"/>
    </row>
    <row r="29" spans="1:9" x14ac:dyDescent="0.2">
      <c r="A29" s="1493" t="s">
        <v>4753</v>
      </c>
      <c r="B29" s="1204"/>
      <c r="C29" s="1204"/>
      <c r="D29" s="272"/>
      <c r="E29" s="272"/>
      <c r="F29" s="272"/>
      <c r="G29" s="272"/>
      <c r="H29" s="272"/>
      <c r="I29" s="272"/>
    </row>
    <row r="30" spans="1:9" x14ac:dyDescent="0.2">
      <c r="A30" s="1204"/>
      <c r="B30" s="1204"/>
      <c r="C30" s="1204"/>
      <c r="D30" s="272"/>
      <c r="E30" s="272"/>
      <c r="F30" s="272"/>
      <c r="G30" s="272"/>
      <c r="H30" s="272"/>
      <c r="I30" s="272"/>
    </row>
    <row r="31" spans="1:9" x14ac:dyDescent="0.2">
      <c r="A31" s="1204" t="s">
        <v>4141</v>
      </c>
      <c r="B31" s="1204"/>
      <c r="C31" s="1204"/>
      <c r="D31" s="272"/>
      <c r="E31" s="272"/>
      <c r="F31" s="272"/>
      <c r="G31" s="272"/>
      <c r="H31" s="272"/>
      <c r="I31" s="272"/>
    </row>
    <row r="32" spans="1:9" x14ac:dyDescent="0.2">
      <c r="A32" s="1204" t="s">
        <v>4142</v>
      </c>
      <c r="B32" s="1204"/>
      <c r="C32" s="1204"/>
      <c r="D32" s="272"/>
      <c r="E32" s="272"/>
      <c r="F32" s="272"/>
      <c r="G32" s="272"/>
      <c r="H32" s="272"/>
      <c r="I32" s="272"/>
    </row>
    <row r="33" spans="1:9" x14ac:dyDescent="0.2">
      <c r="A33" s="1204"/>
      <c r="B33" s="1204"/>
      <c r="C33" s="1090" t="s">
        <v>969</v>
      </c>
      <c r="D33" s="1369"/>
      <c r="E33" s="272"/>
      <c r="F33" s="272"/>
      <c r="G33" s="272"/>
      <c r="H33" s="272"/>
      <c r="I33" s="272"/>
    </row>
    <row r="34" spans="1:9" x14ac:dyDescent="0.2">
      <c r="A34" s="1204"/>
      <c r="B34" s="1204"/>
      <c r="C34" s="1090" t="s">
        <v>970</v>
      </c>
      <c r="D34" s="1369"/>
      <c r="E34" s="272"/>
      <c r="F34" s="272"/>
      <c r="G34" s="272"/>
      <c r="H34" s="272"/>
      <c r="I34" s="272"/>
    </row>
    <row r="35" spans="1:9" x14ac:dyDescent="0.2">
      <c r="A35" s="1089"/>
      <c r="B35" s="1204"/>
      <c r="C35" s="1204"/>
      <c r="D35" s="272"/>
      <c r="E35" s="272"/>
      <c r="F35" s="272"/>
      <c r="G35" s="272"/>
      <c r="H35" s="272"/>
      <c r="I35" s="272"/>
    </row>
    <row r="36" spans="1:9" x14ac:dyDescent="0.2">
      <c r="A36" s="1344" t="s">
        <v>1955</v>
      </c>
      <c r="B36" s="1204"/>
      <c r="C36" s="1204"/>
      <c r="D36" s="272"/>
      <c r="E36" s="272"/>
      <c r="F36" s="272"/>
      <c r="G36" s="272"/>
      <c r="H36" s="272"/>
      <c r="I36" s="272"/>
    </row>
    <row r="37" spans="1:9" x14ac:dyDescent="0.2">
      <c r="A37" s="1204" t="s">
        <v>5539</v>
      </c>
      <c r="B37" s="1204"/>
      <c r="C37" s="1204"/>
      <c r="D37" s="272"/>
      <c r="E37" s="272"/>
      <c r="F37" s="272"/>
      <c r="G37" s="272"/>
      <c r="H37" s="272"/>
      <c r="I37" s="272"/>
    </row>
    <row r="38" spans="1:9" x14ac:dyDescent="0.2">
      <c r="A38" s="1089"/>
      <c r="B38" s="1204"/>
      <c r="C38" s="1204"/>
      <c r="D38" s="272"/>
      <c r="E38" s="272"/>
      <c r="F38" s="272"/>
      <c r="G38" s="272"/>
      <c r="H38" s="272"/>
      <c r="I38" s="272"/>
    </row>
    <row r="39" spans="1:9" ht="15.75" x14ac:dyDescent="0.25">
      <c r="A39" s="756" t="s">
        <v>4143</v>
      </c>
      <c r="B39" s="1204"/>
      <c r="C39" s="1204"/>
      <c r="D39" s="272"/>
      <c r="E39" s="272"/>
      <c r="F39" s="272"/>
      <c r="G39" s="272"/>
      <c r="H39" s="272"/>
      <c r="I39" s="272"/>
    </row>
    <row r="40" spans="1:9" x14ac:dyDescent="0.2">
      <c r="A40" s="1089"/>
      <c r="B40" s="1204"/>
      <c r="C40" s="1204"/>
      <c r="D40" s="272"/>
      <c r="E40" s="272"/>
      <c r="F40" s="272"/>
      <c r="G40" s="272"/>
      <c r="H40" s="272"/>
      <c r="I40" s="272"/>
    </row>
    <row r="41" spans="1:9" x14ac:dyDescent="0.2">
      <c r="A41" s="1089" t="s">
        <v>4144</v>
      </c>
      <c r="B41" s="1204"/>
      <c r="C41" s="1204"/>
      <c r="D41" s="272"/>
      <c r="E41" s="272"/>
      <c r="F41" s="272"/>
      <c r="G41" s="272"/>
      <c r="H41" s="272"/>
      <c r="I41" s="272"/>
    </row>
    <row r="42" spans="1:9" x14ac:dyDescent="0.2">
      <c r="A42" s="1089" t="s">
        <v>4145</v>
      </c>
      <c r="B42" s="1204"/>
      <c r="C42" s="1204"/>
      <c r="D42" s="272"/>
      <c r="E42" s="272"/>
      <c r="F42" s="272"/>
      <c r="G42" s="272"/>
      <c r="H42" s="272"/>
      <c r="I42" s="272"/>
    </row>
    <row r="43" spans="1:9" x14ac:dyDescent="0.2">
      <c r="B43" s="1088"/>
      <c r="C43" s="1089"/>
      <c r="D43" s="1089"/>
      <c r="E43" s="1089"/>
      <c r="F43" s="1089"/>
      <c r="G43" s="1089"/>
      <c r="H43" s="1089"/>
      <c r="I43" s="1089"/>
    </row>
    <row r="44" spans="1:9" x14ac:dyDescent="0.2">
      <c r="A44" s="1204" t="s">
        <v>4146</v>
      </c>
      <c r="B44" s="1088"/>
      <c r="C44" s="1089"/>
      <c r="D44" s="1089"/>
      <c r="E44" s="1089"/>
      <c r="F44" s="1089"/>
      <c r="G44" s="1089"/>
      <c r="H44" s="1089"/>
      <c r="I44" s="1089"/>
    </row>
    <row r="45" spans="1:9" x14ac:dyDescent="0.2">
      <c r="A45" s="1204" t="s">
        <v>4147</v>
      </c>
      <c r="B45" s="1088"/>
      <c r="C45" s="1089"/>
      <c r="D45" s="1089"/>
      <c r="E45" s="1089"/>
      <c r="F45" s="1089"/>
      <c r="G45" s="1089"/>
      <c r="H45" s="1089"/>
      <c r="I45" s="1089"/>
    </row>
    <row r="46" spans="1:9" x14ac:dyDescent="0.2">
      <c r="A46" s="1204" t="s">
        <v>4148</v>
      </c>
      <c r="B46" s="1088"/>
      <c r="C46" s="1089"/>
      <c r="D46" s="1089"/>
      <c r="E46" s="1089"/>
      <c r="F46" s="1089"/>
      <c r="G46" s="1089"/>
      <c r="H46" s="1089"/>
      <c r="I46" s="1089"/>
    </row>
    <row r="47" spans="1:9" x14ac:dyDescent="0.2">
      <c r="A47" s="1204" t="s">
        <v>4149</v>
      </c>
      <c r="B47" s="1088"/>
      <c r="C47" s="1089"/>
      <c r="D47" s="1089"/>
      <c r="E47" s="1089"/>
      <c r="F47" s="1089"/>
      <c r="G47" s="1089"/>
      <c r="H47" s="1089"/>
      <c r="I47" s="1089"/>
    </row>
    <row r="48" spans="1:9" x14ac:dyDescent="0.2">
      <c r="A48" s="1088"/>
      <c r="B48" s="1088"/>
      <c r="C48" s="1090" t="s">
        <v>969</v>
      </c>
      <c r="D48" s="1369"/>
      <c r="E48" s="1089"/>
      <c r="F48" s="1089"/>
      <c r="G48" s="1089"/>
      <c r="H48" s="1089"/>
      <c r="I48" s="1089"/>
    </row>
    <row r="49" spans="1:9" x14ac:dyDescent="0.2">
      <c r="A49" s="1088"/>
      <c r="B49" s="1088"/>
      <c r="C49" s="1090" t="s">
        <v>970</v>
      </c>
      <c r="D49" s="1369"/>
      <c r="E49" s="1089"/>
      <c r="F49" s="1089"/>
      <c r="G49" s="1089"/>
      <c r="H49" s="1089"/>
      <c r="I49" s="1089"/>
    </row>
    <row r="50" spans="1:9" x14ac:dyDescent="0.2">
      <c r="A50" s="1088"/>
      <c r="B50" s="1088"/>
      <c r="C50" s="1089"/>
      <c r="D50" s="1089"/>
      <c r="E50" s="1089"/>
      <c r="F50" s="1089"/>
      <c r="G50" s="1089"/>
      <c r="H50" s="1089"/>
      <c r="I50" s="1089"/>
    </row>
    <row r="51" spans="1:9" ht="15.75" x14ac:dyDescent="0.25">
      <c r="A51" s="1344" t="s">
        <v>1955</v>
      </c>
      <c r="B51" s="1088"/>
      <c r="C51" s="63"/>
      <c r="D51" s="63"/>
      <c r="E51" s="1089"/>
      <c r="F51" s="1089"/>
      <c r="G51" s="1089"/>
      <c r="H51" s="1089"/>
      <c r="I51" s="1089"/>
    </row>
    <row r="52" spans="1:9" x14ac:dyDescent="0.2">
      <c r="A52" s="1204" t="s">
        <v>5539</v>
      </c>
      <c r="B52" s="1089"/>
      <c r="C52" s="1089"/>
      <c r="D52" s="1089"/>
      <c r="E52" s="1089"/>
      <c r="F52" s="1089"/>
      <c r="G52" s="1089"/>
      <c r="H52" s="1089"/>
      <c r="I52" s="1089"/>
    </row>
    <row r="53" spans="1:9" x14ac:dyDescent="0.2">
      <c r="A53" s="1088"/>
      <c r="B53" s="1088"/>
      <c r="C53" s="1089"/>
      <c r="D53" s="1089"/>
      <c r="E53" s="1089"/>
      <c r="F53" s="1089"/>
      <c r="G53" s="1089"/>
      <c r="H53" s="1089"/>
      <c r="I53" s="1089"/>
    </row>
    <row r="54" spans="1:9" x14ac:dyDescent="0.2">
      <c r="A54" s="61"/>
      <c r="B54" s="273"/>
      <c r="C54" s="273"/>
      <c r="D54" s="273"/>
      <c r="E54" s="273"/>
      <c r="F54" s="273"/>
      <c r="G54" s="273"/>
      <c r="H54" s="273"/>
      <c r="I54" s="1089"/>
    </row>
  </sheetData>
  <sheetProtection algorithmName="SHA-512" hashValue="+V3kB+9ddXXaCkjvHvKDUq52fwn5Wmj16QP15d7AcGSknzyHFvEo91okL5A8B3NmDJvQCiUdufLVL/qZuFVRRQ==" saltValue="aK6+U42y2F4uyOwkVZfVFQ==" spinCount="100000" sheet="1" objects="1" scenarios="1" autoFilter="0"/>
  <mergeCells count="6">
    <mergeCell ref="A10:B10"/>
    <mergeCell ref="A1:I1"/>
    <mergeCell ref="J1:J3"/>
    <mergeCell ref="A2:I2"/>
    <mergeCell ref="A3:I3"/>
    <mergeCell ref="A4:I4"/>
  </mergeCells>
  <conditionalFormatting sqref="J1:J3">
    <cfRule type="cellIs" dxfId="11" priority="1" stopIfTrue="1" operator="equal">
      <formula>"na"</formula>
    </cfRule>
  </conditionalFormatting>
  <hyperlinks>
    <hyperlink ref="A1:I1" location="Index!A1" display="Index!A1" xr:uid="{00000000-0004-0000-4900-000000000000}"/>
    <hyperlink ref="A18" r:id="rId1" xr:uid="{00000000-0004-0000-4900-000001000000}"/>
  </hyperlinks>
  <pageMargins left="0.7" right="0.7" top="0.75" bottom="0.75" header="0.3" footer="0.3"/>
  <pageSetup scale="88" orientation="portrait" r:id="rId2"/>
  <headerFooter>
    <oddFooter xml:space="preserve">&amp;R&amp;A </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pageSetUpPr fitToPage="1"/>
  </sheetPr>
  <dimension ref="A1:U272"/>
  <sheetViews>
    <sheetView zoomScaleNormal="100" zoomScaleSheetLayoutView="100" workbookViewId="0">
      <selection activeCell="L139" sqref="L139"/>
    </sheetView>
  </sheetViews>
  <sheetFormatPr defaultRowHeight="12.75" x14ac:dyDescent="0.2"/>
  <cols>
    <col min="1" max="1" width="5.5703125" customWidth="1"/>
    <col min="2" max="2" width="11" customWidth="1"/>
    <col min="3" max="3" width="7.5703125" customWidth="1"/>
    <col min="4" max="4" width="19.42578125" customWidth="1"/>
    <col min="5" max="5" width="13.42578125" customWidth="1"/>
    <col min="6" max="6" width="18.5703125" style="649" customWidth="1"/>
    <col min="7" max="7" width="4.5703125" customWidth="1"/>
    <col min="8" max="8" width="3.5703125" customWidth="1"/>
    <col min="9" max="9" width="18.5703125" customWidth="1"/>
    <col min="10" max="10" width="3.42578125" customWidth="1"/>
    <col min="11" max="11" width="21.28515625" customWidth="1"/>
    <col min="12" max="12" width="13.42578125" style="2367" bestFit="1" customWidth="1"/>
    <col min="13" max="14" width="9.140625" style="2358"/>
    <col min="15" max="15" width="12.85546875" style="2358" customWidth="1"/>
    <col min="16" max="21" width="9.140625" style="2358"/>
  </cols>
  <sheetData>
    <row r="1" spans="1:21" ht="25.15" customHeight="1" x14ac:dyDescent="0.25">
      <c r="A1" s="2767" t="str">
        <f>+Index!$A$1</f>
        <v xml:space="preserve">                                                               Office of the State Controller                                                                </v>
      </c>
      <c r="B1" s="2767"/>
      <c r="C1" s="2767"/>
      <c r="D1" s="2767"/>
      <c r="E1" s="2767"/>
      <c r="F1" s="2767"/>
      <c r="G1" s="2767"/>
      <c r="H1" s="818" t="str">
        <f>IF(Index!$B$101="na", "NA", "")</f>
        <v/>
      </c>
      <c r="I1" s="1317"/>
      <c r="J1" s="622"/>
      <c r="K1" s="622"/>
      <c r="L1" s="2304"/>
      <c r="M1" s="2295"/>
      <c r="N1" s="2295"/>
      <c r="O1" s="2354" t="s">
        <v>5117</v>
      </c>
      <c r="P1" s="2354" t="str">
        <f>IFERROR(VLOOKUP(C5,FCCSent,2,FALSE),"")</f>
        <v/>
      </c>
      <c r="Q1" s="2385" t="s">
        <v>5118</v>
      </c>
      <c r="R1" s="2295"/>
    </row>
    <row r="2" spans="1:21" ht="16.5" x14ac:dyDescent="0.3">
      <c r="A2" s="2749" t="str">
        <f>+Index!$A$2</f>
        <v>2022 ACFR Worksheets</v>
      </c>
      <c r="B2" s="2749"/>
      <c r="C2" s="2749"/>
      <c r="D2" s="2749"/>
      <c r="E2" s="2749"/>
      <c r="F2" s="2749"/>
      <c r="G2" s="2749"/>
      <c r="H2" s="818"/>
      <c r="I2" s="623"/>
      <c r="J2" s="623"/>
      <c r="K2" s="632"/>
      <c r="L2" s="2386"/>
      <c r="M2" s="2356"/>
      <c r="N2" s="2356"/>
      <c r="O2" s="2354" t="s">
        <v>5119</v>
      </c>
      <c r="P2" s="2354" t="str">
        <f>VLOOKUP(C5,FCCSnum,2,FALSE)</f>
        <v>0100</v>
      </c>
      <c r="Q2" s="2356"/>
      <c r="R2" s="2356"/>
    </row>
    <row r="3" spans="1:21" ht="49.5" customHeight="1" x14ac:dyDescent="0.3">
      <c r="A3" s="3309" t="s">
        <v>4725</v>
      </c>
      <c r="B3" s="3309"/>
      <c r="C3" s="3309"/>
      <c r="D3" s="3309"/>
      <c r="E3" s="3309"/>
      <c r="F3" s="3309"/>
      <c r="G3" s="3309"/>
      <c r="H3" s="623"/>
      <c r="I3" s="623"/>
      <c r="J3" s="623"/>
      <c r="K3" s="632"/>
      <c r="L3" s="2386"/>
      <c r="M3" s="2356"/>
      <c r="N3" s="2356"/>
      <c r="O3" s="2356"/>
      <c r="P3" s="2356"/>
      <c r="Q3" s="2356"/>
      <c r="R3" s="2356"/>
    </row>
    <row r="4" spans="1:21" ht="15.75" customHeight="1" x14ac:dyDescent="0.2">
      <c r="A4" s="3262"/>
      <c r="B4" s="3262"/>
      <c r="C4" s="3262"/>
      <c r="D4" s="3262"/>
      <c r="E4" s="3262"/>
      <c r="F4" s="3262"/>
      <c r="G4" s="3262"/>
      <c r="H4" s="3262"/>
      <c r="I4" s="3262"/>
    </row>
    <row r="5" spans="1:21" s="200" customFormat="1" ht="21.75" customHeight="1" x14ac:dyDescent="0.25">
      <c r="A5" s="200" t="s">
        <v>327</v>
      </c>
      <c r="C5" s="636" t="str">
        <f>+Index!$E$10</f>
        <v>01</v>
      </c>
      <c r="D5" s="1488"/>
      <c r="E5" s="799" t="s">
        <v>972</v>
      </c>
      <c r="F5" s="3311" t="str">
        <f>+CONCATENATE(Index!$E$12," ",Index!$E$14)</f>
        <v xml:space="preserve"> </v>
      </c>
      <c r="G5" s="3311"/>
      <c r="K5" s="633"/>
      <c r="L5" s="2387"/>
      <c r="M5" s="2360"/>
      <c r="N5" s="2360"/>
      <c r="O5" s="2360"/>
      <c r="P5" s="2360"/>
      <c r="Q5" s="2360"/>
      <c r="R5" s="2360"/>
      <c r="S5" s="2371"/>
      <c r="T5" s="2360"/>
      <c r="U5" s="2360"/>
    </row>
    <row r="6" spans="1:21" s="200" customFormat="1" ht="15" customHeight="1" x14ac:dyDescent="0.2">
      <c r="A6" s="200" t="s">
        <v>1154</v>
      </c>
      <c r="C6" s="3305" t="str">
        <f>+Index!$E$11</f>
        <v>North Carolina General Assembly</v>
      </c>
      <c r="D6" s="3305"/>
      <c r="E6" s="800" t="s">
        <v>348</v>
      </c>
      <c r="F6" s="3312">
        <f>+Index!$E$13</f>
        <v>0</v>
      </c>
      <c r="G6" s="3312"/>
      <c r="K6" s="634"/>
      <c r="L6" s="2388"/>
      <c r="M6" s="2362"/>
      <c r="N6" s="2362"/>
      <c r="O6" s="2362"/>
      <c r="P6" s="2362"/>
      <c r="Q6" s="2362"/>
      <c r="R6" s="2373"/>
      <c r="S6" s="2371"/>
      <c r="T6" s="2360"/>
      <c r="U6" s="2360"/>
    </row>
    <row r="7" spans="1:21" s="200" customFormat="1" ht="15" customHeight="1" x14ac:dyDescent="0.2">
      <c r="A7" s="200" t="s">
        <v>477</v>
      </c>
      <c r="C7" s="1047" t="e">
        <f>INDEX(NetAssetsData,MATCH('905'!$C$5,NetAssetsDataRow,0),4)</f>
        <v>#N/A</v>
      </c>
      <c r="F7" s="801"/>
      <c r="L7" s="2387"/>
      <c r="M7" s="2360"/>
      <c r="N7" s="2360"/>
      <c r="O7" s="2360"/>
      <c r="P7" s="2360"/>
      <c r="Q7" s="2360"/>
      <c r="R7" s="2360"/>
      <c r="S7" s="2371"/>
      <c r="T7" s="2360"/>
      <c r="U7" s="2360"/>
    </row>
    <row r="8" spans="1:21" s="124" customFormat="1" ht="48.75" customHeight="1" x14ac:dyDescent="0.2">
      <c r="A8" s="3313" t="s">
        <v>4048</v>
      </c>
      <c r="B8" s="3314"/>
      <c r="C8" s="3314"/>
      <c r="D8" s="3314"/>
      <c r="E8" s="3314"/>
      <c r="F8" s="3314"/>
      <c r="G8" s="3314"/>
      <c r="H8" s="3314"/>
      <c r="I8" s="3315"/>
      <c r="L8" s="2389"/>
      <c r="M8" s="2390"/>
      <c r="N8" s="2390"/>
      <c r="O8" s="2390"/>
      <c r="P8" s="2390"/>
      <c r="Q8" s="2390"/>
      <c r="R8" s="2390"/>
      <c r="S8" s="2390"/>
      <c r="T8" s="2390"/>
      <c r="U8" s="2390"/>
    </row>
    <row r="9" spans="1:21" x14ac:dyDescent="0.2">
      <c r="A9" s="200"/>
      <c r="F9" s="1247" t="s">
        <v>1828</v>
      </c>
      <c r="I9" s="38"/>
    </row>
    <row r="10" spans="1:21" x14ac:dyDescent="0.2">
      <c r="B10" s="3310" t="s">
        <v>1891</v>
      </c>
      <c r="C10" s="3310"/>
      <c r="D10" s="3310"/>
      <c r="E10" s="3310"/>
      <c r="G10" s="14"/>
      <c r="I10" s="1229" t="s">
        <v>1819</v>
      </c>
      <c r="L10" s="2391" t="s">
        <v>5120</v>
      </c>
    </row>
    <row r="11" spans="1:21" x14ac:dyDescent="0.2">
      <c r="B11" s="783" t="s">
        <v>628</v>
      </c>
      <c r="C11" s="783"/>
      <c r="F11" s="1087" t="str">
        <f>TEXT(Data!$A$2,"mmmm d,yyyy")</f>
        <v>June 30,2022</v>
      </c>
      <c r="G11" s="982"/>
      <c r="I11" s="1087" t="str">
        <f>TEXT(Data!$A$4,"mmmm d,yyyy")</f>
        <v>June 30,2021</v>
      </c>
    </row>
    <row r="12" spans="1:21" x14ac:dyDescent="0.2">
      <c r="A12" s="2" t="s">
        <v>3588</v>
      </c>
      <c r="B12" s="784" t="s">
        <v>629</v>
      </c>
      <c r="C12" s="784"/>
      <c r="G12" s="820"/>
    </row>
    <row r="13" spans="1:21" x14ac:dyDescent="0.2">
      <c r="A13" s="335">
        <v>1000</v>
      </c>
      <c r="B13" s="3206" t="s">
        <v>630</v>
      </c>
      <c r="C13" s="3206"/>
      <c r="D13" s="3206"/>
      <c r="E13" s="3206"/>
      <c r="F13" s="658">
        <v>0</v>
      </c>
      <c r="G13" s="14"/>
      <c r="I13" s="650" t="e">
        <f>INDEX(PY905Data,MATCH($A13,PY905Row,0),MATCH($C$5,PY905Col,0))</f>
        <v>#N/A</v>
      </c>
      <c r="L13" s="2385">
        <v>11111000</v>
      </c>
    </row>
    <row r="14" spans="1:21" x14ac:dyDescent="0.2">
      <c r="A14" s="335">
        <v>1010</v>
      </c>
      <c r="B14" s="3206" t="s">
        <v>1419</v>
      </c>
      <c r="C14" s="3206"/>
      <c r="D14" s="3206"/>
      <c r="E14" s="3206"/>
      <c r="F14" s="659">
        <v>0</v>
      </c>
      <c r="I14" s="649" t="e">
        <f>INDEX(PY905Data,MATCH($A14,PY905Row,0),MATCH($C$5,PY905Col,0))</f>
        <v>#N/A</v>
      </c>
      <c r="L14" s="2367">
        <v>11121000</v>
      </c>
    </row>
    <row r="15" spans="1:21" x14ac:dyDescent="0.2">
      <c r="A15" s="335">
        <v>1050</v>
      </c>
      <c r="B15" s="3206" t="s">
        <v>425</v>
      </c>
      <c r="C15" s="3206"/>
      <c r="D15" s="3206"/>
      <c r="E15" s="3206"/>
      <c r="F15" s="659">
        <v>0</v>
      </c>
      <c r="G15" s="14"/>
      <c r="I15" s="649" t="e">
        <f>INDEX(PY905Data,MATCH($A15,PY905Row,0),MATCH($C$5,PY905Col,0))</f>
        <v>#N/A</v>
      </c>
      <c r="L15" s="2367">
        <v>11210100</v>
      </c>
    </row>
    <row r="16" spans="1:21" x14ac:dyDescent="0.2">
      <c r="A16" s="335">
        <v>1060</v>
      </c>
      <c r="B16" s="3206" t="s">
        <v>1223</v>
      </c>
      <c r="C16" s="3206"/>
      <c r="D16" s="3206"/>
      <c r="E16" s="3206"/>
      <c r="F16" s="844">
        <v>0</v>
      </c>
      <c r="G16" s="821"/>
      <c r="I16" s="649" t="e">
        <f>INDEX(PY905Data,MATCH($A16,PY905Row,0),MATCH($C$5,PY905Col,0))</f>
        <v>#N/A</v>
      </c>
      <c r="L16" s="2367">
        <v>11221000</v>
      </c>
    </row>
    <row r="17" spans="1:21" x14ac:dyDescent="0.2">
      <c r="A17" s="335">
        <v>1090</v>
      </c>
      <c r="B17" s="3294" t="s">
        <v>1421</v>
      </c>
      <c r="C17" s="3294"/>
      <c r="D17" s="3294"/>
      <c r="E17" s="3294"/>
      <c r="F17" s="844">
        <v>0</v>
      </c>
      <c r="G17" s="1719" t="e">
        <f>IF(AND(ABS(F17)&gt;=1,$C$7="4XXX"),"Universities do not record securities lending collateral for CAFR"," ")</f>
        <v>#N/A</v>
      </c>
      <c r="I17" s="649" t="e">
        <f>INDEX(PY905Data,MATCH($A17,PY905Row,0),MATCH($C$5,PY905Col,0))</f>
        <v>#N/A</v>
      </c>
      <c r="L17" s="2367">
        <v>11230000</v>
      </c>
    </row>
    <row r="18" spans="1:21" x14ac:dyDescent="0.2">
      <c r="A18" s="335"/>
      <c r="B18" s="335" t="s">
        <v>198</v>
      </c>
      <c r="C18" s="335"/>
      <c r="I18" s="649"/>
    </row>
    <row r="19" spans="1:21" x14ac:dyDescent="0.2">
      <c r="A19" s="335">
        <v>1110</v>
      </c>
      <c r="B19" s="3300" t="s">
        <v>199</v>
      </c>
      <c r="C19" s="3300"/>
      <c r="D19" s="3300"/>
      <c r="E19" s="3300"/>
      <c r="F19" s="659">
        <v>0</v>
      </c>
      <c r="I19" s="649" t="e">
        <f t="shared" ref="I19:I36" si="0">INDEX(PY905Data,MATCH($A19,PY905Row,0),MATCH($C$5,PY905Col,0))</f>
        <v>#N/A</v>
      </c>
      <c r="L19" s="2367">
        <v>11320000</v>
      </c>
    </row>
    <row r="20" spans="1:21" x14ac:dyDescent="0.2">
      <c r="A20" s="335">
        <v>1120</v>
      </c>
      <c r="B20" s="3300" t="s">
        <v>312</v>
      </c>
      <c r="C20" s="3300"/>
      <c r="D20" s="3300"/>
      <c r="E20" s="3300"/>
      <c r="F20" s="659">
        <v>0</v>
      </c>
      <c r="I20" s="649" t="e">
        <f t="shared" si="0"/>
        <v>#N/A</v>
      </c>
      <c r="L20" s="2367">
        <v>11341000</v>
      </c>
    </row>
    <row r="21" spans="1:21" x14ac:dyDescent="0.2">
      <c r="A21" s="335">
        <v>1130</v>
      </c>
      <c r="B21" s="3300" t="s">
        <v>200</v>
      </c>
      <c r="C21" s="3300"/>
      <c r="D21" s="3300"/>
      <c r="E21" s="3300"/>
      <c r="F21" s="659">
        <v>0</v>
      </c>
      <c r="I21" s="649" t="e">
        <f t="shared" si="0"/>
        <v>#N/A</v>
      </c>
      <c r="L21" s="2367">
        <v>11351000</v>
      </c>
    </row>
    <row r="22" spans="1:21" x14ac:dyDescent="0.2">
      <c r="A22" s="335">
        <v>1160</v>
      </c>
      <c r="B22" s="3300" t="s">
        <v>637</v>
      </c>
      <c r="C22" s="3300"/>
      <c r="D22" s="3300"/>
      <c r="E22" s="3300"/>
      <c r="F22" s="659">
        <v>0</v>
      </c>
      <c r="I22" s="649" t="e">
        <f t="shared" si="0"/>
        <v>#N/A</v>
      </c>
      <c r="L22" s="2367">
        <v>11336000</v>
      </c>
    </row>
    <row r="23" spans="1:21" s="2209" customFormat="1" x14ac:dyDescent="0.2">
      <c r="A23" s="2080">
        <v>1175</v>
      </c>
      <c r="B23" s="3306" t="s">
        <v>4978</v>
      </c>
      <c r="C23" s="3306"/>
      <c r="D23" s="3306"/>
      <c r="E23" s="3306"/>
      <c r="F23" s="1036">
        <f>'535'!H34</f>
        <v>0</v>
      </c>
      <c r="I23" s="649" t="e">
        <f t="shared" si="0"/>
        <v>#N/A</v>
      </c>
      <c r="K23" s="1844"/>
      <c r="L23" s="2401">
        <v>11450100</v>
      </c>
      <c r="M23" s="2358"/>
      <c r="N23" s="2358"/>
      <c r="O23" s="2358"/>
      <c r="P23" s="2358"/>
      <c r="Q23" s="2358"/>
      <c r="R23" s="2358"/>
      <c r="S23" s="2358"/>
      <c r="T23" s="2358"/>
      <c r="U23" s="2358"/>
    </row>
    <row r="24" spans="1:21" x14ac:dyDescent="0.2">
      <c r="A24" s="1129">
        <v>1190</v>
      </c>
      <c r="B24" s="3294" t="s">
        <v>1484</v>
      </c>
      <c r="C24" s="3294"/>
      <c r="D24" s="3294"/>
      <c r="E24" s="3294"/>
      <c r="F24" s="1036">
        <f>'525'!H24</f>
        <v>0</v>
      </c>
      <c r="G24" t="str">
        <f>IF(F24='525'!H24, " ", "Problem: Must agree to ws 525 total  Due frm St of NC Comp Unit")</f>
        <v xml:space="preserve"> </v>
      </c>
      <c r="I24" s="649" t="e">
        <f t="shared" si="0"/>
        <v>#N/A</v>
      </c>
      <c r="L24" s="2380">
        <v>11470000</v>
      </c>
    </row>
    <row r="25" spans="1:21" x14ac:dyDescent="0.2">
      <c r="A25" s="1129">
        <v>1195</v>
      </c>
      <c r="B25" s="3294" t="s">
        <v>4270</v>
      </c>
      <c r="C25" s="3294"/>
      <c r="D25" s="3294"/>
      <c r="E25" s="3294"/>
      <c r="F25" s="1036">
        <f>'616'!D30</f>
        <v>0</v>
      </c>
      <c r="G25" t="str">
        <f>IF(F25='616'!D30, " ", "Problem: Must agree to ws 616 total  Due from Agency/Institution Comp Unit")</f>
        <v xml:space="preserve"> </v>
      </c>
      <c r="H25" s="14"/>
      <c r="I25" s="649" t="e">
        <f t="shared" si="0"/>
        <v>#N/A</v>
      </c>
      <c r="L25" s="2367">
        <v>11480000</v>
      </c>
    </row>
    <row r="26" spans="1:21" x14ac:dyDescent="0.2">
      <c r="A26" s="1129">
        <v>1200</v>
      </c>
      <c r="B26" s="3294" t="s">
        <v>1485</v>
      </c>
      <c r="C26" s="3294"/>
      <c r="D26" s="3294"/>
      <c r="E26" s="3294"/>
      <c r="F26" s="1036">
        <f>'515'!H25</f>
        <v>0</v>
      </c>
      <c r="G26" t="str">
        <f>IF(F26='515'!H25, " ", "Problem: Must agree to ws 515 total  Due from Primary Government")</f>
        <v xml:space="preserve"> </v>
      </c>
      <c r="I26" s="649" t="e">
        <f t="shared" si="0"/>
        <v>#N/A</v>
      </c>
      <c r="L26" s="2380">
        <v>11460000</v>
      </c>
    </row>
    <row r="27" spans="1:21" x14ac:dyDescent="0.2">
      <c r="A27" s="335">
        <v>1220</v>
      </c>
      <c r="B27" s="3299" t="s">
        <v>931</v>
      </c>
      <c r="C27" s="3299"/>
      <c r="D27" s="3299"/>
      <c r="E27" s="3299"/>
      <c r="F27" s="659">
        <v>0</v>
      </c>
      <c r="I27" s="649" t="e">
        <f t="shared" si="0"/>
        <v>#N/A</v>
      </c>
      <c r="L27" s="2367">
        <v>11611000</v>
      </c>
    </row>
    <row r="28" spans="1:21" x14ac:dyDescent="0.2">
      <c r="A28" s="335">
        <v>1230</v>
      </c>
      <c r="B28" s="3206" t="s">
        <v>631</v>
      </c>
      <c r="C28" s="3206"/>
      <c r="D28" s="3206"/>
      <c r="E28" s="3206"/>
      <c r="F28" s="659">
        <v>0</v>
      </c>
      <c r="I28" s="649" t="e">
        <f t="shared" si="0"/>
        <v>#N/A</v>
      </c>
      <c r="L28" s="2367">
        <v>11910000</v>
      </c>
    </row>
    <row r="29" spans="1:21" x14ac:dyDescent="0.2">
      <c r="A29" s="335">
        <v>1210</v>
      </c>
      <c r="B29" s="3206" t="s">
        <v>549</v>
      </c>
      <c r="C29" s="3206"/>
      <c r="D29" s="3206"/>
      <c r="E29" s="3206"/>
      <c r="F29" s="659">
        <v>0</v>
      </c>
      <c r="I29" s="649" t="e">
        <f t="shared" si="0"/>
        <v>#N/A</v>
      </c>
      <c r="L29" s="2367">
        <v>11510000</v>
      </c>
    </row>
    <row r="30" spans="1:21" s="2515" customFormat="1" x14ac:dyDescent="0.2">
      <c r="A30" s="2516">
        <v>1211</v>
      </c>
      <c r="B30" s="3307" t="s">
        <v>5519</v>
      </c>
      <c r="C30" s="3307"/>
      <c r="D30" s="3307"/>
      <c r="E30" s="3307"/>
      <c r="F30" s="659">
        <v>0</v>
      </c>
      <c r="I30" s="649" t="e">
        <f t="shared" si="0"/>
        <v>#N/A</v>
      </c>
      <c r="K30" s="1844" t="s">
        <v>5678</v>
      </c>
      <c r="L30" s="2454">
        <v>11530000</v>
      </c>
      <c r="M30" s="2517"/>
      <c r="N30" s="2517"/>
      <c r="O30" s="2517"/>
      <c r="P30" s="2517"/>
      <c r="Q30" s="2517"/>
      <c r="R30" s="2517"/>
      <c r="S30" s="2517"/>
      <c r="T30" s="2517"/>
      <c r="U30" s="2517"/>
    </row>
    <row r="31" spans="1:21" x14ac:dyDescent="0.2">
      <c r="A31" s="335">
        <v>1020</v>
      </c>
      <c r="B31" s="3206" t="s">
        <v>641</v>
      </c>
      <c r="C31" s="3206"/>
      <c r="D31" s="3206"/>
      <c r="E31" s="3206"/>
      <c r="F31" s="659">
        <v>0</v>
      </c>
      <c r="I31" s="649" t="e">
        <f t="shared" si="0"/>
        <v>#N/A</v>
      </c>
      <c r="L31" s="2384" t="s">
        <v>5121</v>
      </c>
    </row>
    <row r="32" spans="1:21" x14ac:dyDescent="0.2">
      <c r="A32" s="335">
        <v>1030</v>
      </c>
      <c r="B32" s="3206" t="s">
        <v>1420</v>
      </c>
      <c r="C32" s="3206"/>
      <c r="D32" s="3206"/>
      <c r="E32" s="3206"/>
      <c r="F32" s="659">
        <v>0</v>
      </c>
      <c r="I32" s="649" t="e">
        <f t="shared" si="0"/>
        <v>#N/A</v>
      </c>
      <c r="L32" s="2384" t="s">
        <v>5122</v>
      </c>
    </row>
    <row r="33" spans="1:21" x14ac:dyDescent="0.2">
      <c r="A33" s="335">
        <v>1070</v>
      </c>
      <c r="B33" s="3206" t="s">
        <v>426</v>
      </c>
      <c r="C33" s="3206"/>
      <c r="D33" s="3206"/>
      <c r="E33" s="3206"/>
      <c r="F33" s="659">
        <v>0</v>
      </c>
      <c r="I33" s="649" t="e">
        <f t="shared" si="0"/>
        <v>#N/A</v>
      </c>
      <c r="L33" s="2367">
        <v>11212500</v>
      </c>
    </row>
    <row r="34" spans="1:21" x14ac:dyDescent="0.2">
      <c r="A34" s="335">
        <v>1232</v>
      </c>
      <c r="B34" s="3206" t="s">
        <v>1346</v>
      </c>
      <c r="C34" s="3206"/>
      <c r="D34" s="3206"/>
      <c r="E34" s="3206"/>
      <c r="F34" s="659">
        <v>0</v>
      </c>
      <c r="I34" s="649" t="e">
        <f t="shared" si="0"/>
        <v>#N/A</v>
      </c>
      <c r="L34" s="2367">
        <v>11970000</v>
      </c>
    </row>
    <row r="35" spans="1:21" x14ac:dyDescent="0.2">
      <c r="A35" s="335">
        <v>1235</v>
      </c>
      <c r="B35" s="3206" t="s">
        <v>4454</v>
      </c>
      <c r="C35" s="3206"/>
      <c r="D35" s="3206"/>
      <c r="E35" s="3206"/>
      <c r="F35" s="659">
        <v>0</v>
      </c>
      <c r="I35" s="649" t="e">
        <f t="shared" si="0"/>
        <v>#N/A</v>
      </c>
      <c r="K35" s="1610"/>
      <c r="L35" s="2367">
        <v>11491000</v>
      </c>
    </row>
    <row r="36" spans="1:21" x14ac:dyDescent="0.2">
      <c r="A36" s="335">
        <v>1233</v>
      </c>
      <c r="B36" s="3206" t="s">
        <v>4450</v>
      </c>
      <c r="C36" s="3206"/>
      <c r="D36" s="3206"/>
      <c r="E36" s="3206"/>
      <c r="F36" s="659">
        <v>0</v>
      </c>
      <c r="I36" s="649" t="e">
        <f t="shared" si="0"/>
        <v>#N/A</v>
      </c>
      <c r="K36" s="1610"/>
      <c r="L36" s="2367">
        <v>11978000</v>
      </c>
    </row>
    <row r="37" spans="1:21" x14ac:dyDescent="0.2">
      <c r="B37" s="3206" t="s">
        <v>424</v>
      </c>
      <c r="C37" s="3206"/>
      <c r="D37" s="3206"/>
      <c r="E37" s="3206"/>
      <c r="F37" s="661">
        <f>SUM(F12:F36)</f>
        <v>0</v>
      </c>
      <c r="I37" s="661" t="e">
        <f>SUM(I12:I36)</f>
        <v>#N/A</v>
      </c>
      <c r="K37" s="1610"/>
    </row>
    <row r="39" spans="1:21" x14ac:dyDescent="0.2">
      <c r="B39" s="784" t="s">
        <v>640</v>
      </c>
    </row>
    <row r="40" spans="1:21" x14ac:dyDescent="0.2">
      <c r="A40" s="335">
        <v>1300</v>
      </c>
      <c r="B40" s="3206" t="s">
        <v>425</v>
      </c>
      <c r="C40" s="3206"/>
      <c r="D40" s="3206"/>
      <c r="E40" s="3206"/>
      <c r="F40" s="659">
        <v>0</v>
      </c>
      <c r="I40" s="649" t="e">
        <f>INDEX(PY905Data,MATCH($A40,PY905Row,0),MATCH($C$5,PY905Col,0))</f>
        <v>#N/A</v>
      </c>
      <c r="L40" s="2367">
        <v>12210100</v>
      </c>
    </row>
    <row r="41" spans="1:21" x14ac:dyDescent="0.2">
      <c r="A41" s="335">
        <v>1310</v>
      </c>
      <c r="B41" s="3206" t="s">
        <v>1223</v>
      </c>
      <c r="C41" s="3206"/>
      <c r="D41" s="3206"/>
      <c r="E41" s="3206"/>
      <c r="F41" s="844">
        <v>0</v>
      </c>
      <c r="G41" s="335"/>
      <c r="I41" s="649" t="e">
        <f>INDEX(PY905Data,MATCH($A41,PY905Row,0),MATCH($C$5,PY905Col,0))</f>
        <v>#N/A</v>
      </c>
      <c r="L41" s="2367">
        <v>12212200</v>
      </c>
    </row>
    <row r="42" spans="1:21" x14ac:dyDescent="0.2">
      <c r="A42" s="335"/>
      <c r="B42" s="335" t="s">
        <v>198</v>
      </c>
      <c r="C42" s="335"/>
      <c r="I42" s="649"/>
    </row>
    <row r="43" spans="1:21" x14ac:dyDescent="0.2">
      <c r="A43" s="335">
        <v>1340</v>
      </c>
      <c r="B43" s="3300" t="s">
        <v>199</v>
      </c>
      <c r="C43" s="3300"/>
      <c r="D43" s="3300"/>
      <c r="E43" s="3300"/>
      <c r="F43" s="659">
        <v>0</v>
      </c>
      <c r="I43" s="649" t="e">
        <f t="shared" ref="I43:I53" si="1">INDEX(PY905Data,MATCH($A43,PY905Row,0),MATCH($C$5,PY905Col,0))</f>
        <v>#N/A</v>
      </c>
      <c r="L43" s="2367">
        <v>12320000</v>
      </c>
    </row>
    <row r="44" spans="1:21" hidden="1" x14ac:dyDescent="0.2">
      <c r="A44" s="335">
        <v>1345</v>
      </c>
      <c r="B44" s="3300" t="s">
        <v>312</v>
      </c>
      <c r="C44" s="3300"/>
      <c r="D44" s="3300"/>
      <c r="E44" s="3300"/>
      <c r="F44" s="659">
        <v>0</v>
      </c>
      <c r="G44" s="821"/>
      <c r="I44" s="649" t="e">
        <f t="shared" si="1"/>
        <v>#N/A</v>
      </c>
      <c r="L44" s="2383"/>
    </row>
    <row r="45" spans="1:21" x14ac:dyDescent="0.2">
      <c r="A45" s="335">
        <v>1350</v>
      </c>
      <c r="B45" s="3300" t="s">
        <v>200</v>
      </c>
      <c r="C45" s="3300"/>
      <c r="D45" s="3300"/>
      <c r="E45" s="3300"/>
      <c r="F45" s="659">
        <v>0</v>
      </c>
      <c r="I45" s="649" t="e">
        <f t="shared" si="1"/>
        <v>#N/A</v>
      </c>
      <c r="L45" s="2367">
        <v>12351000</v>
      </c>
    </row>
    <row r="46" spans="1:21" x14ac:dyDescent="0.2">
      <c r="A46" s="335">
        <v>1370</v>
      </c>
      <c r="B46" s="3300" t="s">
        <v>637</v>
      </c>
      <c r="C46" s="3300"/>
      <c r="D46" s="3300"/>
      <c r="E46" s="3300"/>
      <c r="F46" s="659">
        <v>0</v>
      </c>
      <c r="I46" s="649" t="e">
        <f t="shared" si="1"/>
        <v>#N/A</v>
      </c>
      <c r="L46" s="2367">
        <v>12336000</v>
      </c>
    </row>
    <row r="47" spans="1:21" x14ac:dyDescent="0.2">
      <c r="A47" s="335">
        <v>1400</v>
      </c>
      <c r="B47" s="3206" t="s">
        <v>549</v>
      </c>
      <c r="C47" s="3206"/>
      <c r="D47" s="3206"/>
      <c r="E47" s="3206"/>
      <c r="F47" s="659">
        <v>0</v>
      </c>
      <c r="I47" s="649" t="e">
        <f t="shared" si="1"/>
        <v>#N/A</v>
      </c>
      <c r="L47" s="2367">
        <v>12510000</v>
      </c>
    </row>
    <row r="48" spans="1:21" s="2515" customFormat="1" x14ac:dyDescent="0.2">
      <c r="A48" s="2516">
        <v>1401</v>
      </c>
      <c r="B48" s="3307" t="s">
        <v>5519</v>
      </c>
      <c r="C48" s="3307"/>
      <c r="D48" s="3307"/>
      <c r="E48" s="3307"/>
      <c r="F48" s="659">
        <v>0</v>
      </c>
      <c r="I48" s="649" t="e">
        <f t="shared" si="1"/>
        <v>#N/A</v>
      </c>
      <c r="K48" s="1844" t="s">
        <v>5678</v>
      </c>
      <c r="L48" s="2454">
        <v>12530000</v>
      </c>
      <c r="M48" s="2517"/>
      <c r="N48" s="2517"/>
      <c r="O48" s="2517"/>
      <c r="P48" s="2517"/>
      <c r="Q48" s="2517"/>
      <c r="R48" s="2517"/>
      <c r="S48" s="2517"/>
      <c r="T48" s="2517"/>
      <c r="U48" s="2517"/>
    </row>
    <row r="49" spans="1:14" x14ac:dyDescent="0.2">
      <c r="A49" s="335">
        <v>1415</v>
      </c>
      <c r="B49" s="3206" t="s">
        <v>1417</v>
      </c>
      <c r="C49" s="3206"/>
      <c r="D49" s="3206"/>
      <c r="E49" s="3206"/>
      <c r="F49" s="659">
        <v>0</v>
      </c>
      <c r="G49" s="14"/>
      <c r="I49" s="649" t="e">
        <f t="shared" si="1"/>
        <v>#N/A</v>
      </c>
      <c r="L49" s="2367">
        <v>12950000</v>
      </c>
    </row>
    <row r="50" spans="1:14" x14ac:dyDescent="0.2">
      <c r="A50" s="335">
        <v>1420</v>
      </c>
      <c r="B50" s="3206" t="s">
        <v>631</v>
      </c>
      <c r="C50" s="3206"/>
      <c r="D50" s="3206"/>
      <c r="E50" s="3206"/>
      <c r="F50" s="659">
        <v>0</v>
      </c>
      <c r="I50" s="649" t="e">
        <f t="shared" si="1"/>
        <v>#N/A</v>
      </c>
      <c r="L50" s="2367">
        <v>12910000</v>
      </c>
    </row>
    <row r="51" spans="1:14" x14ac:dyDescent="0.2">
      <c r="A51" s="335">
        <v>1270</v>
      </c>
      <c r="B51" s="3206" t="s">
        <v>641</v>
      </c>
      <c r="C51" s="3206"/>
      <c r="D51" s="3206"/>
      <c r="E51" s="3206"/>
      <c r="F51" s="659">
        <v>0</v>
      </c>
      <c r="I51" s="649" t="e">
        <f t="shared" si="1"/>
        <v>#N/A</v>
      </c>
      <c r="L51" s="2367">
        <v>12111000</v>
      </c>
    </row>
    <row r="52" spans="1:14" x14ac:dyDescent="0.2">
      <c r="A52" s="335">
        <v>1280</v>
      </c>
      <c r="B52" s="3206" t="s">
        <v>1422</v>
      </c>
      <c r="C52" s="3206"/>
      <c r="D52" s="3206"/>
      <c r="E52" s="3206"/>
      <c r="F52" s="659">
        <v>0</v>
      </c>
      <c r="I52" s="649" t="e">
        <f t="shared" si="1"/>
        <v>#N/A</v>
      </c>
      <c r="L52" s="2367">
        <v>12122000</v>
      </c>
    </row>
    <row r="53" spans="1:14" x14ac:dyDescent="0.2">
      <c r="A53" s="335">
        <v>1410</v>
      </c>
      <c r="B53" s="3206" t="s">
        <v>426</v>
      </c>
      <c r="C53" s="3206"/>
      <c r="D53" s="3206"/>
      <c r="E53" s="3206"/>
      <c r="F53" s="659">
        <v>0</v>
      </c>
      <c r="I53" s="649" t="e">
        <f t="shared" si="1"/>
        <v>#N/A</v>
      </c>
      <c r="L53" s="2367">
        <v>12212500</v>
      </c>
    </row>
    <row r="54" spans="1:14" hidden="1" x14ac:dyDescent="0.2">
      <c r="A54" s="335"/>
      <c r="B54" s="3206" t="s">
        <v>1296</v>
      </c>
      <c r="C54" s="3206"/>
      <c r="D54" s="3206"/>
      <c r="E54" s="3206"/>
      <c r="F54" s="844">
        <v>0</v>
      </c>
      <c r="G54" s="821"/>
      <c r="I54" s="649"/>
      <c r="L54" s="2383"/>
    </row>
    <row r="55" spans="1:14" x14ac:dyDescent="0.2">
      <c r="A55" s="1129">
        <v>1395</v>
      </c>
      <c r="B55" s="3206" t="s">
        <v>1486</v>
      </c>
      <c r="C55" s="3206"/>
      <c r="D55" s="3206"/>
      <c r="E55" s="3206"/>
      <c r="F55" s="1036">
        <f>'525'!H33</f>
        <v>0</v>
      </c>
      <c r="G55" t="str">
        <f>IF(F55='525'!H33, " ", "Problem: Must agree to ws 525 total  Restricted due frm St of NC Comp Unit")</f>
        <v xml:space="preserve"> </v>
      </c>
      <c r="I55" s="649" t="e">
        <f>INDEX(PY905Data,MATCH($A55,PY905Row,0),MATCH($C$5,PY905Col,0))</f>
        <v>#N/A</v>
      </c>
      <c r="L55" s="2380">
        <v>12420000</v>
      </c>
    </row>
    <row r="56" spans="1:14" x14ac:dyDescent="0.2">
      <c r="A56" s="1129">
        <v>1390</v>
      </c>
      <c r="B56" s="3206" t="s">
        <v>1487</v>
      </c>
      <c r="C56" s="3206"/>
      <c r="D56" s="3206"/>
      <c r="E56" s="3206"/>
      <c r="F56" s="1036">
        <f>'515'!H31</f>
        <v>0</v>
      </c>
      <c r="G56" t="str">
        <f>IF(F56='515'!H31, " ", "Problem: Must agree to ws 515 total Restricted Due from Primary Govt")</f>
        <v xml:space="preserve"> </v>
      </c>
      <c r="I56" s="649" t="e">
        <f>INDEX(PY905Data,MATCH($A56,PY905Row,0),MATCH($C$5,PY905Col,0))</f>
        <v>#N/A</v>
      </c>
      <c r="L56" s="2380">
        <v>12410000</v>
      </c>
    </row>
    <row r="57" spans="1:14" x14ac:dyDescent="0.2">
      <c r="A57" s="335">
        <v>1432</v>
      </c>
      <c r="B57" s="3206" t="s">
        <v>1346</v>
      </c>
      <c r="C57" s="3206"/>
      <c r="D57" s="3206"/>
      <c r="E57" s="3206"/>
      <c r="F57" s="659">
        <v>0</v>
      </c>
      <c r="I57" s="649" t="e">
        <f>INDEX(PY905Data,MATCH($A57,PY905Row,0),MATCH($C$5,PY905Col,0))</f>
        <v>#N/A</v>
      </c>
      <c r="L57" s="2367">
        <v>12970000</v>
      </c>
      <c r="N57" s="2400"/>
    </row>
    <row r="58" spans="1:14" x14ac:dyDescent="0.2">
      <c r="A58" s="335">
        <v>1434</v>
      </c>
      <c r="B58" s="3206" t="s">
        <v>4454</v>
      </c>
      <c r="C58" s="3206"/>
      <c r="D58" s="3206"/>
      <c r="E58" s="3206"/>
      <c r="F58" s="659">
        <v>0</v>
      </c>
      <c r="I58" s="649" t="e">
        <f>INDEX(PY905Data,MATCH($A58,PY905Row,0),MATCH($C$5,PY905Col,0))</f>
        <v>#N/A</v>
      </c>
      <c r="K58" s="1610"/>
      <c r="L58" s="2367">
        <v>12491000</v>
      </c>
    </row>
    <row r="59" spans="1:14" x14ac:dyDescent="0.2">
      <c r="A59" s="335">
        <v>1433</v>
      </c>
      <c r="B59" s="3206" t="s">
        <v>4450</v>
      </c>
      <c r="C59" s="3206"/>
      <c r="D59" s="3206"/>
      <c r="E59" s="3206"/>
      <c r="F59" s="659">
        <v>0</v>
      </c>
      <c r="I59" s="649" t="e">
        <f>INDEX(PY905Data,MATCH($A59,PY905Row,0),MATCH($C$5,PY905Col,0))</f>
        <v>#N/A</v>
      </c>
      <c r="K59" s="1610"/>
      <c r="L59" s="2367">
        <v>12978000</v>
      </c>
    </row>
    <row r="60" spans="1:14" ht="10.5" customHeight="1" x14ac:dyDescent="0.2">
      <c r="A60" s="335"/>
      <c r="B60" s="2877" t="s">
        <v>1414</v>
      </c>
      <c r="C60" s="2877"/>
      <c r="D60" s="2877"/>
      <c r="E60" s="2877"/>
      <c r="I60" s="649"/>
    </row>
    <row r="61" spans="1:14" x14ac:dyDescent="0.2">
      <c r="A61" s="1129">
        <v>1480</v>
      </c>
      <c r="B61" s="3300" t="s">
        <v>1488</v>
      </c>
      <c r="C61" s="3300"/>
      <c r="D61" s="3300"/>
      <c r="E61" s="3300"/>
      <c r="F61" s="1036">
        <f>'201'!T20</f>
        <v>0</v>
      </c>
      <c r="G61" s="14" t="str">
        <f>IF(F61='201'!T20," ","Problem:Must agree to worksheet 201 - complete the 201 worksheet first")</f>
        <v xml:space="preserve"> </v>
      </c>
      <c r="I61" s="649" t="e">
        <f t="shared" ref="I61:I66" si="2">INDEX(PY905Data,MATCH($A61,PY905Row,0),MATCH($C$5,PY905Col,0))</f>
        <v>#N/A</v>
      </c>
    </row>
    <row r="62" spans="1:14" x14ac:dyDescent="0.2">
      <c r="A62" s="1129">
        <v>1490</v>
      </c>
      <c r="B62" s="3300" t="s">
        <v>1489</v>
      </c>
      <c r="C62" s="3300"/>
      <c r="D62" s="3300"/>
      <c r="E62" s="3300"/>
      <c r="F62" s="1036">
        <f>'201'!T21</f>
        <v>0</v>
      </c>
      <c r="G62" s="14" t="str">
        <f>IF(F62='201'!T21," ","Problem:Must agree to worksheet 201")</f>
        <v xml:space="preserve"> </v>
      </c>
      <c r="I62" s="649" t="e">
        <f t="shared" si="2"/>
        <v>#N/A</v>
      </c>
    </row>
    <row r="63" spans="1:14" x14ac:dyDescent="0.2">
      <c r="A63" s="1129">
        <v>1500</v>
      </c>
      <c r="B63" s="3300" t="s">
        <v>1490</v>
      </c>
      <c r="C63" s="3300"/>
      <c r="D63" s="3300"/>
      <c r="E63" s="3300"/>
      <c r="F63" s="1036">
        <f>'201'!T22</f>
        <v>0</v>
      </c>
      <c r="G63" s="14" t="str">
        <f>IF(F63='201'!T22," ","Problem:Must agree to worksheet 201")</f>
        <v xml:space="preserve"> </v>
      </c>
      <c r="I63" s="649" t="e">
        <f t="shared" si="2"/>
        <v>#N/A</v>
      </c>
    </row>
    <row r="64" spans="1:14" x14ac:dyDescent="0.2">
      <c r="A64" s="1129">
        <v>1503</v>
      </c>
      <c r="B64" s="3300" t="s">
        <v>1491</v>
      </c>
      <c r="C64" s="3300"/>
      <c r="D64" s="3300"/>
      <c r="E64" s="3300"/>
      <c r="F64" s="1036">
        <f>'201'!T23</f>
        <v>0</v>
      </c>
      <c r="G64" s="14" t="str">
        <f>IF(F64='201'!T23," ","Problem:Must agree to worksheet 201")</f>
        <v xml:space="preserve"> </v>
      </c>
      <c r="I64" s="649" t="e">
        <f t="shared" si="2"/>
        <v>#N/A</v>
      </c>
    </row>
    <row r="65" spans="1:21" x14ac:dyDescent="0.2">
      <c r="A65" s="1129">
        <v>1505</v>
      </c>
      <c r="B65" s="3300" t="s">
        <v>1492</v>
      </c>
      <c r="C65" s="3300"/>
      <c r="D65" s="3300"/>
      <c r="E65" s="3300"/>
      <c r="F65" s="1036">
        <f>'201'!T24</f>
        <v>0</v>
      </c>
      <c r="G65" s="14" t="str">
        <f>IF(F65='201'!T24," ","Problem:Must agree to worksheet 201")</f>
        <v xml:space="preserve"> </v>
      </c>
      <c r="I65" s="649" t="e">
        <f t="shared" si="2"/>
        <v>#N/A</v>
      </c>
    </row>
    <row r="66" spans="1:21" x14ac:dyDescent="0.2">
      <c r="A66" s="1129">
        <v>1506</v>
      </c>
      <c r="B66" s="3300" t="s">
        <v>1808</v>
      </c>
      <c r="C66" s="3300"/>
      <c r="D66" s="3300"/>
      <c r="E66" s="3300"/>
      <c r="F66" s="1036">
        <f>'201'!T25</f>
        <v>0</v>
      </c>
      <c r="G66" s="14" t="str">
        <f>IF(F66='201'!T25," ","Problem:Must agree to worksheet 201")</f>
        <v xml:space="preserve"> </v>
      </c>
      <c r="I66" s="649" t="e">
        <f t="shared" si="2"/>
        <v>#N/A</v>
      </c>
      <c r="J66" s="272"/>
    </row>
    <row r="67" spans="1:21" ht="12" customHeight="1" x14ac:dyDescent="0.2">
      <c r="A67" s="335"/>
      <c r="B67" s="3206" t="s">
        <v>1415</v>
      </c>
      <c r="C67" s="3206"/>
      <c r="D67" s="3206"/>
      <c r="E67" s="3206"/>
      <c r="F67" s="661">
        <f>SUM(F61:F66)</f>
        <v>0</v>
      </c>
      <c r="G67" s="14"/>
      <c r="I67" s="661" t="e">
        <f>SUM(I61:I66)</f>
        <v>#N/A</v>
      </c>
      <c r="J67" s="272"/>
    </row>
    <row r="68" spans="1:21" ht="10.5" customHeight="1" x14ac:dyDescent="0.2">
      <c r="A68" s="335"/>
      <c r="B68" s="2877" t="s">
        <v>419</v>
      </c>
      <c r="C68" s="2877"/>
      <c r="D68" s="2877"/>
      <c r="E68" s="2877"/>
    </row>
    <row r="69" spans="1:21" x14ac:dyDescent="0.2">
      <c r="A69" s="1129">
        <v>1520</v>
      </c>
      <c r="B69" s="3300" t="s">
        <v>1493</v>
      </c>
      <c r="C69" s="3300"/>
      <c r="D69" s="3300"/>
      <c r="E69" s="3300"/>
      <c r="F69" s="1036">
        <f>'201'!T27</f>
        <v>0</v>
      </c>
      <c r="G69" s="14" t="str">
        <f>IF(F69='201'!T27," ","Problem:Must agree to worksheet 201")</f>
        <v xml:space="preserve"> </v>
      </c>
      <c r="I69" s="649" t="e">
        <f t="shared" ref="I69:I80" si="3">INDEX(PY905Data,MATCH($A69,PY905Row,0),MATCH($C$5,PY905Col,0))</f>
        <v>#N/A</v>
      </c>
    </row>
    <row r="70" spans="1:21" x14ac:dyDescent="0.2">
      <c r="A70" s="1129">
        <v>1530</v>
      </c>
      <c r="B70" s="3300" t="s">
        <v>1494</v>
      </c>
      <c r="C70" s="3300"/>
      <c r="D70" s="3300"/>
      <c r="E70" s="3300"/>
      <c r="F70" s="1036">
        <f>'201'!T28</f>
        <v>0</v>
      </c>
      <c r="G70" s="14" t="str">
        <f>IF(F70='201'!T28," ","Problem:Must agree to worksheet 201")</f>
        <v xml:space="preserve"> </v>
      </c>
      <c r="I70" s="649" t="e">
        <f t="shared" si="3"/>
        <v>#N/A</v>
      </c>
    </row>
    <row r="71" spans="1:21" x14ac:dyDescent="0.2">
      <c r="A71" s="1129">
        <v>1540</v>
      </c>
      <c r="B71" s="3300" t="s">
        <v>1495</v>
      </c>
      <c r="C71" s="3300"/>
      <c r="D71" s="3300"/>
      <c r="E71" s="3300"/>
      <c r="F71" s="1036">
        <f>'201'!T29</f>
        <v>0</v>
      </c>
      <c r="G71" s="14" t="str">
        <f>IF(F71='201'!T29," ","Problem:Must agree to worksheet 201")</f>
        <v xml:space="preserve"> </v>
      </c>
      <c r="I71" s="649" t="e">
        <f t="shared" si="3"/>
        <v>#N/A</v>
      </c>
    </row>
    <row r="72" spans="1:21" x14ac:dyDescent="0.2">
      <c r="A72" s="1129">
        <v>1550</v>
      </c>
      <c r="B72" s="3300" t="s">
        <v>1496</v>
      </c>
      <c r="C72" s="3300"/>
      <c r="D72" s="3300"/>
      <c r="E72" s="3300"/>
      <c r="F72" s="1036">
        <f>'201'!T30</f>
        <v>0</v>
      </c>
      <c r="G72" s="14" t="str">
        <f>IF(F72='201'!T30," ","Problem:Must agree to worksheet 201")</f>
        <v xml:space="preserve"> </v>
      </c>
      <c r="I72" s="649" t="e">
        <f t="shared" si="3"/>
        <v>#N/A</v>
      </c>
    </row>
    <row r="73" spans="1:21" s="2515" customFormat="1" x14ac:dyDescent="0.2">
      <c r="A73" s="1129">
        <v>1481</v>
      </c>
      <c r="B73" s="3316" t="s">
        <v>5523</v>
      </c>
      <c r="C73" s="3316"/>
      <c r="D73" s="3316"/>
      <c r="E73" s="3316"/>
      <c r="F73" s="1036">
        <f>'201'!T37</f>
        <v>0</v>
      </c>
      <c r="G73" s="14" t="str">
        <f>IF(F73='201'!T37," ","Problem:Must agree to worksheet 201")</f>
        <v xml:space="preserve"> </v>
      </c>
      <c r="I73" s="649" t="e">
        <f t="shared" si="3"/>
        <v>#N/A</v>
      </c>
      <c r="K73" s="1844" t="s">
        <v>5678</v>
      </c>
      <c r="L73" s="2367"/>
      <c r="M73" s="2517"/>
      <c r="N73" s="2517"/>
      <c r="O73" s="2517"/>
      <c r="P73" s="2517"/>
      <c r="Q73" s="2517"/>
      <c r="R73" s="2517"/>
      <c r="S73" s="2517"/>
      <c r="T73" s="2517"/>
      <c r="U73" s="2517"/>
    </row>
    <row r="74" spans="1:21" s="2515" customFormat="1" x14ac:dyDescent="0.2">
      <c r="A74" s="1129">
        <v>1521</v>
      </c>
      <c r="B74" s="3316" t="s">
        <v>5522</v>
      </c>
      <c r="C74" s="3316"/>
      <c r="D74" s="3316"/>
      <c r="E74" s="3316"/>
      <c r="F74" s="1036">
        <f>'201'!T38</f>
        <v>0</v>
      </c>
      <c r="G74" s="14" t="str">
        <f>IF(F74='201'!T38," ","Problem:Must agree to worksheet 201")</f>
        <v xml:space="preserve"> </v>
      </c>
      <c r="I74" s="649" t="e">
        <f t="shared" si="3"/>
        <v>#N/A</v>
      </c>
      <c r="K74" s="1844" t="s">
        <v>5678</v>
      </c>
      <c r="L74" s="2367"/>
      <c r="M74" s="2517"/>
      <c r="N74" s="2517"/>
      <c r="O74" s="2517"/>
      <c r="P74" s="2517"/>
      <c r="Q74" s="2517"/>
      <c r="R74" s="2517"/>
      <c r="S74" s="2517"/>
      <c r="T74" s="2517"/>
      <c r="U74" s="2517"/>
    </row>
    <row r="75" spans="1:21" s="2515" customFormat="1" x14ac:dyDescent="0.2">
      <c r="A75" s="1129">
        <v>1531</v>
      </c>
      <c r="B75" s="3316" t="s">
        <v>5520</v>
      </c>
      <c r="C75" s="3316"/>
      <c r="D75" s="3316"/>
      <c r="E75" s="3316"/>
      <c r="F75" s="1036">
        <f>'201'!T39</f>
        <v>0</v>
      </c>
      <c r="G75" s="14" t="str">
        <f>IF(F75='201'!T39," ","Problem:Must agree to worksheet 201")</f>
        <v xml:space="preserve"> </v>
      </c>
      <c r="I75" s="649" t="e">
        <f t="shared" si="3"/>
        <v>#N/A</v>
      </c>
      <c r="K75" s="1844" t="s">
        <v>5678</v>
      </c>
      <c r="L75" s="2367"/>
      <c r="M75" s="2517"/>
      <c r="N75" s="2517"/>
      <c r="O75" s="2517"/>
      <c r="P75" s="2517"/>
      <c r="Q75" s="2517"/>
      <c r="R75" s="2517"/>
      <c r="S75" s="2517"/>
      <c r="T75" s="2517"/>
      <c r="U75" s="2517"/>
    </row>
    <row r="76" spans="1:21" s="2515" customFormat="1" x14ac:dyDescent="0.2">
      <c r="A76" s="1129">
        <v>1551</v>
      </c>
      <c r="B76" s="3316" t="s">
        <v>5521</v>
      </c>
      <c r="C76" s="3316"/>
      <c r="D76" s="3316"/>
      <c r="E76" s="3316"/>
      <c r="F76" s="1036">
        <f>'201'!T40</f>
        <v>0</v>
      </c>
      <c r="G76" s="14" t="str">
        <f>IF(F76='201'!T40," ","Problem:Must agree to worksheet 201")</f>
        <v xml:space="preserve"> </v>
      </c>
      <c r="I76" s="649" t="e">
        <f t="shared" si="3"/>
        <v>#N/A</v>
      </c>
      <c r="K76" s="1844" t="s">
        <v>5678</v>
      </c>
      <c r="L76" s="2367"/>
      <c r="M76" s="2517"/>
      <c r="N76" s="2517"/>
      <c r="O76" s="2517"/>
      <c r="P76" s="2517"/>
      <c r="Q76" s="2517"/>
      <c r="R76" s="2517"/>
      <c r="S76" s="2517"/>
      <c r="T76" s="2517"/>
      <c r="U76" s="2517"/>
    </row>
    <row r="77" spans="1:21" x14ac:dyDescent="0.2">
      <c r="A77" s="1129">
        <v>1553</v>
      </c>
      <c r="B77" s="3300" t="s">
        <v>1497</v>
      </c>
      <c r="C77" s="3300"/>
      <c r="D77" s="3300"/>
      <c r="E77" s="3300"/>
      <c r="F77" s="1036">
        <f>'201'!T33</f>
        <v>0</v>
      </c>
      <c r="G77" s="14" t="str">
        <f>IF(F77='201'!T33," ","Problem:Must agree to worksheet 201")</f>
        <v xml:space="preserve"> </v>
      </c>
      <c r="I77" s="649" t="e">
        <f t="shared" si="3"/>
        <v>#N/A</v>
      </c>
    </row>
    <row r="78" spans="1:21" x14ac:dyDescent="0.2">
      <c r="A78" s="1129">
        <v>1555</v>
      </c>
      <c r="B78" s="3300" t="s">
        <v>1498</v>
      </c>
      <c r="C78" s="3300"/>
      <c r="D78" s="3300"/>
      <c r="E78" s="3300"/>
      <c r="F78" s="1036">
        <f>'201'!T34</f>
        <v>0</v>
      </c>
      <c r="G78" s="14" t="str">
        <f>IF(F78='201'!T34," ","Problem:Must agree to worksheet 201")</f>
        <v xml:space="preserve"> </v>
      </c>
      <c r="I78" s="649" t="e">
        <f t="shared" si="3"/>
        <v>#N/A</v>
      </c>
    </row>
    <row r="79" spans="1:21" x14ac:dyDescent="0.2">
      <c r="A79" s="1129">
        <v>1560</v>
      </c>
      <c r="B79" s="3300" t="s">
        <v>1809</v>
      </c>
      <c r="C79" s="3300"/>
      <c r="D79" s="3300"/>
      <c r="E79" s="3300"/>
      <c r="F79" s="1036">
        <f>'201'!T35</f>
        <v>0</v>
      </c>
      <c r="G79" s="14" t="str">
        <f>IF(F79='201'!T35," ","Problem:Must agree to worksheet 201")</f>
        <v xml:space="preserve"> </v>
      </c>
      <c r="I79" s="649" t="e">
        <f t="shared" si="3"/>
        <v>#N/A</v>
      </c>
    </row>
    <row r="80" spans="1:21" x14ac:dyDescent="0.2">
      <c r="A80" s="1129">
        <v>1570</v>
      </c>
      <c r="B80" s="3206" t="s">
        <v>1744</v>
      </c>
      <c r="C80" s="3206"/>
      <c r="D80" s="3206"/>
      <c r="E80" s="3206"/>
      <c r="F80" s="1048">
        <f>-'210'!Q31</f>
        <v>0</v>
      </c>
      <c r="G80" s="14" t="str">
        <f>IF(F80=-'210'!Q31," ","Problem:Must agree to total accumulated depreciation per worksheet 210 cell O25, entered here as a negative number")</f>
        <v xml:space="preserve"> </v>
      </c>
      <c r="I80" s="651" t="e">
        <f t="shared" si="3"/>
        <v>#N/A</v>
      </c>
      <c r="J80" s="272"/>
    </row>
    <row r="81" spans="1:12" x14ac:dyDescent="0.2">
      <c r="A81" s="785"/>
      <c r="B81" s="3206" t="s">
        <v>1416</v>
      </c>
      <c r="C81" s="3206"/>
      <c r="D81" s="3206"/>
      <c r="E81" s="3206"/>
      <c r="F81" s="651">
        <f>SUM(F69:F80)</f>
        <v>0</v>
      </c>
      <c r="G81" s="14"/>
      <c r="I81" s="651" t="e">
        <f>SUM(I69:I80)</f>
        <v>#N/A</v>
      </c>
    </row>
    <row r="82" spans="1:12" x14ac:dyDescent="0.2">
      <c r="A82" s="675"/>
      <c r="B82" s="3295" t="s">
        <v>784</v>
      </c>
      <c r="C82" s="3295"/>
      <c r="D82" s="3295"/>
      <c r="E82" s="3295"/>
      <c r="F82" s="661">
        <f>SUM(F40:F81)-F67-F81</f>
        <v>0</v>
      </c>
      <c r="I82" s="661" t="e">
        <f>SUM(I40:I81)-I67-I81</f>
        <v>#N/A</v>
      </c>
    </row>
    <row r="83" spans="1:12" ht="6.75" customHeight="1" x14ac:dyDescent="0.2">
      <c r="I83" s="649"/>
    </row>
    <row r="84" spans="1:12" x14ac:dyDescent="0.2">
      <c r="B84" s="3295" t="s">
        <v>785</v>
      </c>
      <c r="C84" s="3295"/>
      <c r="D84" s="3295"/>
      <c r="E84" s="3295"/>
      <c r="F84" s="651">
        <f>F82+F37</f>
        <v>0</v>
      </c>
      <c r="I84" s="651" t="e">
        <f>I82+I37</f>
        <v>#N/A</v>
      </c>
    </row>
    <row r="85" spans="1:12" ht="6" customHeight="1" x14ac:dyDescent="0.2"/>
    <row r="86" spans="1:12" ht="12.75" customHeight="1" x14ac:dyDescent="0.2">
      <c r="B86" s="783" t="s">
        <v>1929</v>
      </c>
    </row>
    <row r="87" spans="1:12" ht="12.75" customHeight="1" x14ac:dyDescent="0.2">
      <c r="A87" s="1401">
        <v>1234</v>
      </c>
      <c r="B87" s="3206" t="s">
        <v>1930</v>
      </c>
      <c r="C87" s="3206"/>
      <c r="D87" s="3206"/>
      <c r="E87" s="3206"/>
      <c r="F87" s="659">
        <v>0</v>
      </c>
      <c r="I87" s="649" t="e">
        <f t="shared" ref="I87:I93" si="4">INDEX(PY905Data,MATCH($A87,PY905Row,0),MATCH($C$5,PY905Col,0))</f>
        <v>#N/A</v>
      </c>
      <c r="L87" s="2367">
        <v>61100002</v>
      </c>
    </row>
    <row r="88" spans="1:12" ht="12.75" customHeight="1" x14ac:dyDescent="0.2">
      <c r="A88" s="1401">
        <v>1236</v>
      </c>
      <c r="B88" s="3206" t="s">
        <v>3585</v>
      </c>
      <c r="C88" s="3206"/>
      <c r="D88" s="3206"/>
      <c r="E88" s="3206"/>
      <c r="F88" s="659">
        <v>0</v>
      </c>
      <c r="I88" s="649" t="e">
        <f t="shared" si="4"/>
        <v>#N/A</v>
      </c>
      <c r="L88" s="2367">
        <v>61100003</v>
      </c>
    </row>
    <row r="89" spans="1:12" ht="12.75" customHeight="1" x14ac:dyDescent="0.2">
      <c r="A89" s="1401">
        <v>1242</v>
      </c>
      <c r="B89" s="3206" t="s">
        <v>4608</v>
      </c>
      <c r="C89" s="3206"/>
      <c r="D89" s="3206"/>
      <c r="E89" s="3206"/>
      <c r="F89" s="659">
        <v>0</v>
      </c>
      <c r="I89" s="649" t="e">
        <f t="shared" si="4"/>
        <v>#N/A</v>
      </c>
      <c r="K89" s="1610"/>
      <c r="L89" s="2367">
        <v>61100007</v>
      </c>
    </row>
    <row r="90" spans="1:12" ht="12.75" customHeight="1" x14ac:dyDescent="0.2">
      <c r="A90" s="1401">
        <v>1237</v>
      </c>
      <c r="B90" s="3206" t="s">
        <v>3870</v>
      </c>
      <c r="C90" s="3206"/>
      <c r="D90" s="3206"/>
      <c r="E90" s="3206"/>
      <c r="F90" s="659">
        <v>0</v>
      </c>
      <c r="I90" s="649" t="e">
        <f t="shared" si="4"/>
        <v>#N/A</v>
      </c>
      <c r="K90" s="1544"/>
      <c r="L90" s="2367">
        <v>61100008</v>
      </c>
    </row>
    <row r="91" spans="1:12" ht="12.75" customHeight="1" x14ac:dyDescent="0.2">
      <c r="A91" s="1401">
        <v>1241</v>
      </c>
      <c r="B91" s="3206" t="s">
        <v>4452</v>
      </c>
      <c r="C91" s="3206"/>
      <c r="D91" s="3206"/>
      <c r="E91" s="3206"/>
      <c r="F91" s="659">
        <v>0</v>
      </c>
      <c r="I91" s="649" t="e">
        <f t="shared" si="4"/>
        <v>#N/A</v>
      </c>
      <c r="K91" s="1610"/>
      <c r="L91" s="2367">
        <v>61100009</v>
      </c>
    </row>
    <row r="92" spans="1:12" ht="12.75" customHeight="1" x14ac:dyDescent="0.2">
      <c r="A92" s="1401">
        <v>1238</v>
      </c>
      <c r="B92" s="3206" t="s">
        <v>3877</v>
      </c>
      <c r="C92" s="3206"/>
      <c r="D92" s="3206"/>
      <c r="E92" s="3206"/>
      <c r="F92" s="659">
        <v>0</v>
      </c>
      <c r="I92" s="649" t="e">
        <f t="shared" si="4"/>
        <v>#N/A</v>
      </c>
      <c r="L92" s="2367">
        <v>61100006</v>
      </c>
    </row>
    <row r="93" spans="1:12" ht="12" customHeight="1" x14ac:dyDescent="0.2">
      <c r="A93" s="1401">
        <v>1239</v>
      </c>
      <c r="B93" s="3206" t="s">
        <v>3953</v>
      </c>
      <c r="C93" s="3206"/>
      <c r="D93" s="3206"/>
      <c r="E93" s="3206"/>
      <c r="F93" s="660">
        <v>0</v>
      </c>
      <c r="I93" s="649" t="e">
        <f t="shared" si="4"/>
        <v>#N/A</v>
      </c>
      <c r="L93" s="2392">
        <v>61100004</v>
      </c>
    </row>
    <row r="94" spans="1:12" ht="13.5" customHeight="1" x14ac:dyDescent="0.2">
      <c r="B94" s="3295" t="s">
        <v>3559</v>
      </c>
      <c r="C94" s="3295"/>
      <c r="D94" s="3295"/>
      <c r="E94" s="3295"/>
      <c r="F94" s="661">
        <f>SUM(F86:F93)</f>
        <v>0</v>
      </c>
      <c r="I94" s="661" t="e">
        <f>SUM(I86:I93)</f>
        <v>#N/A</v>
      </c>
    </row>
    <row r="95" spans="1:12" ht="6" customHeight="1" x14ac:dyDescent="0.2">
      <c r="B95" s="398"/>
      <c r="C95" s="398"/>
      <c r="D95" s="398"/>
      <c r="E95" s="398"/>
      <c r="F95" s="659"/>
      <c r="I95" s="649"/>
    </row>
    <row r="96" spans="1:12" ht="9.75" customHeight="1" x14ac:dyDescent="0.2">
      <c r="B96" s="783" t="s">
        <v>500</v>
      </c>
    </row>
    <row r="97" spans="1:12" ht="10.5" customHeight="1" x14ac:dyDescent="0.2">
      <c r="B97" s="784" t="s">
        <v>274</v>
      </c>
    </row>
    <row r="98" spans="1:12" ht="12" customHeight="1" x14ac:dyDescent="0.2">
      <c r="A98" s="335"/>
      <c r="B98" s="335" t="s">
        <v>275</v>
      </c>
      <c r="C98" s="335"/>
    </row>
    <row r="99" spans="1:12" ht="12.75" customHeight="1" x14ac:dyDescent="0.2">
      <c r="A99" s="335">
        <v>1640</v>
      </c>
      <c r="B99" s="3300" t="s">
        <v>786</v>
      </c>
      <c r="C99" s="3300"/>
      <c r="D99" s="3300"/>
      <c r="E99" s="3300"/>
      <c r="F99" s="659">
        <v>0</v>
      </c>
      <c r="I99" s="649" t="e">
        <f>INDEX(PY905Data,MATCH($A99,PY905Row,0),MATCH($C$5,PY905Col,0))</f>
        <v>#N/A</v>
      </c>
      <c r="L99" s="2367">
        <v>21110000</v>
      </c>
    </row>
    <row r="100" spans="1:12" x14ac:dyDescent="0.2">
      <c r="A100" s="335">
        <v>1650</v>
      </c>
      <c r="B100" s="3300" t="s">
        <v>815</v>
      </c>
      <c r="C100" s="3300"/>
      <c r="D100" s="3300"/>
      <c r="E100" s="3300"/>
      <c r="F100" s="659">
        <v>0</v>
      </c>
      <c r="I100" s="649" t="e">
        <f>INDEX(PY905Data,MATCH($A100,PY905Row,0),MATCH($C$5,PY905Col,0))</f>
        <v>#N/A</v>
      </c>
      <c r="L100" s="2367">
        <v>21121000</v>
      </c>
    </row>
    <row r="101" spans="1:12" ht="11.25" customHeight="1" x14ac:dyDescent="0.2">
      <c r="A101" s="335">
        <v>1660</v>
      </c>
      <c r="B101" s="3300" t="s">
        <v>816</v>
      </c>
      <c r="C101" s="3300"/>
      <c r="D101" s="3300"/>
      <c r="E101" s="3300"/>
      <c r="F101" s="659">
        <v>0</v>
      </c>
      <c r="I101" s="649" t="e">
        <f>INDEX(PY905Data,MATCH($A101,PY905Row,0),MATCH($C$5,PY905Col,0))</f>
        <v>#N/A</v>
      </c>
      <c r="L101" s="2367">
        <v>21131000</v>
      </c>
    </row>
    <row r="102" spans="1:12" x14ac:dyDescent="0.2">
      <c r="A102" s="335">
        <v>1670</v>
      </c>
      <c r="B102" s="3300" t="s">
        <v>700</v>
      </c>
      <c r="C102" s="3300"/>
      <c r="D102" s="3300"/>
      <c r="E102" s="3300"/>
      <c r="F102" s="659">
        <v>0</v>
      </c>
      <c r="I102" s="649" t="e">
        <f>INDEX(PY905Data,MATCH($A102,PY905Row,0),MATCH($C$5,PY905Col,0))</f>
        <v>#N/A</v>
      </c>
      <c r="L102" s="2367">
        <v>21523000</v>
      </c>
    </row>
    <row r="103" spans="1:12" x14ac:dyDescent="0.2">
      <c r="A103" s="335">
        <v>1840</v>
      </c>
      <c r="B103" s="3206" t="s">
        <v>278</v>
      </c>
      <c r="C103" s="3206"/>
      <c r="D103" s="3206"/>
      <c r="E103" s="3206"/>
      <c r="F103" s="659">
        <v>0</v>
      </c>
      <c r="I103" s="649" t="e">
        <f>INDEX(PY905Data,MATCH($A103,PY905Row,0),MATCH($C$5,PY905Col,0))</f>
        <v>#N/A</v>
      </c>
      <c r="L103" s="2367">
        <v>21621000</v>
      </c>
    </row>
    <row r="104" spans="1:12" ht="9.75" customHeight="1" x14ac:dyDescent="0.2">
      <c r="A104" s="335"/>
      <c r="B104" s="335" t="s">
        <v>1423</v>
      </c>
      <c r="C104" s="335"/>
      <c r="D104" s="335"/>
      <c r="E104" s="335"/>
      <c r="I104" s="649"/>
    </row>
    <row r="105" spans="1:12" x14ac:dyDescent="0.2">
      <c r="A105" s="1129">
        <v>1788</v>
      </c>
      <c r="B105" s="3300" t="s">
        <v>4629</v>
      </c>
      <c r="C105" s="3300"/>
      <c r="D105" s="3300"/>
      <c r="E105" s="3300"/>
      <c r="F105" s="1036">
        <f>'310'!M37</f>
        <v>0</v>
      </c>
      <c r="G105" t="str">
        <f>IF(F105='310'!M37," ","Problem: Must agree to ws 310 ")</f>
        <v xml:space="preserve"> </v>
      </c>
      <c r="I105" s="649" t="e">
        <f t="shared" ref="I105:I131" si="5">INDEX(PY905Data,MATCH($A105,PY905Row,0),MATCH($C$5,PY905Col,0))</f>
        <v>#N/A</v>
      </c>
    </row>
    <row r="106" spans="1:12" x14ac:dyDescent="0.2">
      <c r="A106" s="1129">
        <v>1785</v>
      </c>
      <c r="B106" s="3300" t="s">
        <v>1499</v>
      </c>
      <c r="C106" s="3300"/>
      <c r="D106" s="3300"/>
      <c r="E106" s="3300"/>
      <c r="F106" s="1036">
        <f>'310'!M38</f>
        <v>0</v>
      </c>
      <c r="G106" t="str">
        <f>IF(F106='310'!M38," ","Problem: Must agree to ws 310 ")</f>
        <v xml:space="preserve"> </v>
      </c>
      <c r="I106" s="649" t="e">
        <f t="shared" si="5"/>
        <v>#N/A</v>
      </c>
    </row>
    <row r="107" spans="1:12" x14ac:dyDescent="0.2">
      <c r="A107" s="1988">
        <v>1790</v>
      </c>
      <c r="B107" s="3300" t="s">
        <v>4630</v>
      </c>
      <c r="C107" s="3300"/>
      <c r="D107" s="3300"/>
      <c r="E107" s="3300"/>
      <c r="F107" s="1036">
        <f>'310'!M39</f>
        <v>0</v>
      </c>
      <c r="G107" t="str">
        <f>IF(F107='310'!M39," ","Problem: Must agree to ws 310 ")</f>
        <v xml:space="preserve"> </v>
      </c>
      <c r="I107" s="649" t="e">
        <f t="shared" si="5"/>
        <v>#N/A</v>
      </c>
      <c r="K107" s="1610"/>
    </row>
    <row r="108" spans="1:12" x14ac:dyDescent="0.2">
      <c r="A108" s="1988">
        <v>1791</v>
      </c>
      <c r="B108" s="3308" t="s">
        <v>4710</v>
      </c>
      <c r="C108" s="3308"/>
      <c r="D108" s="3308"/>
      <c r="E108" s="3308"/>
      <c r="F108" s="1036">
        <f>'310'!M40</f>
        <v>0</v>
      </c>
      <c r="G108" t="str">
        <f>IF(F108='310'!M40," ","Problem: Must agree to ws 310 ")</f>
        <v xml:space="preserve"> </v>
      </c>
      <c r="I108" s="649" t="e">
        <f t="shared" si="5"/>
        <v>#N/A</v>
      </c>
      <c r="K108" s="1610"/>
    </row>
    <row r="109" spans="1:12" x14ac:dyDescent="0.2">
      <c r="A109" s="1129">
        <v>1787</v>
      </c>
      <c r="B109" s="3300" t="s">
        <v>1500</v>
      </c>
      <c r="C109" s="3300"/>
      <c r="D109" s="3300"/>
      <c r="E109" s="3300"/>
      <c r="F109" s="1036">
        <f>'310'!M41</f>
        <v>0</v>
      </c>
      <c r="G109" t="str">
        <f>IF(F109='310'!M41," ","Problem: Must agree to ws 310 ")</f>
        <v xml:space="preserve"> </v>
      </c>
      <c r="I109" s="649" t="e">
        <f t="shared" si="5"/>
        <v>#N/A</v>
      </c>
    </row>
    <row r="110" spans="1:12" x14ac:dyDescent="0.2">
      <c r="A110" s="1129">
        <v>1730</v>
      </c>
      <c r="B110" s="3206" t="s">
        <v>1501</v>
      </c>
      <c r="C110" s="3206"/>
      <c r="D110" s="3206"/>
      <c r="E110" s="3206"/>
      <c r="F110" s="1036">
        <f>'530'!H31</f>
        <v>0</v>
      </c>
      <c r="G110" t="str">
        <f>IF(F110='530'!H31," ","Problem: Must agree to ws 530 Due to St of NC Comp Unit")</f>
        <v xml:space="preserve"> </v>
      </c>
      <c r="I110" s="649" t="e">
        <f t="shared" si="5"/>
        <v>#N/A</v>
      </c>
      <c r="L110" s="2380">
        <v>21260000</v>
      </c>
    </row>
    <row r="111" spans="1:12" x14ac:dyDescent="0.2">
      <c r="A111" s="1129">
        <v>1735</v>
      </c>
      <c r="B111" s="3206" t="s">
        <v>4271</v>
      </c>
      <c r="C111" s="3206"/>
      <c r="D111" s="3206"/>
      <c r="E111" s="3206"/>
      <c r="F111" s="1036">
        <f>'616'!D47</f>
        <v>0</v>
      </c>
      <c r="G111" s="1033" t="str">
        <f>IF(F111='616'!D47, " ", "Problem: Must agree to ws 616 total Due to Agency/Institution Comp Unit")</f>
        <v xml:space="preserve"> </v>
      </c>
      <c r="I111" s="649" t="e">
        <f t="shared" si="5"/>
        <v>#N/A</v>
      </c>
      <c r="L111" s="2367">
        <v>21270000</v>
      </c>
    </row>
    <row r="112" spans="1:12" x14ac:dyDescent="0.2">
      <c r="A112" s="1129">
        <v>1740</v>
      </c>
      <c r="B112" s="3206" t="s">
        <v>1502</v>
      </c>
      <c r="C112" s="3206"/>
      <c r="D112" s="3206"/>
      <c r="E112" s="3206"/>
      <c r="F112" s="1036">
        <f>'520'!H31</f>
        <v>0</v>
      </c>
      <c r="G112" t="str">
        <f>IF(F112='520'!H31," ","Problem: Must agree to ws 520 Due to Primary Govt")</f>
        <v xml:space="preserve"> </v>
      </c>
      <c r="I112" s="649" t="e">
        <f t="shared" si="5"/>
        <v>#N/A</v>
      </c>
      <c r="L112" s="2380">
        <v>21250000</v>
      </c>
    </row>
    <row r="113" spans="1:12" x14ac:dyDescent="0.2">
      <c r="A113" s="335">
        <v>1890</v>
      </c>
      <c r="B113" s="3206" t="s">
        <v>569</v>
      </c>
      <c r="C113" s="3206"/>
      <c r="D113" s="3206"/>
      <c r="E113" s="3206"/>
      <c r="F113" s="659">
        <v>0</v>
      </c>
      <c r="I113" s="649" t="e">
        <f t="shared" si="5"/>
        <v>#N/A</v>
      </c>
      <c r="L113" s="2367">
        <v>21811000</v>
      </c>
    </row>
    <row r="114" spans="1:12" ht="11.25" customHeight="1" x14ac:dyDescent="0.2">
      <c r="A114" s="335">
        <v>1750</v>
      </c>
      <c r="B114" s="3206" t="s">
        <v>277</v>
      </c>
      <c r="C114" s="3206"/>
      <c r="D114" s="3206"/>
      <c r="E114" s="3206"/>
      <c r="F114" s="659">
        <v>0</v>
      </c>
      <c r="I114" s="649" t="e">
        <f t="shared" si="5"/>
        <v>#N/A</v>
      </c>
      <c r="L114" s="2367">
        <v>21310000</v>
      </c>
    </row>
    <row r="115" spans="1:12" ht="10.5" customHeight="1" x14ac:dyDescent="0.2">
      <c r="A115" s="335">
        <v>1760</v>
      </c>
      <c r="B115" s="3206" t="s">
        <v>1402</v>
      </c>
      <c r="C115" s="3206"/>
      <c r="D115" s="3206"/>
      <c r="E115" s="3206"/>
      <c r="F115" s="659">
        <v>0</v>
      </c>
      <c r="G115" s="1719" t="e">
        <f>IF(AND(ABS(F115)&gt;=1,$C$7="4XXX"),"Universities do not record obligations under securities lending for CAFR"," ")</f>
        <v>#N/A</v>
      </c>
      <c r="I115" s="649" t="e">
        <f t="shared" si="5"/>
        <v>#N/A</v>
      </c>
      <c r="L115" s="2367">
        <v>21315000</v>
      </c>
    </row>
    <row r="116" spans="1:12" x14ac:dyDescent="0.2">
      <c r="A116" s="335">
        <v>1870</v>
      </c>
      <c r="B116" s="3206" t="s">
        <v>739</v>
      </c>
      <c r="C116" s="3206"/>
      <c r="D116" s="3206"/>
      <c r="E116" s="3206"/>
      <c r="F116" s="659">
        <v>0</v>
      </c>
      <c r="I116" s="649" t="e">
        <f t="shared" si="5"/>
        <v>#N/A</v>
      </c>
      <c r="L116" s="2367">
        <v>21712000</v>
      </c>
    </row>
    <row r="117" spans="1:12" x14ac:dyDescent="0.2">
      <c r="A117" s="335">
        <v>1880</v>
      </c>
      <c r="B117" s="3206" t="s">
        <v>701</v>
      </c>
      <c r="C117" s="3206"/>
      <c r="D117" s="3206"/>
      <c r="E117" s="3206"/>
      <c r="F117" s="659">
        <v>0</v>
      </c>
      <c r="G117" s="335"/>
      <c r="I117" s="649" t="e">
        <f t="shared" si="5"/>
        <v>#N/A</v>
      </c>
      <c r="L117" s="2367">
        <v>21719000</v>
      </c>
    </row>
    <row r="118" spans="1:12" x14ac:dyDescent="0.2">
      <c r="A118" s="335">
        <v>1762</v>
      </c>
      <c r="B118" s="3206" t="s">
        <v>1347</v>
      </c>
      <c r="C118" s="3206"/>
      <c r="D118" s="3206"/>
      <c r="E118" s="3206"/>
      <c r="F118" s="659">
        <v>0</v>
      </c>
      <c r="I118" s="649" t="e">
        <f t="shared" si="5"/>
        <v>#N/A</v>
      </c>
      <c r="L118" s="2367">
        <v>21920000</v>
      </c>
    </row>
    <row r="119" spans="1:12" x14ac:dyDescent="0.2">
      <c r="A119" s="1129">
        <v>1775</v>
      </c>
      <c r="B119" s="3206" t="s">
        <v>4631</v>
      </c>
      <c r="C119" s="3206"/>
      <c r="D119" s="3206"/>
      <c r="E119" s="3206"/>
      <c r="F119" s="1036">
        <f>'310'!O26</f>
        <v>0</v>
      </c>
      <c r="G119" s="2086" t="str">
        <f>IF(F119='310'!O26," ","Problem: Must agree to ws 310 Notes from direct borrowings Due within one year")</f>
        <v xml:space="preserve"> </v>
      </c>
      <c r="I119" s="649" t="e">
        <f t="shared" si="5"/>
        <v>#N/A</v>
      </c>
      <c r="K119" s="1610"/>
    </row>
    <row r="120" spans="1:12" x14ac:dyDescent="0.2">
      <c r="A120" s="1129">
        <v>1780</v>
      </c>
      <c r="B120" s="3307" t="s">
        <v>5524</v>
      </c>
      <c r="C120" s="3307"/>
      <c r="D120" s="3307"/>
      <c r="E120" s="3307"/>
      <c r="F120" s="1036">
        <f>'310'!O27</f>
        <v>0</v>
      </c>
      <c r="G120" t="str">
        <f>IF(F120='310'!O27," ","Problem: Must agree to ws 310 Capital leases payable Due within one year")</f>
        <v xml:space="preserve"> </v>
      </c>
      <c r="I120" s="649" t="e">
        <f t="shared" si="5"/>
        <v>#N/A</v>
      </c>
      <c r="K120" s="1844" t="s">
        <v>5678</v>
      </c>
    </row>
    <row r="121" spans="1:12" x14ac:dyDescent="0.2">
      <c r="A121" s="1129">
        <v>1800</v>
      </c>
      <c r="B121" s="3206" t="s">
        <v>1503</v>
      </c>
      <c r="C121" s="3206"/>
      <c r="D121" s="3206"/>
      <c r="E121" s="3206"/>
      <c r="F121" s="1036">
        <f>SUM('310'!O17+'310'!O18+'310'!O20+'310'!O21+'310'!O19)</f>
        <v>0</v>
      </c>
      <c r="G121" t="str">
        <f>IF(F121='310'!O17+'310'!O18+'310'!O20+'310'!O21," ","Problem: Must agree to ws 310 Sum of Bonds &amp; COPS payable Due within one year")</f>
        <v xml:space="preserve"> </v>
      </c>
      <c r="I121" s="649" t="e">
        <f t="shared" si="5"/>
        <v>#N/A</v>
      </c>
      <c r="K121" s="1844"/>
    </row>
    <row r="122" spans="1:12" x14ac:dyDescent="0.2">
      <c r="A122" s="1129">
        <v>1850</v>
      </c>
      <c r="B122" s="3206" t="s">
        <v>1504</v>
      </c>
      <c r="C122" s="3206"/>
      <c r="D122" s="3206"/>
      <c r="E122" s="3206"/>
      <c r="F122" s="1036">
        <f>'310'!O24</f>
        <v>0</v>
      </c>
      <c r="G122" t="str">
        <f>IF(F122='310'!O24," ","Problem: Must agree to ws 310 Arbitrage rebate payable Due within one year")</f>
        <v xml:space="preserve"> </v>
      </c>
      <c r="I122" s="649" t="e">
        <f t="shared" si="5"/>
        <v>#N/A</v>
      </c>
    </row>
    <row r="123" spans="1:12" x14ac:dyDescent="0.2">
      <c r="A123" s="1129">
        <v>1851</v>
      </c>
      <c r="B123" s="3206" t="s">
        <v>3803</v>
      </c>
      <c r="C123" s="3206"/>
      <c r="D123" s="3206"/>
      <c r="E123" s="3206"/>
      <c r="F123" s="1036">
        <f>'310'!O25</f>
        <v>0</v>
      </c>
      <c r="G123" t="str">
        <f>IF(F123='310'!O25," ","Problem: Must agree to ws 310 Workers Compensation Due within one year")</f>
        <v xml:space="preserve"> </v>
      </c>
      <c r="I123" s="649" t="e">
        <f t="shared" si="5"/>
        <v>#N/A</v>
      </c>
    </row>
    <row r="124" spans="1:12" x14ac:dyDescent="0.2">
      <c r="A124" s="1129">
        <v>1786</v>
      </c>
      <c r="B124" s="3206" t="s">
        <v>1505</v>
      </c>
      <c r="C124" s="3206"/>
      <c r="D124" s="3206"/>
      <c r="E124" s="3206"/>
      <c r="F124" s="1036">
        <f>'310'!O28</f>
        <v>0</v>
      </c>
      <c r="G124" t="str">
        <f>IF(F124='310'!O28," ","Problem: Must agree to ws 310 Annuity and life income payable Due within one year")</f>
        <v xml:space="preserve"> </v>
      </c>
      <c r="I124" s="649" t="e">
        <f t="shared" si="5"/>
        <v>#N/A</v>
      </c>
    </row>
    <row r="125" spans="1:12" x14ac:dyDescent="0.2">
      <c r="A125" s="1129">
        <v>1855</v>
      </c>
      <c r="B125" s="3206" t="s">
        <v>1506</v>
      </c>
      <c r="C125" s="3206"/>
      <c r="D125" s="3206"/>
      <c r="E125" s="3206"/>
      <c r="F125" s="1036">
        <f>'310'!O30</f>
        <v>0</v>
      </c>
      <c r="G125" t="str">
        <f>IF(F125='310'!O30," ","Problem: Must agree to ws 310 Pollution remediation payable Due within one year")</f>
        <v xml:space="preserve"> </v>
      </c>
      <c r="I125" s="649" t="e">
        <f t="shared" si="5"/>
        <v>#N/A</v>
      </c>
    </row>
    <row r="126" spans="1:12" x14ac:dyDescent="0.2">
      <c r="A126" s="1129">
        <v>1857</v>
      </c>
      <c r="B126" s="3206" t="s">
        <v>4639</v>
      </c>
      <c r="C126" s="3206"/>
      <c r="D126" s="3206"/>
      <c r="E126" s="3206"/>
      <c r="F126" s="1036">
        <f>'310'!O31</f>
        <v>0</v>
      </c>
      <c r="G126" t="str">
        <f>IF(F126='310'!O31," ","Problem: Must agree to ws 310 Pollution remediation payable Due within one year")</f>
        <v xml:space="preserve"> </v>
      </c>
      <c r="I126" s="649" t="e">
        <f t="shared" si="5"/>
        <v>#N/A</v>
      </c>
      <c r="K126" s="1610"/>
    </row>
    <row r="127" spans="1:12" x14ac:dyDescent="0.2">
      <c r="A127" s="1129">
        <v>1860</v>
      </c>
      <c r="B127" s="3206" t="s">
        <v>3871</v>
      </c>
      <c r="C127" s="3206"/>
      <c r="D127" s="3206"/>
      <c r="E127" s="3206"/>
      <c r="F127" s="1036">
        <f>'310'!O32</f>
        <v>0</v>
      </c>
      <c r="G127" t="str">
        <f>IF(F127='310'!O32," ","Problem: Must agree to ws 310 Compensated absences Due within one year")</f>
        <v xml:space="preserve"> </v>
      </c>
      <c r="I127" s="649" t="e">
        <f t="shared" si="5"/>
        <v>#N/A</v>
      </c>
    </row>
    <row r="128" spans="1:12" x14ac:dyDescent="0.2">
      <c r="A128" s="1129">
        <v>1868</v>
      </c>
      <c r="B128" s="3206" t="s">
        <v>3872</v>
      </c>
      <c r="C128" s="3206"/>
      <c r="D128" s="3206"/>
      <c r="E128" s="3206"/>
      <c r="F128" s="1036">
        <f>'310'!O33</f>
        <v>0</v>
      </c>
      <c r="G128" t="str">
        <f>IF(F128='310'!O33," ","Problem: Must agree to ws 310 Net Pension Liability Due within one year")</f>
        <v xml:space="preserve"> </v>
      </c>
      <c r="I128" s="649" t="e">
        <f t="shared" si="5"/>
        <v>#N/A</v>
      </c>
    </row>
    <row r="129" spans="1:12" x14ac:dyDescent="0.2">
      <c r="A129" s="1129">
        <v>1869</v>
      </c>
      <c r="B129" s="3206" t="s">
        <v>4455</v>
      </c>
      <c r="C129" s="3206"/>
      <c r="D129" s="3206"/>
      <c r="E129" s="3206"/>
      <c r="F129" s="1036">
        <f>'310'!O34</f>
        <v>0</v>
      </c>
      <c r="G129" t="str">
        <f>IF(F129='310'!O34," ","Problem: Must agree to ws 310 Net OPEB Liability Due within one year")</f>
        <v xml:space="preserve"> </v>
      </c>
      <c r="I129" s="649" t="e">
        <f t="shared" si="5"/>
        <v>#N/A</v>
      </c>
      <c r="K129" s="1610"/>
    </row>
    <row r="130" spans="1:12" x14ac:dyDescent="0.2">
      <c r="A130" s="1129">
        <v>1865</v>
      </c>
      <c r="B130" s="3206" t="s">
        <v>1507</v>
      </c>
      <c r="C130" s="3206"/>
      <c r="D130" s="3206"/>
      <c r="E130" s="3206"/>
      <c r="F130" s="1036">
        <f>'310'!O35</f>
        <v>0</v>
      </c>
      <c r="G130" t="str">
        <f>IF(F130='310'!O35," ","Problem: Must agree to ws 310 Liab Insurance Trust Fund Payable, due within one yr")</f>
        <v xml:space="preserve"> </v>
      </c>
      <c r="I130" s="649" t="e">
        <f t="shared" si="5"/>
        <v>#N/A</v>
      </c>
    </row>
    <row r="131" spans="1:12" x14ac:dyDescent="0.2">
      <c r="A131" s="1129">
        <v>1866</v>
      </c>
      <c r="B131" s="3206" t="s">
        <v>1508</v>
      </c>
      <c r="C131" s="3206"/>
      <c r="D131" s="3206"/>
      <c r="E131" s="3206"/>
      <c r="F131" s="1036">
        <f>'310'!O36</f>
        <v>0</v>
      </c>
      <c r="G131" t="str">
        <f>IF(F131='310'!O36," ","Problem: Must agree to ws 310 Othe LT liabilities Due within one year")</f>
        <v xml:space="preserve"> </v>
      </c>
      <c r="I131" s="649" t="e">
        <f t="shared" si="5"/>
        <v>#N/A</v>
      </c>
    </row>
    <row r="132" spans="1:12" x14ac:dyDescent="0.2">
      <c r="B132" s="3295" t="s">
        <v>750</v>
      </c>
      <c r="C132" s="3295"/>
      <c r="D132" s="3295"/>
      <c r="E132" s="3295"/>
      <c r="F132" s="661">
        <f>SUM(F99:F131)</f>
        <v>0</v>
      </c>
      <c r="I132" s="661" t="e">
        <f>SUM(I99:I131)</f>
        <v>#N/A</v>
      </c>
    </row>
    <row r="133" spans="1:12" ht="4.5" customHeight="1" x14ac:dyDescent="0.2"/>
    <row r="134" spans="1:12" ht="11.25" customHeight="1" x14ac:dyDescent="0.2">
      <c r="B134" s="784" t="s">
        <v>788</v>
      </c>
    </row>
    <row r="135" spans="1:12" ht="10.5" customHeight="1" x14ac:dyDescent="0.2">
      <c r="A135" s="335"/>
      <c r="B135" s="335" t="s">
        <v>275</v>
      </c>
      <c r="C135" s="335"/>
    </row>
    <row r="136" spans="1:12" x14ac:dyDescent="0.2">
      <c r="A136" s="335">
        <v>1940</v>
      </c>
      <c r="B136" s="3300" t="s">
        <v>1060</v>
      </c>
      <c r="C136" s="3300"/>
      <c r="D136" s="3300"/>
      <c r="E136" s="3300"/>
      <c r="F136" s="659">
        <v>0</v>
      </c>
      <c r="G136" s="14"/>
      <c r="I136" s="649" t="e">
        <f t="shared" ref="I136:I156" si="6">INDEX(PY905Data,MATCH($A136,PY905Row,0),MATCH($C$5,PY905Col,0))</f>
        <v>#N/A</v>
      </c>
      <c r="L136" s="2367">
        <v>22110000</v>
      </c>
    </row>
    <row r="137" spans="1:12" ht="12" customHeight="1" x14ac:dyDescent="0.2">
      <c r="A137" s="335">
        <v>1950</v>
      </c>
      <c r="B137" s="3300" t="s">
        <v>816</v>
      </c>
      <c r="C137" s="3300"/>
      <c r="D137" s="3300"/>
      <c r="E137" s="3300"/>
      <c r="F137" s="659">
        <v>0</v>
      </c>
      <c r="I137" s="649" t="e">
        <f t="shared" si="6"/>
        <v>#N/A</v>
      </c>
      <c r="L137" s="2367">
        <v>22132000</v>
      </c>
    </row>
    <row r="138" spans="1:12" ht="11.25" customHeight="1" x14ac:dyDescent="0.2">
      <c r="A138" s="335">
        <v>1960</v>
      </c>
      <c r="B138" s="3300" t="s">
        <v>700</v>
      </c>
      <c r="C138" s="3300"/>
      <c r="D138" s="3300"/>
      <c r="E138" s="3300"/>
      <c r="F138" s="659">
        <v>0</v>
      </c>
      <c r="I138" s="649" t="e">
        <f t="shared" si="6"/>
        <v>#N/A</v>
      </c>
      <c r="L138" s="2367">
        <v>22529000</v>
      </c>
    </row>
    <row r="139" spans="1:12" x14ac:dyDescent="0.2">
      <c r="A139" s="1129">
        <v>2020</v>
      </c>
      <c r="B139" s="3206" t="s">
        <v>1509</v>
      </c>
      <c r="C139" s="3206"/>
      <c r="D139" s="3206"/>
      <c r="E139" s="3206"/>
      <c r="F139" s="1036">
        <f>'535'!H21</f>
        <v>0</v>
      </c>
      <c r="G139" t="str">
        <f>IF(F139='535'!H21," ","Problem: Must agree to ws 535 Advance from Primary Govt")</f>
        <v xml:space="preserve"> </v>
      </c>
      <c r="I139" s="649" t="e">
        <f t="shared" si="6"/>
        <v>#N/A</v>
      </c>
      <c r="L139" s="2380">
        <v>22250000</v>
      </c>
    </row>
    <row r="140" spans="1:12" x14ac:dyDescent="0.2">
      <c r="A140" s="335">
        <v>2097</v>
      </c>
      <c r="B140" s="3206" t="s">
        <v>569</v>
      </c>
      <c r="C140" s="3206"/>
      <c r="D140" s="3206"/>
      <c r="E140" s="3206"/>
      <c r="F140" s="659">
        <v>0</v>
      </c>
      <c r="I140" s="649" t="e">
        <f t="shared" si="6"/>
        <v>#N/A</v>
      </c>
      <c r="L140" s="2367">
        <v>22811000</v>
      </c>
    </row>
    <row r="141" spans="1:12" x14ac:dyDescent="0.2">
      <c r="A141" s="335">
        <v>2070</v>
      </c>
      <c r="B141" s="3206" t="s">
        <v>739</v>
      </c>
      <c r="C141" s="3206"/>
      <c r="D141" s="3206"/>
      <c r="E141" s="3206"/>
      <c r="F141" s="659">
        <v>0</v>
      </c>
      <c r="I141" s="649" t="e">
        <f t="shared" si="6"/>
        <v>#N/A</v>
      </c>
      <c r="L141" s="2367">
        <v>22712000</v>
      </c>
    </row>
    <row r="142" spans="1:12" x14ac:dyDescent="0.2">
      <c r="A142" s="335">
        <v>2080</v>
      </c>
      <c r="B142" s="3206" t="s">
        <v>701</v>
      </c>
      <c r="C142" s="3206"/>
      <c r="D142" s="3206"/>
      <c r="E142" s="3206"/>
      <c r="F142" s="659">
        <v>0</v>
      </c>
      <c r="G142" s="335"/>
      <c r="I142" s="649" t="e">
        <f t="shared" si="6"/>
        <v>#N/A</v>
      </c>
      <c r="L142" s="2367">
        <v>22719000</v>
      </c>
    </row>
    <row r="143" spans="1:12" ht="12" customHeight="1" x14ac:dyDescent="0.2">
      <c r="A143" s="335">
        <v>2024</v>
      </c>
      <c r="B143" s="3206" t="s">
        <v>1347</v>
      </c>
      <c r="C143" s="3206"/>
      <c r="D143" s="3206"/>
      <c r="E143" s="3206"/>
      <c r="F143" s="659">
        <v>0</v>
      </c>
      <c r="I143" s="649" t="e">
        <f t="shared" si="6"/>
        <v>#N/A</v>
      </c>
      <c r="L143" s="2367">
        <v>22920000</v>
      </c>
    </row>
    <row r="144" spans="1:12" x14ac:dyDescent="0.2">
      <c r="A144" s="1129">
        <v>2035</v>
      </c>
      <c r="B144" s="3206" t="s">
        <v>4630</v>
      </c>
      <c r="C144" s="3206"/>
      <c r="D144" s="3206"/>
      <c r="E144" s="3206"/>
      <c r="F144" s="1036">
        <f>'310'!M26-'310'!O26</f>
        <v>0</v>
      </c>
      <c r="I144" s="649" t="e">
        <f t="shared" si="6"/>
        <v>#N/A</v>
      </c>
      <c r="K144" s="1610"/>
    </row>
    <row r="145" spans="1:11" x14ac:dyDescent="0.2">
      <c r="A145" s="1129">
        <v>2040</v>
      </c>
      <c r="B145" s="3307" t="s">
        <v>5525</v>
      </c>
      <c r="C145" s="3307"/>
      <c r="D145" s="3307"/>
      <c r="E145" s="3307"/>
      <c r="F145" s="1036">
        <f>'310'!M27-'310'!O27</f>
        <v>0</v>
      </c>
      <c r="I145" s="649" t="e">
        <f t="shared" si="6"/>
        <v>#N/A</v>
      </c>
      <c r="K145" s="1844" t="s">
        <v>5678</v>
      </c>
    </row>
    <row r="146" spans="1:11" x14ac:dyDescent="0.2">
      <c r="A146" s="1129">
        <v>2050</v>
      </c>
      <c r="B146" s="3206" t="s">
        <v>1510</v>
      </c>
      <c r="C146" s="3206"/>
      <c r="D146" s="3206"/>
      <c r="E146" s="3206"/>
      <c r="F146" s="1036">
        <f>'310'!M17+'310'!M18+'310'!M19+'310'!M20+'310'!M21+'310'!M22+'310'!M23 -'310'!O17-'310'!O18-'310'!O19-'310'!O20-'310'!O21</f>
        <v>0</v>
      </c>
      <c r="G146" s="14"/>
      <c r="I146" s="649" t="e">
        <f t="shared" si="6"/>
        <v>#N/A</v>
      </c>
      <c r="K146" s="1844"/>
    </row>
    <row r="147" spans="1:11" x14ac:dyDescent="0.2">
      <c r="A147" s="1129">
        <v>2060</v>
      </c>
      <c r="B147" s="3206" t="s">
        <v>1511</v>
      </c>
      <c r="C147" s="3206"/>
      <c r="D147" s="3206"/>
      <c r="E147" s="3206"/>
      <c r="F147" s="1036">
        <f>'310'!M24-'310'!O24</f>
        <v>0</v>
      </c>
      <c r="I147" s="649" t="e">
        <f t="shared" si="6"/>
        <v>#N/A</v>
      </c>
    </row>
    <row r="148" spans="1:11" x14ac:dyDescent="0.2">
      <c r="A148" s="1129">
        <v>2061</v>
      </c>
      <c r="B148" s="3206" t="s">
        <v>3804</v>
      </c>
      <c r="C148" s="3206"/>
      <c r="D148" s="3206"/>
      <c r="E148" s="3206"/>
      <c r="F148" s="1036">
        <f>'310'!M25-'310'!O25</f>
        <v>0</v>
      </c>
      <c r="I148" s="649" t="e">
        <f t="shared" si="6"/>
        <v>#N/A</v>
      </c>
    </row>
    <row r="149" spans="1:11" x14ac:dyDescent="0.2">
      <c r="A149" s="1129">
        <v>2045</v>
      </c>
      <c r="B149" s="3206" t="s">
        <v>1512</v>
      </c>
      <c r="C149" s="3206"/>
      <c r="D149" s="3206"/>
      <c r="E149" s="3206"/>
      <c r="F149" s="1036">
        <f>'310'!M28-'310'!O28</f>
        <v>0</v>
      </c>
      <c r="G149" s="14"/>
      <c r="I149" s="649" t="e">
        <f t="shared" si="6"/>
        <v>#N/A</v>
      </c>
    </row>
    <row r="150" spans="1:11" x14ac:dyDescent="0.2">
      <c r="A150" s="1129">
        <v>2085</v>
      </c>
      <c r="B150" s="3206" t="s">
        <v>1513</v>
      </c>
      <c r="C150" s="3206"/>
      <c r="D150" s="3206"/>
      <c r="E150" s="3206"/>
      <c r="F150" s="1036">
        <f>'310'!M30-'310'!O30</f>
        <v>0</v>
      </c>
      <c r="I150" s="649" t="e">
        <f t="shared" si="6"/>
        <v>#N/A</v>
      </c>
    </row>
    <row r="151" spans="1:11" x14ac:dyDescent="0.2">
      <c r="A151" s="1129">
        <v>2087</v>
      </c>
      <c r="B151" s="3206" t="s">
        <v>4609</v>
      </c>
      <c r="C151" s="3206"/>
      <c r="D151" s="3206"/>
      <c r="E151" s="3206"/>
      <c r="F151" s="1036">
        <f>'310'!M31-'310'!O31</f>
        <v>0</v>
      </c>
      <c r="I151" s="649" t="e">
        <f t="shared" si="6"/>
        <v>#N/A</v>
      </c>
      <c r="K151" s="1610"/>
    </row>
    <row r="152" spans="1:11" x14ac:dyDescent="0.2">
      <c r="A152" s="1129">
        <v>2090</v>
      </c>
      <c r="B152" s="3206" t="s">
        <v>3873</v>
      </c>
      <c r="C152" s="3206"/>
      <c r="D152" s="3206"/>
      <c r="E152" s="3206"/>
      <c r="F152" s="1036">
        <f>'310'!M32-'310'!O32</f>
        <v>0</v>
      </c>
      <c r="I152" s="649" t="e">
        <f t="shared" si="6"/>
        <v>#N/A</v>
      </c>
    </row>
    <row r="153" spans="1:11" x14ac:dyDescent="0.2">
      <c r="A153" s="1129">
        <v>2098</v>
      </c>
      <c r="B153" s="3206" t="s">
        <v>3874</v>
      </c>
      <c r="C153" s="3206"/>
      <c r="D153" s="3206"/>
      <c r="E153" s="3206"/>
      <c r="F153" s="1036">
        <f>'310'!M33-'310'!O33</f>
        <v>0</v>
      </c>
      <c r="I153" s="649" t="e">
        <f t="shared" si="6"/>
        <v>#N/A</v>
      </c>
      <c r="K153" s="1544"/>
    </row>
    <row r="154" spans="1:11" x14ac:dyDescent="0.2">
      <c r="A154" s="1129">
        <v>2099</v>
      </c>
      <c r="B154" s="3206" t="s">
        <v>4456</v>
      </c>
      <c r="C154" s="3206"/>
      <c r="D154" s="3206"/>
      <c r="E154" s="3206"/>
      <c r="F154" s="1036">
        <f>'310'!M34-'310'!O34</f>
        <v>0</v>
      </c>
      <c r="I154" s="649" t="e">
        <f t="shared" si="6"/>
        <v>#N/A</v>
      </c>
      <c r="K154" s="1610"/>
    </row>
    <row r="155" spans="1:11" x14ac:dyDescent="0.2">
      <c r="A155" s="1129">
        <v>2095</v>
      </c>
      <c r="B155" s="3206" t="s">
        <v>1514</v>
      </c>
      <c r="C155" s="3206"/>
      <c r="D155" s="3206"/>
      <c r="E155" s="3206"/>
      <c r="F155" s="1036">
        <f>'310'!M35-'310'!O35</f>
        <v>0</v>
      </c>
      <c r="I155" s="649" t="e">
        <f t="shared" si="6"/>
        <v>#N/A</v>
      </c>
    </row>
    <row r="156" spans="1:11" x14ac:dyDescent="0.2">
      <c r="A156" s="1129">
        <v>2096</v>
      </c>
      <c r="B156" s="3206" t="s">
        <v>1515</v>
      </c>
      <c r="C156" s="3206"/>
      <c r="D156" s="3206"/>
      <c r="E156" s="3206"/>
      <c r="F156" s="1036">
        <f>'310'!M36-'310'!O36</f>
        <v>0</v>
      </c>
      <c r="G156" s="14"/>
      <c r="I156" s="649" t="e">
        <f t="shared" si="6"/>
        <v>#N/A</v>
      </c>
    </row>
    <row r="157" spans="1:11" ht="12" customHeight="1" x14ac:dyDescent="0.2">
      <c r="B157" s="3295" t="s">
        <v>751</v>
      </c>
      <c r="C157" s="3295"/>
      <c r="D157" s="3295"/>
      <c r="E157" s="3295"/>
      <c r="F157" s="661">
        <f>SUM(F136:F156)</f>
        <v>0</v>
      </c>
      <c r="I157" s="661" t="e">
        <f>SUM(I136:I156)</f>
        <v>#N/A</v>
      </c>
    </row>
    <row r="158" spans="1:11" ht="3" customHeight="1" x14ac:dyDescent="0.2">
      <c r="I158" s="649"/>
    </row>
    <row r="159" spans="1:11" x14ac:dyDescent="0.2">
      <c r="B159" s="3295" t="s">
        <v>752</v>
      </c>
      <c r="C159" s="3295"/>
      <c r="D159" s="3295"/>
      <c r="E159" s="3295"/>
      <c r="F159" s="651">
        <f>F132+F157</f>
        <v>0</v>
      </c>
      <c r="I159" s="651" t="e">
        <f>I132+I157</f>
        <v>#N/A</v>
      </c>
    </row>
    <row r="160" spans="1:11" ht="3.75" customHeight="1" x14ac:dyDescent="0.2"/>
    <row r="161" spans="1:21" ht="11.25" customHeight="1" x14ac:dyDescent="0.2">
      <c r="B161" s="394" t="s">
        <v>1931</v>
      </c>
    </row>
    <row r="162" spans="1:21" ht="11.25" customHeight="1" x14ac:dyDescent="0.2">
      <c r="A162" s="335">
        <v>1764</v>
      </c>
      <c r="B162" s="3206" t="s">
        <v>1932</v>
      </c>
      <c r="C162" s="3206"/>
      <c r="D162" s="3206"/>
      <c r="E162" s="3206"/>
      <c r="F162" s="659">
        <v>0</v>
      </c>
      <c r="I162" s="649" t="e">
        <f t="shared" ref="I162:I171" si="7">INDEX(PY905Data,MATCH($A162,PY905Row,0),MATCH($C$5,PY905Col,0))</f>
        <v>#N/A</v>
      </c>
      <c r="L162" s="2367">
        <v>71100003</v>
      </c>
    </row>
    <row r="163" spans="1:21" ht="11.25" customHeight="1" x14ac:dyDescent="0.2">
      <c r="A163" s="335">
        <v>2026</v>
      </c>
      <c r="B163" s="3206" t="s">
        <v>1933</v>
      </c>
      <c r="C163" s="3206"/>
      <c r="D163" s="3206"/>
      <c r="E163" s="3206"/>
      <c r="F163" s="659">
        <v>0</v>
      </c>
      <c r="I163" s="649" t="e">
        <f t="shared" si="7"/>
        <v>#N/A</v>
      </c>
      <c r="L163" s="2367">
        <v>71100004</v>
      </c>
    </row>
    <row r="164" spans="1:21" ht="11.25" customHeight="1" x14ac:dyDescent="0.2">
      <c r="A164" s="335">
        <v>1766</v>
      </c>
      <c r="B164" s="3206" t="s">
        <v>3560</v>
      </c>
      <c r="C164" s="3206"/>
      <c r="D164" s="3206"/>
      <c r="E164" s="3206"/>
      <c r="F164" s="659">
        <v>0</v>
      </c>
      <c r="I164" s="649" t="e">
        <f t="shared" si="7"/>
        <v>#N/A</v>
      </c>
      <c r="L164" s="2367">
        <v>71100005</v>
      </c>
    </row>
    <row r="165" spans="1:21" ht="11.25" customHeight="1" x14ac:dyDescent="0.2">
      <c r="A165" s="335">
        <v>1768</v>
      </c>
      <c r="B165" s="3206" t="s">
        <v>3577</v>
      </c>
      <c r="C165" s="3206"/>
      <c r="D165" s="3206"/>
      <c r="E165" s="3206"/>
      <c r="F165" s="659">
        <v>0</v>
      </c>
      <c r="I165" s="649" t="e">
        <f t="shared" si="7"/>
        <v>#N/A</v>
      </c>
      <c r="L165" s="2367">
        <v>71100006</v>
      </c>
    </row>
    <row r="166" spans="1:21" ht="11.25" customHeight="1" x14ac:dyDescent="0.2">
      <c r="A166" s="335">
        <v>1765</v>
      </c>
      <c r="B166" s="3206" t="s">
        <v>3876</v>
      </c>
      <c r="C166" s="3206"/>
      <c r="D166" s="3206"/>
      <c r="E166" s="3206"/>
      <c r="F166" s="659">
        <v>0</v>
      </c>
      <c r="I166" s="649" t="e">
        <f t="shared" si="7"/>
        <v>#N/A</v>
      </c>
      <c r="L166" s="2367">
        <v>71100008</v>
      </c>
    </row>
    <row r="167" spans="1:21" ht="11.25" customHeight="1" x14ac:dyDescent="0.2">
      <c r="A167" s="335">
        <v>1772</v>
      </c>
      <c r="B167" s="3206" t="s">
        <v>4458</v>
      </c>
      <c r="C167" s="3206"/>
      <c r="D167" s="3206"/>
      <c r="E167" s="3206"/>
      <c r="F167" s="659">
        <v>0</v>
      </c>
      <c r="I167" s="649" t="e">
        <f t="shared" si="7"/>
        <v>#N/A</v>
      </c>
      <c r="K167" s="1610"/>
      <c r="L167" s="2367">
        <v>71100009</v>
      </c>
    </row>
    <row r="168" spans="1:21" ht="11.25" customHeight="1" x14ac:dyDescent="0.2">
      <c r="A168" s="335">
        <v>1767</v>
      </c>
      <c r="B168" s="3206" t="s">
        <v>3875</v>
      </c>
      <c r="C168" s="3206"/>
      <c r="D168" s="3206"/>
      <c r="E168" s="3206"/>
      <c r="F168" s="659">
        <v>0</v>
      </c>
      <c r="I168" s="649" t="e">
        <f t="shared" si="7"/>
        <v>#N/A</v>
      </c>
      <c r="K168" s="1544"/>
      <c r="L168" s="2367">
        <v>71100010</v>
      </c>
    </row>
    <row r="169" spans="1:21" ht="11.25" customHeight="1" x14ac:dyDescent="0.2">
      <c r="A169" s="335">
        <v>1771</v>
      </c>
      <c r="B169" s="3206" t="s">
        <v>4457</v>
      </c>
      <c r="C169" s="3206"/>
      <c r="D169" s="3206"/>
      <c r="E169" s="3206"/>
      <c r="F169" s="659">
        <v>0</v>
      </c>
      <c r="I169" s="649" t="e">
        <f t="shared" si="7"/>
        <v>#N/A</v>
      </c>
      <c r="K169" s="1610"/>
      <c r="L169" s="2367">
        <v>71100011</v>
      </c>
    </row>
    <row r="170" spans="1:21" s="2515" customFormat="1" ht="11.25" customHeight="1" x14ac:dyDescent="0.2">
      <c r="A170" s="2516">
        <v>1773</v>
      </c>
      <c r="B170" s="3307" t="s">
        <v>5526</v>
      </c>
      <c r="C170" s="3307"/>
      <c r="D170" s="3307"/>
      <c r="E170" s="3307"/>
      <c r="F170" s="659">
        <v>0</v>
      </c>
      <c r="I170" s="649" t="e">
        <f t="shared" si="7"/>
        <v>#N/A</v>
      </c>
      <c r="K170" s="1844" t="s">
        <v>5678</v>
      </c>
      <c r="L170" s="2454">
        <v>71100012</v>
      </c>
      <c r="M170" s="2517"/>
      <c r="N170" s="2517"/>
      <c r="O170" s="2517"/>
      <c r="P170" s="2517"/>
      <c r="Q170" s="2517"/>
      <c r="R170" s="2517"/>
      <c r="S170" s="2517"/>
      <c r="T170" s="2517"/>
      <c r="U170" s="2517"/>
    </row>
    <row r="171" spans="1:21" ht="11.25" customHeight="1" x14ac:dyDescent="0.2">
      <c r="A171" s="335">
        <v>1769</v>
      </c>
      <c r="B171" s="3206" t="s">
        <v>3954</v>
      </c>
      <c r="C171" s="3206"/>
      <c r="D171" s="3206"/>
      <c r="E171" s="3206"/>
      <c r="F171" s="659">
        <v>0</v>
      </c>
      <c r="I171" s="649" t="e">
        <f t="shared" si="7"/>
        <v>#N/A</v>
      </c>
      <c r="L171" s="2367">
        <v>71100007</v>
      </c>
    </row>
    <row r="172" spans="1:21" ht="11.25" customHeight="1" x14ac:dyDescent="0.2">
      <c r="B172" s="3295" t="s">
        <v>1934</v>
      </c>
      <c r="C172" s="3295"/>
      <c r="D172" s="3295"/>
      <c r="E172" s="3295"/>
      <c r="F172" s="661">
        <f>SUM(F161:F171)</f>
        <v>0</v>
      </c>
      <c r="I172" s="661" t="e">
        <f>SUM(I161:I171)</f>
        <v>#N/A</v>
      </c>
    </row>
    <row r="173" spans="1:21" ht="3" customHeight="1" x14ac:dyDescent="0.2"/>
    <row r="174" spans="1:21" x14ac:dyDescent="0.2">
      <c r="B174" s="395" t="s">
        <v>1892</v>
      </c>
    </row>
    <row r="175" spans="1:21" x14ac:dyDescent="0.2">
      <c r="A175" s="335">
        <v>2130</v>
      </c>
      <c r="B175" s="3206" t="s">
        <v>1937</v>
      </c>
      <c r="C175" s="3206"/>
      <c r="D175" s="3206"/>
      <c r="E175" s="3206"/>
      <c r="F175" s="659">
        <v>0</v>
      </c>
      <c r="G175" t="str">
        <f>IF((F175&lt;=F67+F81)," ","Problem: Must be less than or equal to capital assets, depreciable and nondeprec, net")</f>
        <v xml:space="preserve"> </v>
      </c>
      <c r="I175" s="649" t="e">
        <f>INDEX(PY905Data,MATCH($A175,PY905Row,0),MATCH($C$5,PY905Col,0))</f>
        <v>#N/A</v>
      </c>
      <c r="L175" s="2367" t="s">
        <v>5123</v>
      </c>
      <c r="M175" s="2367" t="s">
        <v>5077</v>
      </c>
    </row>
    <row r="176" spans="1:21" ht="10.5" customHeight="1" x14ac:dyDescent="0.2">
      <c r="A176" s="330"/>
      <c r="B176" s="335" t="s">
        <v>1418</v>
      </c>
      <c r="C176" s="335"/>
      <c r="D176" s="335"/>
      <c r="E176" s="335"/>
      <c r="G176" s="1232" t="str">
        <f>IF(AND(SUM(F67+F81)&gt;=1,$F$175=0),"Need to calculate and key Net investment in capital assets"," ")</f>
        <v xml:space="preserve"> </v>
      </c>
      <c r="M176" s="2367"/>
    </row>
    <row r="177" spans="1:21" x14ac:dyDescent="0.2">
      <c r="A177" s="335">
        <v>2140</v>
      </c>
      <c r="B177" s="3300" t="s">
        <v>1212</v>
      </c>
      <c r="C177" s="3300"/>
      <c r="D177" s="3300"/>
      <c r="E177" s="3300"/>
      <c r="F177" s="659">
        <v>0</v>
      </c>
      <c r="G177" t="str">
        <f>IF(F177&lt;0,"Problem: Restricted net assets cannot be negative - see Net Assets Policy in Instructions"," ")</f>
        <v xml:space="preserve"> </v>
      </c>
      <c r="I177" s="649" t="e">
        <f>INDEX(PY905Data,MATCH($A177,PY905Row,0),MATCH($C$5,PY905Col,0))</f>
        <v>#N/A</v>
      </c>
      <c r="L177" s="2367" t="s">
        <v>5124</v>
      </c>
      <c r="M177" s="2367" t="s">
        <v>5029</v>
      </c>
    </row>
    <row r="178" spans="1:21" ht="11.25" customHeight="1" x14ac:dyDescent="0.2">
      <c r="A178" s="335">
        <v>2141</v>
      </c>
      <c r="B178" s="3300" t="s">
        <v>1038</v>
      </c>
      <c r="C178" s="3300"/>
      <c r="D178" s="3300"/>
      <c r="E178" s="3300"/>
      <c r="F178" s="659">
        <v>0</v>
      </c>
      <c r="G178" t="str">
        <f t="shared" ref="G178:G184" si="8">IF(F178&lt;0,"Problem: Restricted net assets cannot be negative - see Net Assets Policy in Instructions"," ")</f>
        <v xml:space="preserve"> </v>
      </c>
      <c r="I178" s="649" t="e">
        <f>INDEX(PY905Data,MATCH($A178,PY905Row,0),MATCH($C$5,PY905Col,0))</f>
        <v>#N/A</v>
      </c>
      <c r="L178" s="2367" t="s">
        <v>5124</v>
      </c>
      <c r="M178" s="2367" t="s">
        <v>4996</v>
      </c>
    </row>
    <row r="179" spans="1:21" ht="12" customHeight="1" x14ac:dyDescent="0.2">
      <c r="A179" s="335">
        <v>2142</v>
      </c>
      <c r="B179" s="3300" t="s">
        <v>1039</v>
      </c>
      <c r="C179" s="3300"/>
      <c r="D179" s="3300"/>
      <c r="E179" s="3300"/>
      <c r="F179" s="659">
        <v>0</v>
      </c>
      <c r="G179" t="str">
        <f t="shared" si="8"/>
        <v xml:space="preserve"> </v>
      </c>
      <c r="I179" s="649" t="e">
        <f>INDEX(PY905Data,MATCH($A179,PY905Row,0),MATCH($C$5,PY905Col,0))</f>
        <v>#N/A</v>
      </c>
      <c r="L179" s="2367" t="s">
        <v>5124</v>
      </c>
      <c r="M179" s="2367" t="s">
        <v>5133</v>
      </c>
    </row>
    <row r="180" spans="1:21" ht="11.25" customHeight="1" x14ac:dyDescent="0.2">
      <c r="A180" s="330"/>
      <c r="B180" s="335" t="s">
        <v>1303</v>
      </c>
      <c r="M180" s="2367"/>
    </row>
    <row r="181" spans="1:21" x14ac:dyDescent="0.2">
      <c r="A181" s="335">
        <v>2150</v>
      </c>
      <c r="B181" s="3300" t="s">
        <v>1212</v>
      </c>
      <c r="C181" s="3300"/>
      <c r="D181" s="3300"/>
      <c r="E181" s="3300"/>
      <c r="F181" s="659">
        <v>0</v>
      </c>
      <c r="G181" t="str">
        <f t="shared" si="8"/>
        <v xml:space="preserve"> </v>
      </c>
      <c r="I181" s="649" t="e">
        <f>INDEX(PY905Data,MATCH($A181,PY905Row,0),MATCH($C$5,PY905Col,0))</f>
        <v>#N/A</v>
      </c>
      <c r="L181" s="2367" t="s">
        <v>1114</v>
      </c>
      <c r="M181" s="2367" t="s">
        <v>5029</v>
      </c>
    </row>
    <row r="182" spans="1:21" x14ac:dyDescent="0.2">
      <c r="A182" s="335">
        <v>2151</v>
      </c>
      <c r="B182" s="3300" t="s">
        <v>1038</v>
      </c>
      <c r="C182" s="3300"/>
      <c r="D182" s="3300"/>
      <c r="E182" s="3300"/>
      <c r="F182" s="659">
        <v>0</v>
      </c>
      <c r="G182" t="str">
        <f t="shared" si="8"/>
        <v xml:space="preserve"> </v>
      </c>
      <c r="I182" s="649" t="e">
        <f>INDEX(PY905Data,MATCH($A182,PY905Row,0),MATCH($C$5,PY905Col,0))</f>
        <v>#N/A</v>
      </c>
      <c r="L182" s="2367" t="s">
        <v>1114</v>
      </c>
      <c r="M182" s="2367" t="s">
        <v>4996</v>
      </c>
    </row>
    <row r="183" spans="1:21" x14ac:dyDescent="0.2">
      <c r="A183" s="335">
        <v>2152</v>
      </c>
      <c r="B183" s="3300" t="s">
        <v>1039</v>
      </c>
      <c r="C183" s="3300"/>
      <c r="D183" s="3300"/>
      <c r="E183" s="3300"/>
      <c r="F183" s="659">
        <v>0</v>
      </c>
      <c r="G183" t="str">
        <f t="shared" si="8"/>
        <v xml:space="preserve"> </v>
      </c>
      <c r="I183" s="649" t="e">
        <f>INDEX(PY905Data,MATCH($A183,PY905Row,0),MATCH($C$5,PY905Col,0))</f>
        <v>#N/A</v>
      </c>
      <c r="L183" s="2367" t="s">
        <v>1114</v>
      </c>
      <c r="M183" s="2367" t="s">
        <v>5133</v>
      </c>
    </row>
    <row r="184" spans="1:21" s="2630" customFormat="1" x14ac:dyDescent="0.2">
      <c r="A184" s="2631"/>
      <c r="B184" s="3316" t="s">
        <v>5673</v>
      </c>
      <c r="C184" s="3316"/>
      <c r="D184" s="3316"/>
      <c r="E184" s="3316"/>
      <c r="F184" s="659">
        <v>0</v>
      </c>
      <c r="G184" s="2630" t="str">
        <f t="shared" si="8"/>
        <v xml:space="preserve"> </v>
      </c>
      <c r="I184" s="649" t="e">
        <f>INDEX(PY905Data,MATCH($A184,PY905Row,0),MATCH($C$5,PY905Col,0))</f>
        <v>#N/A</v>
      </c>
      <c r="K184" s="1844" t="s">
        <v>5679</v>
      </c>
      <c r="L184" s="2290" t="s">
        <v>1114</v>
      </c>
      <c r="M184" s="2290" t="s">
        <v>5079</v>
      </c>
      <c r="N184" s="2632"/>
      <c r="O184" s="2632"/>
      <c r="P184" s="2632"/>
      <c r="Q184" s="2632"/>
      <c r="R184" s="2632"/>
      <c r="S184" s="2632"/>
      <c r="T184" s="2632"/>
      <c r="U184" s="2632"/>
    </row>
    <row r="185" spans="1:21" x14ac:dyDescent="0.2">
      <c r="A185" s="335">
        <v>2180</v>
      </c>
      <c r="B185" s="3206" t="s">
        <v>923</v>
      </c>
      <c r="C185" s="3206"/>
      <c r="D185" s="3206"/>
      <c r="E185" s="3206"/>
      <c r="F185" s="660">
        <v>0</v>
      </c>
      <c r="I185" s="649" t="e">
        <f>INDEX(PY905Data,MATCH($A185,PY905Row,0),MATCH($C$5,PY905Col,0))</f>
        <v>#N/A</v>
      </c>
      <c r="L185" s="2367" t="s">
        <v>5125</v>
      </c>
      <c r="M185" s="2367" t="s">
        <v>4982</v>
      </c>
    </row>
    <row r="186" spans="1:21" ht="12" customHeight="1" thickBot="1" x14ac:dyDescent="0.25">
      <c r="B186" s="3295" t="s">
        <v>1893</v>
      </c>
      <c r="C186" s="3295"/>
      <c r="D186" s="3295"/>
      <c r="E186" s="3295"/>
      <c r="F186" s="804">
        <f>SUM(F175:F185)</f>
        <v>0</v>
      </c>
      <c r="I186" s="804" t="e">
        <f>SUM(I175:I185)</f>
        <v>#N/A</v>
      </c>
    </row>
    <row r="187" spans="1:21" ht="4.5" customHeight="1" thickTop="1" x14ac:dyDescent="0.2">
      <c r="I187" s="649"/>
    </row>
    <row r="188" spans="1:21" ht="12.75" customHeight="1" x14ac:dyDescent="0.2">
      <c r="B188" s="335" t="s">
        <v>1935</v>
      </c>
      <c r="C188" s="785"/>
      <c r="D188" s="785"/>
      <c r="E188" s="785"/>
      <c r="F188" s="805" t="str">
        <f>IF(ROUND(F84+F94-F159-F172,2)=F186, "In Bal.","Out of Bal.")</f>
        <v>In Bal.</v>
      </c>
      <c r="I188" s="805" t="e">
        <f>IF(ROUND(I84+I94-I159-I172,2)=I186, "In Bal.","Out of Bal.")</f>
        <v>#N/A</v>
      </c>
    </row>
    <row r="189" spans="1:21" ht="12.75" customHeight="1" thickBot="1" x14ac:dyDescent="0.25">
      <c r="B189" s="335"/>
      <c r="C189" s="785"/>
      <c r="D189" s="785"/>
      <c r="E189" s="785"/>
      <c r="F189" s="805"/>
      <c r="I189" s="805"/>
    </row>
    <row r="190" spans="1:21" ht="12.75" customHeight="1" thickBot="1" x14ac:dyDescent="0.25">
      <c r="B190" s="335"/>
      <c r="C190" s="785"/>
      <c r="D190" s="1614"/>
      <c r="E190" s="1615" t="s">
        <v>4087</v>
      </c>
      <c r="F190" s="1616" t="str">
        <f>IF(ROUND(F84+F94-F159-F172,2)=F186, "0",((F84+F94-F159-F172)-F186))</f>
        <v>0</v>
      </c>
      <c r="G190" s="1616"/>
      <c r="H190" s="1616"/>
      <c r="I190" s="1617" t="e">
        <f>IF(ROUND(I84+I94-I159-I172,2)=I186, "0",((I84+I94-I159-I172)-I186))</f>
        <v>#N/A</v>
      </c>
    </row>
    <row r="191" spans="1:21" ht="7.5" customHeight="1" x14ac:dyDescent="0.2"/>
    <row r="192" spans="1:21" x14ac:dyDescent="0.2">
      <c r="B192" s="3303" t="s">
        <v>1894</v>
      </c>
      <c r="C192" s="3303"/>
      <c r="D192" s="3303"/>
      <c r="E192" s="3303"/>
      <c r="F192" s="792" t="str">
        <f>CONCATENATE("FYE ",+TEXT(Data!$A$2,"mmmm d,yyyy"))</f>
        <v>FYE June 30,2022</v>
      </c>
      <c r="I192" s="792" t="str">
        <f>CONCATENATE("FYE ",+TEXT(Data!$A$4,"mmmm d,yyyy"))</f>
        <v>FYE June 30,2021</v>
      </c>
    </row>
    <row r="193" spans="1:12" x14ac:dyDescent="0.2">
      <c r="B193" s="783" t="s">
        <v>754</v>
      </c>
      <c r="C193" s="783"/>
    </row>
    <row r="194" spans="1:12" x14ac:dyDescent="0.2">
      <c r="A194" s="335">
        <v>2310</v>
      </c>
      <c r="B194" s="3294" t="s">
        <v>782</v>
      </c>
      <c r="C194" s="3294"/>
      <c r="D194" s="3294"/>
      <c r="E194" s="3294"/>
      <c r="F194" s="658">
        <v>0</v>
      </c>
      <c r="I194" s="658" t="e">
        <f t="shared" ref="I194:I204" si="9">INDEX(PY905Data,MATCH($A194,PY905Row,0),MATCH($C$5,PY905Col,0))</f>
        <v>#N/A</v>
      </c>
      <c r="L194" s="2367">
        <v>44101000</v>
      </c>
    </row>
    <row r="195" spans="1:12" x14ac:dyDescent="0.2">
      <c r="A195" s="335">
        <v>2320</v>
      </c>
      <c r="B195" s="3294" t="s">
        <v>1425</v>
      </c>
      <c r="C195" s="3294"/>
      <c r="D195" s="3294"/>
      <c r="E195" s="3294"/>
      <c r="F195" s="659">
        <v>0</v>
      </c>
      <c r="G195" s="14"/>
      <c r="I195" s="649" t="e">
        <f t="shared" si="9"/>
        <v>#N/A</v>
      </c>
      <c r="L195" s="2367">
        <v>45800000</v>
      </c>
    </row>
    <row r="196" spans="1:12" x14ac:dyDescent="0.2">
      <c r="A196" s="335">
        <v>2330</v>
      </c>
      <c r="B196" s="3294" t="s">
        <v>1426</v>
      </c>
      <c r="C196" s="3294"/>
      <c r="D196" s="3294"/>
      <c r="E196" s="3294"/>
      <c r="F196" s="659">
        <v>0</v>
      </c>
      <c r="G196" s="14"/>
      <c r="I196" s="649" t="e">
        <f t="shared" si="9"/>
        <v>#N/A</v>
      </c>
      <c r="L196" s="2367">
        <v>44200000</v>
      </c>
    </row>
    <row r="197" spans="1:12" x14ac:dyDescent="0.2">
      <c r="A197" s="335">
        <v>2350</v>
      </c>
      <c r="B197" s="3294" t="s">
        <v>1427</v>
      </c>
      <c r="C197" s="3294"/>
      <c r="D197" s="3294"/>
      <c r="E197" s="3294"/>
      <c r="F197" s="659">
        <v>0</v>
      </c>
      <c r="G197" s="14"/>
      <c r="I197" s="649" t="e">
        <f t="shared" si="9"/>
        <v>#N/A</v>
      </c>
      <c r="L197" s="2367">
        <v>42997000</v>
      </c>
    </row>
    <row r="198" spans="1:12" x14ac:dyDescent="0.2">
      <c r="A198" s="335">
        <v>2370</v>
      </c>
      <c r="B198" s="3294" t="s">
        <v>388</v>
      </c>
      <c r="C198" s="3294"/>
      <c r="D198" s="3294"/>
      <c r="E198" s="3294"/>
      <c r="F198" s="659">
        <v>0</v>
      </c>
      <c r="I198" s="649" t="e">
        <f t="shared" si="9"/>
        <v>#N/A</v>
      </c>
      <c r="L198" s="2384" t="s">
        <v>5126</v>
      </c>
    </row>
    <row r="199" spans="1:12" x14ac:dyDescent="0.2">
      <c r="A199" s="335">
        <v>2390</v>
      </c>
      <c r="B199" s="3299" t="s">
        <v>389</v>
      </c>
      <c r="C199" s="3299"/>
      <c r="D199" s="3299"/>
      <c r="E199" s="3299"/>
      <c r="F199" s="659">
        <v>0</v>
      </c>
      <c r="I199" s="649" t="e">
        <f t="shared" si="9"/>
        <v>#N/A</v>
      </c>
      <c r="L199" s="2384" t="s">
        <v>5127</v>
      </c>
    </row>
    <row r="200" spans="1:12" x14ac:dyDescent="0.2">
      <c r="A200" s="335">
        <v>2400</v>
      </c>
      <c r="B200" s="3206" t="s">
        <v>390</v>
      </c>
      <c r="C200" s="3206"/>
      <c r="D200" s="3206"/>
      <c r="E200" s="3206"/>
      <c r="F200" s="659">
        <v>0</v>
      </c>
      <c r="I200" s="649" t="e">
        <f t="shared" si="9"/>
        <v>#N/A</v>
      </c>
      <c r="L200" s="2384" t="s">
        <v>5128</v>
      </c>
    </row>
    <row r="201" spans="1:12" x14ac:dyDescent="0.2">
      <c r="A201" s="335">
        <v>2410</v>
      </c>
      <c r="B201" s="3206" t="s">
        <v>391</v>
      </c>
      <c r="C201" s="3206"/>
      <c r="D201" s="3206"/>
      <c r="E201" s="3206"/>
      <c r="F201" s="659">
        <v>0</v>
      </c>
      <c r="I201" s="649" t="e">
        <f t="shared" si="9"/>
        <v>#N/A</v>
      </c>
      <c r="L201" s="2367">
        <v>43200000</v>
      </c>
    </row>
    <row r="202" spans="1:12" x14ac:dyDescent="0.2">
      <c r="A202" s="335">
        <v>2420</v>
      </c>
      <c r="B202" s="3206" t="s">
        <v>783</v>
      </c>
      <c r="C202" s="3206"/>
      <c r="D202" s="3206"/>
      <c r="E202" s="3206"/>
      <c r="F202" s="659">
        <v>0</v>
      </c>
      <c r="I202" s="649" t="e">
        <f t="shared" si="9"/>
        <v>#N/A</v>
      </c>
      <c r="L202" s="2367">
        <v>44410000</v>
      </c>
    </row>
    <row r="203" spans="1:12" x14ac:dyDescent="0.2">
      <c r="A203" s="335">
        <v>2430</v>
      </c>
      <c r="B203" s="3206" t="s">
        <v>8</v>
      </c>
      <c r="C203" s="3206"/>
      <c r="D203" s="3206"/>
      <c r="E203" s="3206"/>
      <c r="F203" s="659">
        <v>0</v>
      </c>
      <c r="I203" s="649" t="e">
        <f t="shared" si="9"/>
        <v>#N/A</v>
      </c>
      <c r="L203" s="2367">
        <v>47993000</v>
      </c>
    </row>
    <row r="204" spans="1:12" x14ac:dyDescent="0.2">
      <c r="A204" s="335">
        <v>2450</v>
      </c>
      <c r="B204" s="3206" t="s">
        <v>643</v>
      </c>
      <c r="C204" s="3206"/>
      <c r="D204" s="3206"/>
      <c r="E204" s="3206"/>
      <c r="F204" s="660">
        <v>0</v>
      </c>
      <c r="I204" s="649" t="e">
        <f t="shared" si="9"/>
        <v>#N/A</v>
      </c>
      <c r="L204" s="2367">
        <v>47111000</v>
      </c>
    </row>
    <row r="205" spans="1:12" x14ac:dyDescent="0.2">
      <c r="A205" s="785"/>
      <c r="B205" s="3295" t="s">
        <v>753</v>
      </c>
      <c r="C205" s="3295"/>
      <c r="D205" s="3295"/>
      <c r="E205" s="3295"/>
      <c r="F205" s="661">
        <f>SUM(F194:F204)</f>
        <v>0</v>
      </c>
      <c r="I205" s="661" t="e">
        <f>SUM(I194:I204)</f>
        <v>#N/A</v>
      </c>
    </row>
    <row r="206" spans="1:12" ht="5.25" customHeight="1" x14ac:dyDescent="0.2"/>
    <row r="207" spans="1:12" ht="13.5" customHeight="1" x14ac:dyDescent="0.2">
      <c r="B207" s="783" t="s">
        <v>755</v>
      </c>
    </row>
    <row r="208" spans="1:12" x14ac:dyDescent="0.2">
      <c r="A208" s="335">
        <v>2490</v>
      </c>
      <c r="B208" s="3294" t="s">
        <v>394</v>
      </c>
      <c r="C208" s="3294"/>
      <c r="D208" s="3294"/>
      <c r="E208" s="3294"/>
      <c r="F208" s="659">
        <v>0</v>
      </c>
      <c r="I208" s="649" t="e">
        <f t="shared" ref="I208:I215" si="10">INDEX(PY905Data,MATCH($A208,PY905Row,0),MATCH($C$5,PY905Col,0))</f>
        <v>#N/A</v>
      </c>
      <c r="K208" s="272"/>
      <c r="L208" s="2367">
        <v>51110000</v>
      </c>
    </row>
    <row r="209" spans="1:12" x14ac:dyDescent="0.2">
      <c r="A209" s="335">
        <v>2510</v>
      </c>
      <c r="B209" s="3294" t="s">
        <v>395</v>
      </c>
      <c r="C209" s="3294"/>
      <c r="D209" s="3294"/>
      <c r="E209" s="3294"/>
      <c r="F209" s="659">
        <v>0</v>
      </c>
      <c r="I209" s="649" t="e">
        <f t="shared" si="10"/>
        <v>#N/A</v>
      </c>
      <c r="L209" s="2367">
        <v>53110000</v>
      </c>
    </row>
    <row r="210" spans="1:12" x14ac:dyDescent="0.2">
      <c r="A210" s="335">
        <v>2520</v>
      </c>
      <c r="B210" s="3299" t="s">
        <v>396</v>
      </c>
      <c r="C210" s="3299"/>
      <c r="D210" s="3299"/>
      <c r="E210" s="3299"/>
      <c r="F210" s="659">
        <v>0</v>
      </c>
      <c r="I210" s="649" t="e">
        <f t="shared" si="10"/>
        <v>#N/A</v>
      </c>
      <c r="L210" s="2367">
        <v>52110000</v>
      </c>
    </row>
    <row r="211" spans="1:12" x14ac:dyDescent="0.2">
      <c r="A211" s="335">
        <v>2550</v>
      </c>
      <c r="B211" s="3206" t="s">
        <v>397</v>
      </c>
      <c r="C211" s="3206"/>
      <c r="D211" s="3206"/>
      <c r="E211" s="3206"/>
      <c r="F211" s="659">
        <v>0</v>
      </c>
      <c r="I211" s="649" t="e">
        <f t="shared" si="10"/>
        <v>#N/A</v>
      </c>
      <c r="L211" s="2367">
        <v>53800000</v>
      </c>
    </row>
    <row r="212" spans="1:12" x14ac:dyDescent="0.2">
      <c r="A212" s="335">
        <v>2540</v>
      </c>
      <c r="B212" s="3206" t="s">
        <v>1171</v>
      </c>
      <c r="C212" s="3206"/>
      <c r="D212" s="3206"/>
      <c r="E212" s="3206"/>
      <c r="F212" s="659">
        <v>0</v>
      </c>
      <c r="I212" s="649" t="e">
        <f t="shared" si="10"/>
        <v>#N/A</v>
      </c>
      <c r="L212" s="2367">
        <v>55210000</v>
      </c>
    </row>
    <row r="213" spans="1:12" x14ac:dyDescent="0.2">
      <c r="A213" s="335">
        <v>2560</v>
      </c>
      <c r="B213" s="3206" t="s">
        <v>379</v>
      </c>
      <c r="C213" s="3206"/>
      <c r="D213" s="3206"/>
      <c r="E213" s="3206"/>
      <c r="F213" s="659">
        <v>0</v>
      </c>
      <c r="G213" s="14" t="str">
        <f>IF(F213='210'!M31," ","Should agree to total accumulated depreciation increases per ws 210, cell K25; provide explanation for difference on ws 210")</f>
        <v xml:space="preserve"> </v>
      </c>
      <c r="I213" s="649" t="e">
        <f t="shared" si="10"/>
        <v>#N/A</v>
      </c>
      <c r="L213" s="2367">
        <v>55430000</v>
      </c>
    </row>
    <row r="214" spans="1:12" x14ac:dyDescent="0.2">
      <c r="A214" s="335">
        <v>2570</v>
      </c>
      <c r="B214" s="3206" t="s">
        <v>1183</v>
      </c>
      <c r="C214" s="3206"/>
      <c r="D214" s="3206"/>
      <c r="E214" s="3206"/>
      <c r="F214" s="659">
        <v>0</v>
      </c>
      <c r="I214" s="649" t="e">
        <f t="shared" si="10"/>
        <v>#N/A</v>
      </c>
      <c r="L214" s="2367">
        <v>52911000</v>
      </c>
    </row>
    <row r="215" spans="1:12" x14ac:dyDescent="0.2">
      <c r="A215" s="335">
        <v>2590</v>
      </c>
      <c r="B215" s="3206" t="s">
        <v>1428</v>
      </c>
      <c r="C215" s="3206"/>
      <c r="D215" s="3206"/>
      <c r="E215" s="3206"/>
      <c r="F215" s="659">
        <v>0</v>
      </c>
      <c r="G215" s="14"/>
      <c r="I215" s="649" t="e">
        <f t="shared" si="10"/>
        <v>#N/A</v>
      </c>
      <c r="L215" s="2367">
        <v>56810000</v>
      </c>
    </row>
    <row r="216" spans="1:12" x14ac:dyDescent="0.2">
      <c r="A216" s="335"/>
      <c r="B216" s="335" t="s">
        <v>635</v>
      </c>
      <c r="C216" s="1436"/>
      <c r="D216" s="1436"/>
      <c r="E216" s="1436"/>
      <c r="F216" s="1436"/>
      <c r="G216" s="14"/>
      <c r="I216" s="649"/>
    </row>
    <row r="217" spans="1:12" x14ac:dyDescent="0.2">
      <c r="A217" s="335">
        <v>2610</v>
      </c>
      <c r="B217" s="3300" t="s">
        <v>1429</v>
      </c>
      <c r="C217" s="3300"/>
      <c r="D217" s="3300"/>
      <c r="E217" s="3300"/>
      <c r="F217" s="659">
        <v>0</v>
      </c>
      <c r="G217" s="14"/>
      <c r="I217" s="649" t="e">
        <f>INDEX(PY905Data,MATCH($A217,PY905Row,0),MATCH($C$5,PY905Col,0))</f>
        <v>#N/A</v>
      </c>
      <c r="L217" s="2367">
        <v>52410000</v>
      </c>
    </row>
    <row r="218" spans="1:12" x14ac:dyDescent="0.2">
      <c r="A218" s="335">
        <v>2625</v>
      </c>
      <c r="B218" s="3300" t="s">
        <v>1464</v>
      </c>
      <c r="C218" s="3300"/>
      <c r="D218" s="3300"/>
      <c r="E218" s="3300"/>
      <c r="F218" s="659">
        <v>0</v>
      </c>
      <c r="G218" s="14"/>
      <c r="I218" s="649" t="e">
        <f>INDEX(PY905Data,MATCH($A218,PY905Row,0),MATCH($C$5,PY905Col,0))</f>
        <v>#N/A</v>
      </c>
      <c r="L218" s="2384">
        <v>56900000</v>
      </c>
    </row>
    <row r="219" spans="1:12" x14ac:dyDescent="0.2">
      <c r="A219" s="335">
        <v>2630</v>
      </c>
      <c r="B219" s="3300" t="s">
        <v>1430</v>
      </c>
      <c r="C219" s="3300"/>
      <c r="D219" s="3300"/>
      <c r="E219" s="3300"/>
      <c r="F219" s="660">
        <v>0</v>
      </c>
      <c r="G219" s="14"/>
      <c r="I219" s="649" t="e">
        <f>INDEX(PY905Data,MATCH($A219,PY905Row,0),MATCH($C$5,PY905Col,0))</f>
        <v>#N/A</v>
      </c>
      <c r="L219" s="2367">
        <v>52511000</v>
      </c>
    </row>
    <row r="220" spans="1:12" x14ac:dyDescent="0.2">
      <c r="B220" s="3295" t="s">
        <v>756</v>
      </c>
      <c r="C220" s="3295"/>
      <c r="D220" s="3295"/>
      <c r="E220" s="3295"/>
      <c r="F220" s="706">
        <f>SUM(F208:F219)</f>
        <v>0</v>
      </c>
      <c r="I220" s="706" t="e">
        <f>SUM(I208:I219)</f>
        <v>#N/A</v>
      </c>
    </row>
    <row r="221" spans="1:12" x14ac:dyDescent="0.2">
      <c r="B221" s="3295" t="s">
        <v>757</v>
      </c>
      <c r="C221" s="3295"/>
      <c r="D221" s="3295"/>
      <c r="E221" s="3295"/>
      <c r="F221" s="706">
        <f>F205-F220</f>
        <v>0</v>
      </c>
      <c r="I221" s="706" t="e">
        <f>I205-I220</f>
        <v>#N/A</v>
      </c>
    </row>
    <row r="222" spans="1:12" ht="3.75" customHeight="1" x14ac:dyDescent="0.2">
      <c r="B222" s="691"/>
      <c r="C222" s="691"/>
      <c r="D222" s="691"/>
      <c r="E222" s="691"/>
    </row>
    <row r="223" spans="1:12" x14ac:dyDescent="0.2">
      <c r="B223" s="783" t="s">
        <v>1185</v>
      </c>
    </row>
    <row r="224" spans="1:12" x14ac:dyDescent="0.2">
      <c r="A224" s="335">
        <v>2690</v>
      </c>
      <c r="B224" s="3294" t="s">
        <v>898</v>
      </c>
      <c r="C224" s="3294"/>
      <c r="D224" s="3294"/>
      <c r="E224" s="3294"/>
      <c r="F224" s="659">
        <v>0</v>
      </c>
      <c r="G224" s="938"/>
      <c r="I224" s="649" t="e">
        <f t="shared" ref="I224:I242" si="11">INDEX(PY905Data,MATCH($A224,PY905Row,0),MATCH($C$5,PY905Col,0))</f>
        <v>#N/A</v>
      </c>
      <c r="L224" s="2367">
        <v>49100000</v>
      </c>
    </row>
    <row r="225" spans="1:21" x14ac:dyDescent="0.2">
      <c r="A225" s="335">
        <v>2691</v>
      </c>
      <c r="B225" s="3294" t="s">
        <v>1452</v>
      </c>
      <c r="C225" s="3294"/>
      <c r="D225" s="3294"/>
      <c r="E225" s="3294"/>
      <c r="F225" s="659">
        <v>0</v>
      </c>
      <c r="G225" s="1070"/>
      <c r="I225" s="649" t="e">
        <f t="shared" si="11"/>
        <v>#N/A</v>
      </c>
      <c r="L225" s="2367">
        <v>42908000</v>
      </c>
    </row>
    <row r="226" spans="1:21" x14ac:dyDescent="0.2">
      <c r="A226" s="335">
        <v>2692</v>
      </c>
      <c r="B226" s="3294" t="s">
        <v>1339</v>
      </c>
      <c r="C226" s="3294"/>
      <c r="D226" s="3294"/>
      <c r="E226" s="3294"/>
      <c r="F226" s="659">
        <v>0</v>
      </c>
      <c r="G226" s="938"/>
      <c r="I226" s="649" t="e">
        <f t="shared" si="11"/>
        <v>#N/A</v>
      </c>
      <c r="L226" s="2367">
        <v>42990000</v>
      </c>
    </row>
    <row r="227" spans="1:21" s="2151" customFormat="1" x14ac:dyDescent="0.2">
      <c r="A227" s="2080">
        <v>2693</v>
      </c>
      <c r="B227" s="3296" t="s">
        <v>5150</v>
      </c>
      <c r="C227" s="3296"/>
      <c r="D227" s="3296"/>
      <c r="E227" s="3296"/>
      <c r="F227" s="2207">
        <v>0</v>
      </c>
      <c r="G227" s="2208"/>
      <c r="H227" s="2038"/>
      <c r="I227" s="2050" t="e">
        <f t="shared" si="11"/>
        <v>#N/A</v>
      </c>
      <c r="K227" s="1610" t="s">
        <v>4818</v>
      </c>
      <c r="L227" s="2384">
        <v>42905000</v>
      </c>
      <c r="M227" s="2358"/>
      <c r="N227" s="2358"/>
      <c r="O227" s="2358"/>
      <c r="P227" s="2358"/>
      <c r="Q227" s="2358"/>
      <c r="R227" s="2358"/>
      <c r="S227" s="2358"/>
      <c r="T227" s="2358"/>
      <c r="U227" s="2358"/>
    </row>
    <row r="228" spans="1:21" x14ac:dyDescent="0.2">
      <c r="A228" s="2080">
        <v>2700</v>
      </c>
      <c r="B228" s="3296" t="s">
        <v>1186</v>
      </c>
      <c r="C228" s="3296"/>
      <c r="D228" s="3296"/>
      <c r="E228" s="3296"/>
      <c r="F228" s="2207">
        <v>0</v>
      </c>
      <c r="G228" s="2038"/>
      <c r="H228" s="2038"/>
      <c r="I228" s="2050" t="e">
        <f t="shared" si="11"/>
        <v>#N/A</v>
      </c>
      <c r="L228" s="2384" t="s">
        <v>5129</v>
      </c>
    </row>
    <row r="229" spans="1:21" s="2159" customFormat="1" x14ac:dyDescent="0.2">
      <c r="A229" s="2080">
        <v>2701</v>
      </c>
      <c r="B229" s="3296" t="s">
        <v>4807</v>
      </c>
      <c r="C229" s="3296"/>
      <c r="D229" s="3296"/>
      <c r="E229" s="3296"/>
      <c r="F229" s="2207">
        <v>0</v>
      </c>
      <c r="G229" s="2038"/>
      <c r="H229" s="2038"/>
      <c r="I229" s="2050" t="e">
        <f t="shared" si="11"/>
        <v>#N/A</v>
      </c>
      <c r="K229" s="1610" t="s">
        <v>4818</v>
      </c>
      <c r="L229" s="2384" t="s">
        <v>5130</v>
      </c>
      <c r="M229" s="2358"/>
      <c r="N229" s="2358"/>
      <c r="O229" s="2358"/>
      <c r="P229" s="2358"/>
      <c r="Q229" s="2358"/>
      <c r="R229" s="2358"/>
      <c r="S229" s="2358"/>
      <c r="T229" s="2358"/>
      <c r="U229" s="2358"/>
    </row>
    <row r="230" spans="1:21" x14ac:dyDescent="0.2">
      <c r="A230" s="335">
        <v>2710</v>
      </c>
      <c r="B230" s="3299" t="s">
        <v>1187</v>
      </c>
      <c r="C230" s="3299"/>
      <c r="D230" s="3299"/>
      <c r="E230" s="3299"/>
      <c r="F230" s="659">
        <v>0</v>
      </c>
      <c r="I230" s="649" t="e">
        <f t="shared" si="11"/>
        <v>#N/A</v>
      </c>
      <c r="L230" s="2367">
        <v>46200000</v>
      </c>
    </row>
    <row r="231" spans="1:21" s="2450" customFormat="1" x14ac:dyDescent="0.2">
      <c r="A231" s="2080">
        <v>2711</v>
      </c>
      <c r="B231" s="3304" t="s">
        <v>5327</v>
      </c>
      <c r="C231" s="3304"/>
      <c r="D231" s="3304"/>
      <c r="E231" s="3304"/>
      <c r="F231" s="2207">
        <v>0</v>
      </c>
      <c r="G231" s="2038"/>
      <c r="H231" s="2038"/>
      <c r="I231" s="2050" t="e">
        <f t="shared" si="11"/>
        <v>#N/A</v>
      </c>
      <c r="J231" s="2038"/>
      <c r="K231" s="1610" t="s">
        <v>4818</v>
      </c>
      <c r="L231" s="2401">
        <v>46207000</v>
      </c>
      <c r="M231" s="2451"/>
      <c r="N231" s="2451"/>
      <c r="O231" s="2451"/>
      <c r="P231" s="2451"/>
      <c r="Q231" s="2451"/>
      <c r="R231" s="2451"/>
      <c r="S231" s="2451"/>
      <c r="T231" s="2451"/>
      <c r="U231" s="2451"/>
    </row>
    <row r="232" spans="1:21" x14ac:dyDescent="0.2">
      <c r="A232" s="335">
        <v>2720</v>
      </c>
      <c r="B232" s="3206" t="s">
        <v>1188</v>
      </c>
      <c r="C232" s="3206"/>
      <c r="D232" s="3206"/>
      <c r="E232" s="3206"/>
      <c r="F232" s="863">
        <v>0</v>
      </c>
      <c r="G232" s="1078" t="str">
        <f>IF(F232&gt;0, "Problem: Expense must be entered as negative number"," ")</f>
        <v xml:space="preserve"> </v>
      </c>
      <c r="I232" s="649" t="e">
        <f t="shared" si="11"/>
        <v>#N/A</v>
      </c>
      <c r="L232" s="2367">
        <v>55321000</v>
      </c>
    </row>
    <row r="233" spans="1:21" x14ac:dyDescent="0.2">
      <c r="A233" s="335">
        <v>2740</v>
      </c>
      <c r="B233" s="3206" t="s">
        <v>758</v>
      </c>
      <c r="C233" s="3206"/>
      <c r="D233" s="3206"/>
      <c r="E233" s="3206"/>
      <c r="F233" s="863">
        <v>0</v>
      </c>
      <c r="G233" s="1078" t="str">
        <f>IF(F233&lt;0, "Problem: Gain must be entered as positive number; if loss, please key to loss caption below instead"," ")</f>
        <v xml:space="preserve"> </v>
      </c>
      <c r="I233" s="649" t="e">
        <f t="shared" si="11"/>
        <v>#N/A</v>
      </c>
      <c r="L233" s="2367">
        <v>44330000</v>
      </c>
    </row>
    <row r="234" spans="1:21" x14ac:dyDescent="0.2">
      <c r="A234" s="335">
        <v>2750</v>
      </c>
      <c r="B234" s="3206" t="s">
        <v>759</v>
      </c>
      <c r="C234" s="3206"/>
      <c r="D234" s="3206"/>
      <c r="E234" s="3206"/>
      <c r="F234" s="863">
        <v>0</v>
      </c>
      <c r="G234" s="1078" t="str">
        <f>IF(F234&gt;0, "Problem: Expense/Loss must be entered as negative number; if gain, please key to gain caption above instead"," ")</f>
        <v xml:space="preserve"> </v>
      </c>
      <c r="I234" s="649" t="e">
        <f t="shared" si="11"/>
        <v>#N/A</v>
      </c>
      <c r="L234" s="2367">
        <v>55650000</v>
      </c>
    </row>
    <row r="235" spans="1:21" x14ac:dyDescent="0.2">
      <c r="A235" s="335">
        <v>2755</v>
      </c>
      <c r="B235" s="3206" t="s">
        <v>4487</v>
      </c>
      <c r="C235" s="3206"/>
      <c r="D235" s="3206"/>
      <c r="E235" s="3206"/>
      <c r="F235" s="659">
        <v>0</v>
      </c>
      <c r="I235" s="649" t="e">
        <f t="shared" si="11"/>
        <v>#N/A</v>
      </c>
      <c r="K235" s="1610"/>
      <c r="L235" s="2367">
        <v>55341000</v>
      </c>
    </row>
    <row r="236" spans="1:21" x14ac:dyDescent="0.2">
      <c r="A236" s="335">
        <v>2760</v>
      </c>
      <c r="B236" s="3206" t="s">
        <v>1045</v>
      </c>
      <c r="C236" s="3206"/>
      <c r="D236" s="3206"/>
      <c r="E236" s="3206"/>
      <c r="F236" s="659">
        <v>0</v>
      </c>
      <c r="I236" s="649" t="e">
        <f t="shared" si="11"/>
        <v>#N/A</v>
      </c>
      <c r="L236" s="2367">
        <v>43111000</v>
      </c>
    </row>
    <row r="237" spans="1:21" x14ac:dyDescent="0.2">
      <c r="A237" s="335">
        <v>2770</v>
      </c>
      <c r="B237" s="3206" t="s">
        <v>1076</v>
      </c>
      <c r="C237" s="3206"/>
      <c r="D237" s="3206"/>
      <c r="E237" s="3206"/>
      <c r="F237" s="659">
        <v>0</v>
      </c>
      <c r="I237" s="649" t="e">
        <f t="shared" si="11"/>
        <v>#N/A</v>
      </c>
      <c r="L237" s="2367">
        <v>47116000</v>
      </c>
    </row>
    <row r="238" spans="1:21" x14ac:dyDescent="0.2">
      <c r="A238" s="335">
        <v>2780</v>
      </c>
      <c r="B238" s="3206" t="s">
        <v>799</v>
      </c>
      <c r="C238" s="3206"/>
      <c r="D238" s="3206"/>
      <c r="E238" s="3206"/>
      <c r="F238" s="863">
        <v>0</v>
      </c>
      <c r="G238" s="1078" t="str">
        <f>IF(F238&gt;0, "Problem: Nonoperating expense must be entered as negative number; if grant revenue, please see captions above"," ")</f>
        <v xml:space="preserve"> </v>
      </c>
      <c r="I238" s="649" t="e">
        <f t="shared" si="11"/>
        <v>#N/A</v>
      </c>
      <c r="L238" s="2384" t="s">
        <v>5131</v>
      </c>
    </row>
    <row r="239" spans="1:21" x14ac:dyDescent="0.2">
      <c r="A239" s="335">
        <v>2785</v>
      </c>
      <c r="B239" s="3206" t="s">
        <v>1431</v>
      </c>
      <c r="C239" s="3206"/>
      <c r="D239" s="3206"/>
      <c r="E239" s="3206"/>
      <c r="F239" s="659">
        <v>0</v>
      </c>
      <c r="G239" s="14"/>
      <c r="I239" s="649" t="e">
        <f t="shared" si="11"/>
        <v>#N/A</v>
      </c>
      <c r="L239" s="2367">
        <v>42907000</v>
      </c>
    </row>
    <row r="240" spans="1:21" s="2515" customFormat="1" x14ac:dyDescent="0.2">
      <c r="A240" s="2516">
        <v>2786</v>
      </c>
      <c r="B240" s="3307" t="s">
        <v>5527</v>
      </c>
      <c r="C240" s="3307"/>
      <c r="D240" s="3307"/>
      <c r="E240" s="3307"/>
      <c r="F240" s="659">
        <v>0</v>
      </c>
      <c r="G240" s="14"/>
      <c r="I240" s="649" t="e">
        <f t="shared" si="11"/>
        <v>#N/A</v>
      </c>
      <c r="K240" s="1844" t="s">
        <v>5678</v>
      </c>
      <c r="L240" s="2454">
        <v>47128000</v>
      </c>
      <c r="M240" s="2517"/>
      <c r="N240" s="2517"/>
      <c r="O240" s="2517"/>
      <c r="P240" s="2517"/>
      <c r="Q240" s="2517"/>
      <c r="R240" s="2517"/>
      <c r="S240" s="2517"/>
      <c r="T240" s="2517"/>
      <c r="U240" s="2517"/>
    </row>
    <row r="241" spans="1:12" x14ac:dyDescent="0.2">
      <c r="A241" s="335">
        <v>2800</v>
      </c>
      <c r="B241" s="3206" t="s">
        <v>800</v>
      </c>
      <c r="C241" s="3206"/>
      <c r="D241" s="3206"/>
      <c r="E241" s="3206"/>
      <c r="F241" s="863">
        <v>0</v>
      </c>
      <c r="G241" s="1078" t="str">
        <f>IF(F241&lt;0, "Problem: Misc nonperating revenue must be entered as positive number; if expense key to nonoperating expense caption below"," ")</f>
        <v xml:space="preserve"> </v>
      </c>
      <c r="I241" s="649" t="e">
        <f t="shared" si="11"/>
        <v>#N/A</v>
      </c>
      <c r="L241" s="2367">
        <v>44321000</v>
      </c>
    </row>
    <row r="242" spans="1:12" x14ac:dyDescent="0.2">
      <c r="A242" s="335">
        <v>2810</v>
      </c>
      <c r="B242" s="3206" t="s">
        <v>801</v>
      </c>
      <c r="C242" s="3206"/>
      <c r="D242" s="3206"/>
      <c r="E242" s="3206"/>
      <c r="F242" s="863">
        <v>0</v>
      </c>
      <c r="G242" s="1078" t="str">
        <f>IF(F242&gt;0, "Problem: Misc nonoperating expense must be entered as negative number; if revenue, key to nonoperating revenue caption above."," ")</f>
        <v xml:space="preserve"> </v>
      </c>
      <c r="I242" s="649" t="e">
        <f t="shared" si="11"/>
        <v>#N/A</v>
      </c>
      <c r="L242" s="2367">
        <v>55332000</v>
      </c>
    </row>
    <row r="243" spans="1:12" x14ac:dyDescent="0.2">
      <c r="B243" s="3295" t="s">
        <v>760</v>
      </c>
      <c r="C243" s="3295"/>
      <c r="D243" s="3295"/>
      <c r="E243" s="3295"/>
      <c r="F243" s="661">
        <f>SUM(F224:F242)</f>
        <v>0</v>
      </c>
      <c r="I243" s="661" t="e">
        <f>SUM(I224:I242)</f>
        <v>#N/A</v>
      </c>
    </row>
    <row r="244" spans="1:12" x14ac:dyDescent="0.2">
      <c r="B244" s="3295" t="s">
        <v>761</v>
      </c>
      <c r="C244" s="3295"/>
      <c r="D244" s="3295"/>
      <c r="E244" s="3295"/>
      <c r="F244" s="661">
        <f>F221+F243</f>
        <v>0</v>
      </c>
      <c r="I244" s="661" t="e">
        <f>I221+I243</f>
        <v>#N/A</v>
      </c>
      <c r="L244" s="2384"/>
    </row>
    <row r="245" spans="1:12" x14ac:dyDescent="0.2">
      <c r="A245" s="937">
        <v>2870</v>
      </c>
      <c r="B245" s="3294" t="s">
        <v>762</v>
      </c>
      <c r="C245" s="3294"/>
      <c r="D245" s="3294"/>
      <c r="E245" s="3294"/>
      <c r="F245" s="659">
        <v>0</v>
      </c>
      <c r="G245" s="938"/>
      <c r="I245" s="649" t="e">
        <f t="shared" ref="I245:I251" si="12">INDEX(PY905Data,MATCH($A245,PY905Row,0),MATCH($C$5,PY905Col,0))</f>
        <v>#N/A</v>
      </c>
      <c r="L245" s="2367">
        <v>42901000</v>
      </c>
    </row>
    <row r="246" spans="1:12" x14ac:dyDescent="0.2">
      <c r="A246" s="335">
        <v>2880</v>
      </c>
      <c r="B246" s="3294" t="s">
        <v>241</v>
      </c>
      <c r="C246" s="3294"/>
      <c r="D246" s="3294"/>
      <c r="E246" s="3294"/>
      <c r="F246" s="659">
        <v>0</v>
      </c>
      <c r="I246" s="649" t="e">
        <f t="shared" si="12"/>
        <v>#N/A</v>
      </c>
      <c r="L246" s="2384" t="s">
        <v>5132</v>
      </c>
    </row>
    <row r="247" spans="1:12" x14ac:dyDescent="0.2">
      <c r="A247" s="335">
        <v>2890</v>
      </c>
      <c r="B247" s="3294" t="s">
        <v>242</v>
      </c>
      <c r="C247" s="3294"/>
      <c r="D247" s="3294"/>
      <c r="E247" s="3294"/>
      <c r="F247" s="659">
        <v>0</v>
      </c>
      <c r="I247" s="649" t="e">
        <f t="shared" si="12"/>
        <v>#N/A</v>
      </c>
      <c r="L247" s="2367">
        <v>46203000</v>
      </c>
    </row>
    <row r="248" spans="1:12" x14ac:dyDescent="0.2">
      <c r="A248" s="335">
        <v>2900</v>
      </c>
      <c r="B248" s="3294" t="s">
        <v>1432</v>
      </c>
      <c r="C248" s="3294"/>
      <c r="D248" s="3294"/>
      <c r="E248" s="3294"/>
      <c r="F248" s="659">
        <v>0</v>
      </c>
      <c r="G248" s="14"/>
      <c r="I248" s="649" t="e">
        <f t="shared" si="12"/>
        <v>#N/A</v>
      </c>
      <c r="L248" s="2367">
        <v>46205000</v>
      </c>
    </row>
    <row r="249" spans="1:12" x14ac:dyDescent="0.2">
      <c r="A249" s="1129">
        <v>2940</v>
      </c>
      <c r="B249" s="3294" t="s">
        <v>1516</v>
      </c>
      <c r="C249" s="3294"/>
      <c r="D249" s="3294"/>
      <c r="E249" s="3294"/>
      <c r="F249" s="1036">
        <f>'565'!H29</f>
        <v>0</v>
      </c>
      <c r="G249" t="str">
        <f>IF(F249='565'!H29," ","Problem: Must agree to ws 565 total Interinstitutional transfers")</f>
        <v xml:space="preserve"> </v>
      </c>
      <c r="I249" s="649" t="e">
        <f t="shared" si="12"/>
        <v>#N/A</v>
      </c>
      <c r="L249" s="2367">
        <v>48700000</v>
      </c>
    </row>
    <row r="250" spans="1:12" x14ac:dyDescent="0.2">
      <c r="A250" s="335">
        <v>2950</v>
      </c>
      <c r="B250" s="3294" t="s">
        <v>243</v>
      </c>
      <c r="C250" s="3294"/>
      <c r="D250" s="3294"/>
      <c r="E250" s="3294"/>
      <c r="F250" s="865">
        <v>0</v>
      </c>
      <c r="G250" s="864" t="str">
        <f>IF(AND(ABS(F250)&gt;=1,ABS(F250)&lt;10000000),"Problem: Under $10 million threshold - reclassify to another rev or exp"," ")</f>
        <v xml:space="preserve"> </v>
      </c>
      <c r="I250" s="649" t="e">
        <f t="shared" si="12"/>
        <v>#N/A</v>
      </c>
      <c r="L250" s="2367">
        <v>47750000</v>
      </c>
    </row>
    <row r="251" spans="1:12" x14ac:dyDescent="0.2">
      <c r="A251" s="335">
        <v>2960</v>
      </c>
      <c r="B251" s="3294" t="s">
        <v>244</v>
      </c>
      <c r="C251" s="3294"/>
      <c r="D251" s="3294"/>
      <c r="E251" s="3294"/>
      <c r="F251" s="1287">
        <v>0</v>
      </c>
      <c r="G251" s="864" t="str">
        <f>IF(AND(ABS(F251)&gt;=1,ABS(F251)&lt;10000000),"Problem: Under $10 million threshold - reclassify to another rev or exp"," ")</f>
        <v xml:space="preserve"> </v>
      </c>
      <c r="I251" s="651" t="e">
        <f t="shared" si="12"/>
        <v>#N/A</v>
      </c>
      <c r="L251" s="2367">
        <v>47700000</v>
      </c>
    </row>
    <row r="252" spans="1:12" x14ac:dyDescent="0.2">
      <c r="B252" s="3295" t="s">
        <v>1898</v>
      </c>
      <c r="C252" s="3295"/>
      <c r="D252" s="3295"/>
      <c r="E252" s="3295"/>
      <c r="F252" s="649">
        <f>SUM(F244:F251)</f>
        <v>0</v>
      </c>
      <c r="I252" s="649" t="e">
        <f>SUM(I244:I251)</f>
        <v>#N/A</v>
      </c>
    </row>
    <row r="253" spans="1:12" x14ac:dyDescent="0.2">
      <c r="A253" s="785">
        <v>2980</v>
      </c>
      <c r="B253" s="3294" t="s">
        <v>1896</v>
      </c>
      <c r="C253" s="3294"/>
      <c r="D253" s="3294"/>
      <c r="E253" s="3294"/>
      <c r="F253" s="1036" t="e">
        <f>INDEX(NetAssetsData,MATCH('905'!$C$5,NetAssetsDataRow,0),3)</f>
        <v>#N/A</v>
      </c>
      <c r="I253" s="649" t="e">
        <f>INDEX(PY905Data,MATCH($A253,PY905Row,0),MATCH($C$5,PY905Col,0))</f>
        <v>#N/A</v>
      </c>
    </row>
    <row r="254" spans="1:12" x14ac:dyDescent="0.2">
      <c r="A254" s="785">
        <v>2990</v>
      </c>
      <c r="B254" s="3294" t="s">
        <v>1054</v>
      </c>
      <c r="C254" s="3294"/>
      <c r="D254" s="3294"/>
      <c r="E254" s="3294"/>
      <c r="F254" s="660">
        <v>0</v>
      </c>
      <c r="I254" s="649" t="e">
        <f>INDEX(PY905Data,MATCH($A254,PY905Row,0),MATCH($C$5,PY905Col,0))</f>
        <v>#N/A</v>
      </c>
      <c r="L254" s="2367">
        <v>33000100</v>
      </c>
    </row>
    <row r="255" spans="1:12" ht="13.5" thickBot="1" x14ac:dyDescent="0.25">
      <c r="A255" s="785"/>
      <c r="B255" s="3294" t="s">
        <v>1895</v>
      </c>
      <c r="C255" s="3294"/>
      <c r="D255" s="3294"/>
      <c r="E255" s="3294"/>
      <c r="F255" s="804" t="e">
        <f>SUM(F252:F254)</f>
        <v>#N/A</v>
      </c>
      <c r="I255" s="804" t="e">
        <f>SUM(I252:I254)</f>
        <v>#N/A</v>
      </c>
    </row>
    <row r="256" spans="1:12" ht="9.75" customHeight="1" thickTop="1" x14ac:dyDescent="0.2">
      <c r="I256" s="649"/>
    </row>
    <row r="257" spans="1:9" x14ac:dyDescent="0.2">
      <c r="B257" s="335" t="s">
        <v>1897</v>
      </c>
      <c r="F257" s="805">
        <f>IFERROR((IF(ROUND(F186-F255,2)=0,"OK","Error")),0)</f>
        <v>0</v>
      </c>
      <c r="I257" s="805" t="e">
        <f>IF(ROUND(I186-I255,2)=0, "OK", "Error")</f>
        <v>#N/A</v>
      </c>
    </row>
    <row r="258" spans="1:9" ht="13.5" thickBot="1" x14ac:dyDescent="0.25"/>
    <row r="259" spans="1:9" x14ac:dyDescent="0.2">
      <c r="A259" s="1557" t="s">
        <v>4046</v>
      </c>
      <c r="B259" s="1020"/>
      <c r="C259" s="1020"/>
      <c r="D259" s="1020"/>
      <c r="E259" s="1020"/>
      <c r="F259" s="1021"/>
      <c r="G259" s="1022"/>
    </row>
    <row r="260" spans="1:9" x14ac:dyDescent="0.2">
      <c r="A260" s="1556" t="s">
        <v>4937</v>
      </c>
      <c r="B260" s="1024"/>
      <c r="C260" s="1024"/>
      <c r="D260" s="1024"/>
      <c r="E260" s="1024"/>
      <c r="F260" s="1025"/>
      <c r="G260" s="1026"/>
    </row>
    <row r="261" spans="1:9" x14ac:dyDescent="0.2">
      <c r="A261" s="1556" t="s">
        <v>4938</v>
      </c>
      <c r="B261" s="1024"/>
      <c r="C261" s="1024"/>
      <c r="D261" s="1024"/>
      <c r="E261" s="1024"/>
      <c r="F261" s="1025"/>
      <c r="G261" s="1026"/>
    </row>
    <row r="262" spans="1:9" x14ac:dyDescent="0.2">
      <c r="A262" s="1556" t="s">
        <v>4939</v>
      </c>
      <c r="B262" s="1024"/>
      <c r="C262" s="1024"/>
      <c r="D262" s="1024"/>
      <c r="E262" s="1024"/>
      <c r="F262" s="1025"/>
      <c r="G262" s="1026"/>
    </row>
    <row r="263" spans="1:9" x14ac:dyDescent="0.2">
      <c r="A263" s="1556" t="s">
        <v>4940</v>
      </c>
      <c r="B263" s="1024"/>
      <c r="C263" s="1024"/>
      <c r="D263" s="1024"/>
      <c r="E263" s="1024"/>
      <c r="F263" s="1025"/>
      <c r="G263" s="1026"/>
    </row>
    <row r="264" spans="1:9" x14ac:dyDescent="0.2">
      <c r="A264" s="1556" t="s">
        <v>4047</v>
      </c>
      <c r="B264" s="1024"/>
      <c r="C264" s="1024"/>
      <c r="D264" s="1024"/>
      <c r="E264" s="1024"/>
      <c r="F264" s="1025"/>
      <c r="G264" s="1027"/>
    </row>
    <row r="265" spans="1:9" x14ac:dyDescent="0.2">
      <c r="A265" s="1023"/>
      <c r="B265" s="1024"/>
      <c r="C265" s="1024"/>
      <c r="D265" s="1024"/>
      <c r="E265" s="1024"/>
      <c r="F265" s="1025"/>
      <c r="G265" s="1027"/>
    </row>
    <row r="266" spans="1:9" x14ac:dyDescent="0.2">
      <c r="A266" s="3297"/>
      <c r="B266" s="3298"/>
      <c r="C266" s="3298"/>
      <c r="D266" s="3298"/>
      <c r="E266" s="1024"/>
      <c r="F266" s="3301"/>
      <c r="G266" s="3302"/>
    </row>
    <row r="267" spans="1:9" x14ac:dyDescent="0.2">
      <c r="A267" s="1023" t="s">
        <v>1451</v>
      </c>
      <c r="B267" s="1024"/>
      <c r="C267" s="1024"/>
      <c r="D267" s="1024"/>
      <c r="E267" s="1024"/>
      <c r="F267" s="1025" t="s">
        <v>1307</v>
      </c>
      <c r="G267" s="1026"/>
    </row>
    <row r="268" spans="1:9" ht="13.5" thickBot="1" x14ac:dyDescent="0.25">
      <c r="A268" s="1028"/>
      <c r="B268" s="1029"/>
      <c r="C268" s="1029"/>
      <c r="D268" s="1029"/>
      <c r="E268" s="1029"/>
      <c r="F268" s="1030"/>
      <c r="G268" s="1031"/>
    </row>
    <row r="272" spans="1:9" x14ac:dyDescent="0.2">
      <c r="A272" s="272" t="s">
        <v>3589</v>
      </c>
    </row>
  </sheetData>
  <sheetProtection algorithmName="SHA-512" hashValue="OpbqhZy/jKvd6ZwGJjFw6z3yWv0sFLbzeSgD0I3xRGHHYhLMV+K9J6ot76icADqY3tWhWYwFaD92bZUAf5d5eA==" saltValue="SKk6UTRLQ/x6kpaXbuvXzw==" spinCount="100000" sheet="1" objects="1" scenarios="1" autoFilter="0"/>
  <customSheetViews>
    <customSheetView guid="{B08879A4-635B-4C39-9937-AC7883D562FC}" topLeftCell="A49">
      <selection activeCell="F45" sqref="F45"/>
      <rowBreaks count="4" manualBreakCount="4">
        <brk id="54" max="16383" man="1"/>
        <brk id="97" max="16383" man="1"/>
        <brk id="146" max="16383" man="1"/>
        <brk id="180" max="16383" man="1"/>
      </rowBreaks>
      <pageMargins left="0.5" right="0.5" top="0.5" bottom="0.5" header="0.5" footer="0.25"/>
      <printOptions gridLines="1"/>
      <pageSetup scale="95" fitToHeight="3" orientation="portrait" r:id="rId1"/>
      <headerFooter alignWithMargins="0">
        <oddFooter>&amp;R&amp;A (&amp;P of &amp;N)</oddFooter>
      </headerFooter>
    </customSheetView>
    <customSheetView guid="{9FCFC836-1CA5-48BF-958D-24D2EA94B219}" topLeftCell="A49">
      <selection activeCell="F45" sqref="F45"/>
      <rowBreaks count="4" manualBreakCount="4">
        <brk id="54" max="16383" man="1"/>
        <brk id="97" max="16383" man="1"/>
        <brk id="146" max="16383" man="1"/>
        <brk id="180" max="16383" man="1"/>
      </rowBreaks>
      <pageMargins left="0.5" right="0.5" top="0.5" bottom="0.5" header="0.5" footer="0.25"/>
      <printOptions gridLines="1"/>
      <pageSetup scale="95" fitToHeight="3" orientation="portrait" r:id="rId2"/>
      <headerFooter alignWithMargins="0">
        <oddFooter>&amp;R&amp;A (&amp;P of &amp;N)</oddFooter>
      </headerFooter>
    </customSheetView>
  </customSheetViews>
  <mergeCells count="221">
    <mergeCell ref="B184:E184"/>
    <mergeCell ref="B73:E73"/>
    <mergeCell ref="B74:E74"/>
    <mergeCell ref="B75:E75"/>
    <mergeCell ref="B76:E76"/>
    <mergeCell ref="B170:E170"/>
    <mergeCell ref="B240:E240"/>
    <mergeCell ref="B165:E165"/>
    <mergeCell ref="B146:E146"/>
    <mergeCell ref="B177:E177"/>
    <mergeCell ref="B148:E148"/>
    <mergeCell ref="B175:E175"/>
    <mergeCell ref="B157:E157"/>
    <mergeCell ref="B155:E155"/>
    <mergeCell ref="B169:E169"/>
    <mergeCell ref="B151:E151"/>
    <mergeCell ref="B154:E154"/>
    <mergeCell ref="B168:E168"/>
    <mergeCell ref="B167:E167"/>
    <mergeCell ref="B152:E152"/>
    <mergeCell ref="B171:E171"/>
    <mergeCell ref="B163:E163"/>
    <mergeCell ref="B172:E172"/>
    <mergeCell ref="B149:E149"/>
    <mergeCell ref="B147:E147"/>
    <mergeCell ref="B156:E156"/>
    <mergeCell ref="B159:E159"/>
    <mergeCell ref="B162:E162"/>
    <mergeCell ref="B145:E145"/>
    <mergeCell ref="B59:E59"/>
    <mergeCell ref="B56:E56"/>
    <mergeCell ref="B61:E61"/>
    <mergeCell ref="B17:E17"/>
    <mergeCell ref="B33:E33"/>
    <mergeCell ref="B40:E40"/>
    <mergeCell ref="B25:E25"/>
    <mergeCell ref="B46:E46"/>
    <mergeCell ref="B143:E143"/>
    <mergeCell ref="B140:E140"/>
    <mergeCell ref="B26:E26"/>
    <mergeCell ref="B27:E27"/>
    <mergeCell ref="B29:E29"/>
    <mergeCell ref="B36:E36"/>
    <mergeCell ref="B32:E32"/>
    <mergeCell ref="B28:E28"/>
    <mergeCell ref="B31:E31"/>
    <mergeCell ref="B71:E71"/>
    <mergeCell ref="B50:E50"/>
    <mergeCell ref="B15:E15"/>
    <mergeCell ref="B19:E19"/>
    <mergeCell ref="B20:E20"/>
    <mergeCell ref="A3:G3"/>
    <mergeCell ref="B10:E10"/>
    <mergeCell ref="B16:E16"/>
    <mergeCell ref="A2:G2"/>
    <mergeCell ref="A1:G1"/>
    <mergeCell ref="A4:I4"/>
    <mergeCell ref="F5:G5"/>
    <mergeCell ref="F6:G6"/>
    <mergeCell ref="B14:E14"/>
    <mergeCell ref="A8:I8"/>
    <mergeCell ref="B51:E51"/>
    <mergeCell ref="B64:E64"/>
    <mergeCell ref="B62:E62"/>
    <mergeCell ref="B54:E54"/>
    <mergeCell ref="B47:E47"/>
    <mergeCell ref="B69:E69"/>
    <mergeCell ref="B30:E30"/>
    <mergeCell ref="B48:E48"/>
    <mergeCell ref="B137:E137"/>
    <mergeCell ref="B128:E128"/>
    <mergeCell ref="B90:E90"/>
    <mergeCell ref="B102:E102"/>
    <mergeCell ref="B91:E91"/>
    <mergeCell ref="B107:E107"/>
    <mergeCell ref="B108:E108"/>
    <mergeCell ref="B100:E100"/>
    <mergeCell ref="B105:E105"/>
    <mergeCell ref="B109:E109"/>
    <mergeCell ref="B92:E92"/>
    <mergeCell ref="B139:E139"/>
    <mergeCell ref="B110:E110"/>
    <mergeCell ref="B112:E112"/>
    <mergeCell ref="B117:E117"/>
    <mergeCell ref="B124:E124"/>
    <mergeCell ref="B130:E130"/>
    <mergeCell ref="B132:E132"/>
    <mergeCell ref="B138:E138"/>
    <mergeCell ref="B129:E129"/>
    <mergeCell ref="B126:E126"/>
    <mergeCell ref="B119:E119"/>
    <mergeCell ref="B116:E116"/>
    <mergeCell ref="B131:E131"/>
    <mergeCell ref="B115:E115"/>
    <mergeCell ref="B125:E125"/>
    <mergeCell ref="B120:E120"/>
    <mergeCell ref="B127:E127"/>
    <mergeCell ref="B122:E122"/>
    <mergeCell ref="B113:E113"/>
    <mergeCell ref="B114:E114"/>
    <mergeCell ref="B136:E136"/>
    <mergeCell ref="B121:E121"/>
    <mergeCell ref="B118:E118"/>
    <mergeCell ref="B123:E123"/>
    <mergeCell ref="B21:E21"/>
    <mergeCell ref="B13:E13"/>
    <mergeCell ref="C6:D6"/>
    <mergeCell ref="B41:E41"/>
    <mergeCell ref="B49:E49"/>
    <mergeCell ref="B80:E80"/>
    <mergeCell ref="B88:E88"/>
    <mergeCell ref="B87:E87"/>
    <mergeCell ref="B43:E43"/>
    <mergeCell ref="B44:E44"/>
    <mergeCell ref="B45:E45"/>
    <mergeCell ref="B55:E55"/>
    <mergeCell ref="B53:E53"/>
    <mergeCell ref="B57:E57"/>
    <mergeCell ref="B58:E58"/>
    <mergeCell ref="B52:E52"/>
    <mergeCell ref="B63:E63"/>
    <mergeCell ref="B60:E60"/>
    <mergeCell ref="B37:E37"/>
    <mergeCell ref="B35:E35"/>
    <mergeCell ref="B34:E34"/>
    <mergeCell ref="B23:E23"/>
    <mergeCell ref="B22:E22"/>
    <mergeCell ref="B24:E24"/>
    <mergeCell ref="B141:E141"/>
    <mergeCell ref="B150:E150"/>
    <mergeCell ref="B164:E164"/>
    <mergeCell ref="B153:E153"/>
    <mergeCell ref="B65:E65"/>
    <mergeCell ref="B68:E68"/>
    <mergeCell ref="B84:E84"/>
    <mergeCell ref="B94:E94"/>
    <mergeCell ref="B66:E66"/>
    <mergeCell ref="B82:E82"/>
    <mergeCell ref="B103:E103"/>
    <mergeCell ref="B93:E93"/>
    <mergeCell ref="B101:E101"/>
    <mergeCell ref="B77:E77"/>
    <mergeCell ref="B78:E78"/>
    <mergeCell ref="B81:E81"/>
    <mergeCell ref="B79:E79"/>
    <mergeCell ref="B70:E70"/>
    <mergeCell ref="B72:E72"/>
    <mergeCell ref="B67:E67"/>
    <mergeCell ref="B142:E142"/>
    <mergeCell ref="B106:E106"/>
    <mergeCell ref="B89:E89"/>
    <mergeCell ref="B99:E99"/>
    <mergeCell ref="B199:E199"/>
    <mergeCell ref="B238:E238"/>
    <mergeCell ref="B234:E234"/>
    <mergeCell ref="B166:E166"/>
    <mergeCell ref="B210:E210"/>
    <mergeCell ref="B194:E194"/>
    <mergeCell ref="B202:E202"/>
    <mergeCell ref="B192:E192"/>
    <mergeCell ref="B182:E182"/>
    <mergeCell ref="B201:E201"/>
    <mergeCell ref="B185:E185"/>
    <mergeCell ref="B181:E181"/>
    <mergeCell ref="B198:E198"/>
    <mergeCell ref="B204:E204"/>
    <mergeCell ref="B178:E178"/>
    <mergeCell ref="B179:E179"/>
    <mergeCell ref="B196:E196"/>
    <mergeCell ref="B197:E197"/>
    <mergeCell ref="B195:E195"/>
    <mergeCell ref="B208:E208"/>
    <mergeCell ref="B231:E231"/>
    <mergeCell ref="B203:E203"/>
    <mergeCell ref="B217:E217"/>
    <mergeCell ref="B213:E213"/>
    <mergeCell ref="F266:G266"/>
    <mergeCell ref="B255:E255"/>
    <mergeCell ref="B247:E247"/>
    <mergeCell ref="B250:E250"/>
    <mergeCell ref="B251:E251"/>
    <mergeCell ref="B214:E214"/>
    <mergeCell ref="B215:E215"/>
    <mergeCell ref="B144:E144"/>
    <mergeCell ref="B111:E111"/>
    <mergeCell ref="B249:E249"/>
    <mergeCell ref="B244:E244"/>
    <mergeCell ref="B211:E211"/>
    <mergeCell ref="B183:E183"/>
    <mergeCell ref="B200:E200"/>
    <mergeCell ref="B186:E186"/>
    <mergeCell ref="B205:E205"/>
    <mergeCell ref="B243:E243"/>
    <mergeCell ref="B233:E233"/>
    <mergeCell ref="B241:E241"/>
    <mergeCell ref="B212:E212"/>
    <mergeCell ref="B225:E225"/>
    <mergeCell ref="B221:E221"/>
    <mergeCell ref="B228:E228"/>
    <mergeCell ref="B224:E224"/>
    <mergeCell ref="B209:E209"/>
    <mergeCell ref="B220:E220"/>
    <mergeCell ref="B245:E245"/>
    <mergeCell ref="B227:E227"/>
    <mergeCell ref="B229:E229"/>
    <mergeCell ref="A266:D266"/>
    <mergeCell ref="B246:E246"/>
    <mergeCell ref="B236:E236"/>
    <mergeCell ref="B242:E242"/>
    <mergeCell ref="B237:E237"/>
    <mergeCell ref="B239:E239"/>
    <mergeCell ref="B252:E252"/>
    <mergeCell ref="B254:E254"/>
    <mergeCell ref="B253:E253"/>
    <mergeCell ref="B248:E248"/>
    <mergeCell ref="B230:E230"/>
    <mergeCell ref="B232:E232"/>
    <mergeCell ref="B219:E219"/>
    <mergeCell ref="B218:E218"/>
    <mergeCell ref="B226:E226"/>
    <mergeCell ref="B235:E235"/>
  </mergeCells>
  <phoneticPr fontId="15" type="noConversion"/>
  <hyperlinks>
    <hyperlink ref="B1:G1" location="Index!A1" display="Index!A1" xr:uid="{00000000-0004-0000-4A00-000000000000}"/>
  </hyperlinks>
  <printOptions headings="1"/>
  <pageMargins left="0.5" right="0.25" top="0.5" bottom="0.3" header="0.5" footer="0.25"/>
  <pageSetup scale="84" fitToHeight="5" orientation="portrait" r:id="rId3"/>
  <headerFooter alignWithMargins="0">
    <oddFooter xml:space="preserve">&amp;L&amp;D &amp;T&amp;R&amp;A </oddFooter>
  </headerFooter>
  <rowBreaks count="3" manualBreakCount="3">
    <brk id="59" max="8" man="1"/>
    <brk id="173" max="8" man="1"/>
    <brk id="222" max="8" man="1"/>
  </rowBreaks>
  <legacy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sheetPr>
  <dimension ref="A1:D1618"/>
  <sheetViews>
    <sheetView zoomScaleNormal="100" workbookViewId="0">
      <pane ySplit="1" topLeftCell="A2" activePane="bottomLeft" state="frozen"/>
      <selection sqref="A1:E1"/>
      <selection pane="bottomLeft"/>
    </sheetView>
  </sheetViews>
  <sheetFormatPr defaultRowHeight="12.75" x14ac:dyDescent="0.2"/>
  <cols>
    <col min="1" max="1" width="63.42578125" customWidth="1"/>
    <col min="2" max="2" width="48.5703125" style="822" customWidth="1"/>
    <col min="3" max="3" width="10.5703125" style="290" customWidth="1"/>
  </cols>
  <sheetData>
    <row r="1" spans="1:3" ht="17.25" customHeight="1" thickBot="1" x14ac:dyDescent="0.3">
      <c r="A1" s="1093" t="s">
        <v>1559</v>
      </c>
      <c r="B1" s="1609" t="s">
        <v>5758</v>
      </c>
    </row>
    <row r="2" spans="1:3" ht="18.75" thickBot="1" x14ac:dyDescent="0.3">
      <c r="A2" s="1312" t="s">
        <v>4941</v>
      </c>
      <c r="B2" s="1482"/>
    </row>
    <row r="3" spans="1:3" x14ac:dyDescent="0.2">
      <c r="A3" s="1315" t="s">
        <v>1891</v>
      </c>
      <c r="B3" s="2262" t="s">
        <v>4942</v>
      </c>
      <c r="C3" s="4" t="s">
        <v>4158</v>
      </c>
    </row>
    <row r="4" spans="1:3" x14ac:dyDescent="0.2">
      <c r="A4" s="2" t="s">
        <v>628</v>
      </c>
      <c r="B4" s="1483" t="s">
        <v>3495</v>
      </c>
    </row>
    <row r="5" spans="1:3" ht="42" customHeight="1" thickBot="1" x14ac:dyDescent="0.25">
      <c r="A5" s="1518" t="s">
        <v>629</v>
      </c>
      <c r="B5" s="1689" t="s">
        <v>4244</v>
      </c>
    </row>
    <row r="6" spans="1:3" x14ac:dyDescent="0.2">
      <c r="A6" s="1311" t="s">
        <v>557</v>
      </c>
      <c r="B6" s="1524" t="s">
        <v>1969</v>
      </c>
      <c r="C6" s="290">
        <v>1000</v>
      </c>
    </row>
    <row r="7" spans="1:3" x14ac:dyDescent="0.2">
      <c r="A7" t="s">
        <v>1970</v>
      </c>
      <c r="B7" s="1497"/>
    </row>
    <row r="8" spans="1:3" x14ac:dyDescent="0.2">
      <c r="A8" t="s">
        <v>1971</v>
      </c>
      <c r="B8" s="1497"/>
    </row>
    <row r="9" spans="1:3" x14ac:dyDescent="0.2">
      <c r="A9" t="s">
        <v>1972</v>
      </c>
      <c r="B9" s="1497"/>
    </row>
    <row r="10" spans="1:3" x14ac:dyDescent="0.2">
      <c r="A10" t="s">
        <v>1973</v>
      </c>
      <c r="B10" s="1497"/>
    </row>
    <row r="11" spans="1:3" x14ac:dyDescent="0.2">
      <c r="A11" t="s">
        <v>1974</v>
      </c>
      <c r="B11" s="1497"/>
    </row>
    <row r="12" spans="1:3" x14ac:dyDescent="0.2">
      <c r="A12" t="s">
        <v>1975</v>
      </c>
      <c r="B12" s="1497"/>
    </row>
    <row r="13" spans="1:3" x14ac:dyDescent="0.2">
      <c r="A13" s="1311" t="s">
        <v>270</v>
      </c>
      <c r="B13" s="1524" t="s">
        <v>1969</v>
      </c>
      <c r="C13" s="290">
        <v>1010</v>
      </c>
    </row>
    <row r="14" spans="1:3" x14ac:dyDescent="0.2">
      <c r="A14" t="s">
        <v>1976</v>
      </c>
      <c r="B14" s="1497"/>
    </row>
    <row r="15" spans="1:3" x14ac:dyDescent="0.2">
      <c r="A15" t="s">
        <v>1977</v>
      </c>
      <c r="B15" s="1497"/>
    </row>
    <row r="16" spans="1:3" x14ac:dyDescent="0.2">
      <c r="A16" t="s">
        <v>1978</v>
      </c>
      <c r="B16" s="1497"/>
    </row>
    <row r="17" spans="1:3" x14ac:dyDescent="0.2">
      <c r="A17" t="s">
        <v>1979</v>
      </c>
      <c r="B17" s="1497"/>
    </row>
    <row r="18" spans="1:3" x14ac:dyDescent="0.2">
      <c r="A18" t="s">
        <v>1980</v>
      </c>
      <c r="B18" s="1497"/>
    </row>
    <row r="19" spans="1:3" x14ac:dyDescent="0.2">
      <c r="A19" t="s">
        <v>1981</v>
      </c>
      <c r="B19" s="1497"/>
    </row>
    <row r="20" spans="1:3" x14ac:dyDescent="0.2">
      <c r="A20" t="s">
        <v>1982</v>
      </c>
      <c r="B20" s="1497"/>
    </row>
    <row r="21" spans="1:3" x14ac:dyDescent="0.2">
      <c r="A21" t="s">
        <v>1983</v>
      </c>
      <c r="B21" s="1497"/>
    </row>
    <row r="22" spans="1:3" x14ac:dyDescent="0.2">
      <c r="A22" t="s">
        <v>1984</v>
      </c>
      <c r="B22" s="1497"/>
    </row>
    <row r="23" spans="1:3" x14ac:dyDescent="0.2">
      <c r="A23" t="s">
        <v>1985</v>
      </c>
      <c r="B23" s="1497"/>
    </row>
    <row r="24" spans="1:3" x14ac:dyDescent="0.2">
      <c r="A24" t="s">
        <v>1986</v>
      </c>
      <c r="B24" s="1497"/>
    </row>
    <row r="25" spans="1:3" x14ac:dyDescent="0.2">
      <c r="A25" t="s">
        <v>1987</v>
      </c>
      <c r="B25" s="1497"/>
    </row>
    <row r="26" spans="1:3" x14ac:dyDescent="0.2">
      <c r="A26" s="1311" t="s">
        <v>1988</v>
      </c>
      <c r="B26" s="1524" t="s">
        <v>1969</v>
      </c>
      <c r="C26" s="290">
        <v>1020</v>
      </c>
    </row>
    <row r="27" spans="1:3" x14ac:dyDescent="0.2">
      <c r="A27" t="s">
        <v>1989</v>
      </c>
      <c r="B27" s="1497"/>
    </row>
    <row r="28" spans="1:3" x14ac:dyDescent="0.2">
      <c r="A28" t="s">
        <v>1990</v>
      </c>
      <c r="B28" s="1497"/>
    </row>
    <row r="29" spans="1:3" x14ac:dyDescent="0.2">
      <c r="A29" t="s">
        <v>1991</v>
      </c>
      <c r="B29" s="1497"/>
    </row>
    <row r="30" spans="1:3" x14ac:dyDescent="0.2">
      <c r="A30" t="s">
        <v>1992</v>
      </c>
      <c r="B30" s="1497"/>
    </row>
    <row r="31" spans="1:3" x14ac:dyDescent="0.2">
      <c r="A31" t="s">
        <v>1993</v>
      </c>
      <c r="B31" s="1497"/>
    </row>
    <row r="32" spans="1:3" x14ac:dyDescent="0.2">
      <c r="A32" s="1311" t="s">
        <v>1420</v>
      </c>
      <c r="B32" s="1524" t="s">
        <v>1969</v>
      </c>
      <c r="C32" s="290">
        <v>1030</v>
      </c>
    </row>
    <row r="33" spans="1:3" x14ac:dyDescent="0.2">
      <c r="A33" t="s">
        <v>1994</v>
      </c>
      <c r="B33" s="1497"/>
    </row>
    <row r="34" spans="1:3" x14ac:dyDescent="0.2">
      <c r="A34" t="s">
        <v>1995</v>
      </c>
      <c r="B34" s="1497"/>
    </row>
    <row r="35" spans="1:3" x14ac:dyDescent="0.2">
      <c r="A35" t="s">
        <v>1996</v>
      </c>
      <c r="B35" s="1497"/>
    </row>
    <row r="36" spans="1:3" x14ac:dyDescent="0.2">
      <c r="A36" t="s">
        <v>1997</v>
      </c>
      <c r="B36" s="1497"/>
    </row>
    <row r="37" spans="1:3" x14ac:dyDescent="0.2">
      <c r="A37" t="s">
        <v>1998</v>
      </c>
      <c r="B37" s="1497"/>
    </row>
    <row r="38" spans="1:3" x14ac:dyDescent="0.2">
      <c r="A38" s="1311" t="s">
        <v>548</v>
      </c>
      <c r="B38" s="1524" t="s">
        <v>1969</v>
      </c>
      <c r="C38" s="290">
        <v>1050</v>
      </c>
    </row>
    <row r="39" spans="1:3" x14ac:dyDescent="0.2">
      <c r="A39" t="s">
        <v>1999</v>
      </c>
      <c r="B39" s="1497"/>
    </row>
    <row r="40" spans="1:3" x14ac:dyDescent="0.2">
      <c r="A40" t="s">
        <v>2000</v>
      </c>
      <c r="B40" s="1497"/>
    </row>
    <row r="41" spans="1:3" x14ac:dyDescent="0.2">
      <c r="A41" t="s">
        <v>2001</v>
      </c>
      <c r="B41" s="1497"/>
    </row>
    <row r="42" spans="1:3" x14ac:dyDescent="0.2">
      <c r="A42" t="s">
        <v>2002</v>
      </c>
      <c r="B42" s="1497"/>
    </row>
    <row r="43" spans="1:3" x14ac:dyDescent="0.2">
      <c r="A43" t="s">
        <v>2003</v>
      </c>
      <c r="B43" s="1497"/>
    </row>
    <row r="44" spans="1:3" x14ac:dyDescent="0.2">
      <c r="A44" t="s">
        <v>2004</v>
      </c>
      <c r="B44" s="1497"/>
    </row>
    <row r="45" spans="1:3" x14ac:dyDescent="0.2">
      <c r="A45" t="s">
        <v>2005</v>
      </c>
      <c r="B45" s="1497"/>
    </row>
    <row r="46" spans="1:3" x14ac:dyDescent="0.2">
      <c r="A46" t="s">
        <v>2006</v>
      </c>
      <c r="B46" s="1497"/>
    </row>
    <row r="47" spans="1:3" x14ac:dyDescent="0.2">
      <c r="A47" t="s">
        <v>2007</v>
      </c>
      <c r="B47" s="1497"/>
    </row>
    <row r="48" spans="1:3" x14ac:dyDescent="0.2">
      <c r="A48" t="s">
        <v>2008</v>
      </c>
      <c r="B48" s="1497"/>
    </row>
    <row r="49" spans="1:2" x14ac:dyDescent="0.2">
      <c r="A49" t="s">
        <v>2009</v>
      </c>
      <c r="B49" s="1497"/>
    </row>
    <row r="50" spans="1:2" x14ac:dyDescent="0.2">
      <c r="A50" t="s">
        <v>2010</v>
      </c>
      <c r="B50" s="1497"/>
    </row>
    <row r="51" spans="1:2" x14ac:dyDescent="0.2">
      <c r="A51" t="s">
        <v>2011</v>
      </c>
      <c r="B51" s="1497"/>
    </row>
    <row r="52" spans="1:2" x14ac:dyDescent="0.2">
      <c r="A52" t="s">
        <v>2012</v>
      </c>
      <c r="B52" s="1497"/>
    </row>
    <row r="53" spans="1:2" x14ac:dyDescent="0.2">
      <c r="A53" t="s">
        <v>2013</v>
      </c>
      <c r="B53" s="1497"/>
    </row>
    <row r="54" spans="1:2" x14ac:dyDescent="0.2">
      <c r="A54" t="s">
        <v>2014</v>
      </c>
      <c r="B54" s="1497"/>
    </row>
    <row r="55" spans="1:2" x14ac:dyDescent="0.2">
      <c r="A55" t="s">
        <v>2015</v>
      </c>
      <c r="B55" s="1497"/>
    </row>
    <row r="56" spans="1:2" x14ac:dyDescent="0.2">
      <c r="A56" t="s">
        <v>2016</v>
      </c>
      <c r="B56" s="1497"/>
    </row>
    <row r="57" spans="1:2" x14ac:dyDescent="0.2">
      <c r="A57" t="s">
        <v>2017</v>
      </c>
      <c r="B57" s="1497"/>
    </row>
    <row r="58" spans="1:2" x14ac:dyDescent="0.2">
      <c r="A58" t="s">
        <v>2018</v>
      </c>
      <c r="B58" s="1497"/>
    </row>
    <row r="59" spans="1:2" x14ac:dyDescent="0.2">
      <c r="A59" t="s">
        <v>2019</v>
      </c>
      <c r="B59" s="1497"/>
    </row>
    <row r="60" spans="1:2" x14ac:dyDescent="0.2">
      <c r="A60" t="s">
        <v>2020</v>
      </c>
      <c r="B60" s="1497"/>
    </row>
    <row r="61" spans="1:2" x14ac:dyDescent="0.2">
      <c r="A61" t="s">
        <v>2021</v>
      </c>
      <c r="B61" s="1497"/>
    </row>
    <row r="62" spans="1:2" x14ac:dyDescent="0.2">
      <c r="A62" t="s">
        <v>2022</v>
      </c>
      <c r="B62" s="1497"/>
    </row>
    <row r="63" spans="1:2" x14ac:dyDescent="0.2">
      <c r="A63" t="s">
        <v>2023</v>
      </c>
      <c r="B63" s="1497"/>
    </row>
    <row r="64" spans="1:2" x14ac:dyDescent="0.2">
      <c r="A64" t="s">
        <v>2024</v>
      </c>
      <c r="B64" s="1497"/>
    </row>
    <row r="65" spans="1:3" x14ac:dyDescent="0.2">
      <c r="A65" t="s">
        <v>2025</v>
      </c>
      <c r="B65" s="1497" t="s">
        <v>2026</v>
      </c>
    </row>
    <row r="66" spans="1:3" x14ac:dyDescent="0.2">
      <c r="A66" s="1311" t="s">
        <v>1297</v>
      </c>
      <c r="B66" s="1527" t="s">
        <v>1969</v>
      </c>
      <c r="C66" s="290">
        <v>1060</v>
      </c>
    </row>
    <row r="67" spans="1:3" x14ac:dyDescent="0.2">
      <c r="A67" t="s">
        <v>2027</v>
      </c>
      <c r="B67" s="1497"/>
    </row>
    <row r="68" spans="1:3" x14ac:dyDescent="0.2">
      <c r="A68" t="s">
        <v>2028</v>
      </c>
      <c r="B68" s="1497"/>
    </row>
    <row r="69" spans="1:3" x14ac:dyDescent="0.2">
      <c r="A69" s="272" t="s">
        <v>4414</v>
      </c>
      <c r="B69" s="1497" t="s">
        <v>4415</v>
      </c>
    </row>
    <row r="70" spans="1:3" s="2004" customFormat="1" x14ac:dyDescent="0.2">
      <c r="A70" s="2005" t="s">
        <v>4666</v>
      </c>
      <c r="B70" s="1497" t="s">
        <v>4665</v>
      </c>
      <c r="C70" s="2008"/>
    </row>
    <row r="71" spans="1:3" x14ac:dyDescent="0.2">
      <c r="A71" t="s">
        <v>2029</v>
      </c>
      <c r="B71" s="1497"/>
    </row>
    <row r="72" spans="1:3" x14ac:dyDescent="0.2">
      <c r="A72" t="s">
        <v>2030</v>
      </c>
      <c r="B72" s="1497"/>
    </row>
    <row r="73" spans="1:3" x14ac:dyDescent="0.2">
      <c r="A73" t="s">
        <v>2031</v>
      </c>
      <c r="B73" s="1497"/>
    </row>
    <row r="74" spans="1:3" x14ac:dyDescent="0.2">
      <c r="A74" s="272" t="s">
        <v>2032</v>
      </c>
      <c r="B74" s="1497" t="s">
        <v>2033</v>
      </c>
    </row>
    <row r="75" spans="1:3" x14ac:dyDescent="0.2">
      <c r="A75" s="272" t="s">
        <v>3737</v>
      </c>
      <c r="B75" s="272" t="s">
        <v>3738</v>
      </c>
    </row>
    <row r="76" spans="1:3" x14ac:dyDescent="0.2">
      <c r="A76" s="272" t="s">
        <v>2034</v>
      </c>
      <c r="B76" s="1497" t="s">
        <v>2033</v>
      </c>
    </row>
    <row r="77" spans="1:3" x14ac:dyDescent="0.2">
      <c r="A77" t="s">
        <v>2035</v>
      </c>
      <c r="B77" s="1497"/>
    </row>
    <row r="78" spans="1:3" x14ac:dyDescent="0.2">
      <c r="A78" t="s">
        <v>2036</v>
      </c>
      <c r="B78" s="1497"/>
    </row>
    <row r="79" spans="1:3" x14ac:dyDescent="0.2">
      <c r="A79" t="s">
        <v>2037</v>
      </c>
      <c r="B79" s="1497"/>
    </row>
    <row r="80" spans="1:3" x14ac:dyDescent="0.2">
      <c r="A80" t="s">
        <v>2038</v>
      </c>
      <c r="B80" s="1497"/>
    </row>
    <row r="81" spans="1:3" x14ac:dyDescent="0.2">
      <c r="A81" t="s">
        <v>2039</v>
      </c>
      <c r="B81" s="1497"/>
    </row>
    <row r="82" spans="1:3" x14ac:dyDescent="0.2">
      <c r="A82" t="s">
        <v>2040</v>
      </c>
      <c r="B82" s="1497" t="s">
        <v>2041</v>
      </c>
    </row>
    <row r="83" spans="1:3" x14ac:dyDescent="0.2">
      <c r="A83" s="272" t="s">
        <v>2042</v>
      </c>
      <c r="B83" s="1497" t="s">
        <v>2033</v>
      </c>
    </row>
    <row r="84" spans="1:3" x14ac:dyDescent="0.2">
      <c r="A84" s="272" t="s">
        <v>2043</v>
      </c>
      <c r="B84" s="1497" t="s">
        <v>2033</v>
      </c>
    </row>
    <row r="85" spans="1:3" x14ac:dyDescent="0.2">
      <c r="A85" s="272" t="s">
        <v>3739</v>
      </c>
      <c r="B85" s="272" t="s">
        <v>3738</v>
      </c>
    </row>
    <row r="86" spans="1:3" x14ac:dyDescent="0.2">
      <c r="A86" s="272" t="s">
        <v>4416</v>
      </c>
      <c r="B86" s="272" t="s">
        <v>4415</v>
      </c>
    </row>
    <row r="87" spans="1:3" s="2004" customFormat="1" x14ac:dyDescent="0.2">
      <c r="A87" s="2005" t="s">
        <v>4667</v>
      </c>
      <c r="B87" s="1497" t="s">
        <v>4665</v>
      </c>
      <c r="C87" s="2008"/>
    </row>
    <row r="88" spans="1:3" x14ac:dyDescent="0.2">
      <c r="A88" s="1311" t="s">
        <v>1455</v>
      </c>
      <c r="B88" s="1527" t="s">
        <v>1969</v>
      </c>
      <c r="C88" s="290">
        <v>1070</v>
      </c>
    </row>
    <row r="89" spans="1:3" x14ac:dyDescent="0.2">
      <c r="A89" t="s">
        <v>2044</v>
      </c>
      <c r="B89" s="1497"/>
    </row>
    <row r="90" spans="1:3" x14ac:dyDescent="0.2">
      <c r="A90" t="s">
        <v>2045</v>
      </c>
      <c r="B90" s="1497"/>
    </row>
    <row r="91" spans="1:3" x14ac:dyDescent="0.2">
      <c r="A91" t="s">
        <v>2046</v>
      </c>
      <c r="B91" s="1497"/>
    </row>
    <row r="92" spans="1:3" x14ac:dyDescent="0.2">
      <c r="A92" s="1311" t="s">
        <v>1403</v>
      </c>
      <c r="B92" s="1524" t="s">
        <v>1969</v>
      </c>
      <c r="C92" s="290">
        <v>1090</v>
      </c>
    </row>
    <row r="93" spans="1:3" x14ac:dyDescent="0.2">
      <c r="A93" t="s">
        <v>2047</v>
      </c>
      <c r="B93" s="1497"/>
    </row>
    <row r="94" spans="1:3" x14ac:dyDescent="0.2">
      <c r="A94" s="1311" t="s">
        <v>2048</v>
      </c>
      <c r="B94" s="1533"/>
    </row>
    <row r="95" spans="1:3" x14ac:dyDescent="0.2">
      <c r="A95" s="1311" t="s">
        <v>2049</v>
      </c>
      <c r="B95" s="1524" t="s">
        <v>1969</v>
      </c>
      <c r="C95" s="290">
        <v>1110</v>
      </c>
    </row>
    <row r="96" spans="1:3" x14ac:dyDescent="0.2">
      <c r="A96" t="s">
        <v>2050</v>
      </c>
      <c r="B96" s="1497"/>
    </row>
    <row r="97" spans="1:3" x14ac:dyDescent="0.2">
      <c r="A97" t="s">
        <v>2051</v>
      </c>
      <c r="B97" s="1497"/>
    </row>
    <row r="98" spans="1:3" x14ac:dyDescent="0.2">
      <c r="A98" t="s">
        <v>2052</v>
      </c>
      <c r="B98" s="1497"/>
    </row>
    <row r="99" spans="1:3" x14ac:dyDescent="0.2">
      <c r="A99" t="s">
        <v>2053</v>
      </c>
      <c r="B99" s="1497" t="s">
        <v>2054</v>
      </c>
    </row>
    <row r="100" spans="1:3" x14ac:dyDescent="0.2">
      <c r="A100" t="s">
        <v>2055</v>
      </c>
      <c r="B100" s="1497" t="s">
        <v>2054</v>
      </c>
    </row>
    <row r="101" spans="1:3" x14ac:dyDescent="0.2">
      <c r="A101" t="s">
        <v>2056</v>
      </c>
      <c r="B101" s="1497" t="s">
        <v>2054</v>
      </c>
    </row>
    <row r="102" spans="1:3" x14ac:dyDescent="0.2">
      <c r="A102" t="s">
        <v>2057</v>
      </c>
      <c r="B102" s="1497"/>
    </row>
    <row r="103" spans="1:3" x14ac:dyDescent="0.2">
      <c r="A103" t="s">
        <v>2058</v>
      </c>
      <c r="B103" s="1497"/>
    </row>
    <row r="104" spans="1:3" x14ac:dyDescent="0.2">
      <c r="A104" t="s">
        <v>2059</v>
      </c>
      <c r="B104" s="1497"/>
    </row>
    <row r="105" spans="1:3" x14ac:dyDescent="0.2">
      <c r="A105" s="1311" t="s">
        <v>2060</v>
      </c>
      <c r="B105" s="1524" t="s">
        <v>1969</v>
      </c>
      <c r="C105" s="290">
        <v>1120</v>
      </c>
    </row>
    <row r="106" spans="1:3" x14ac:dyDescent="0.2">
      <c r="A106" t="s">
        <v>2061</v>
      </c>
      <c r="B106" s="1497"/>
    </row>
    <row r="107" spans="1:3" x14ac:dyDescent="0.2">
      <c r="A107" t="s">
        <v>2062</v>
      </c>
      <c r="B107" s="1497"/>
    </row>
    <row r="108" spans="1:3" x14ac:dyDescent="0.2">
      <c r="A108" t="s">
        <v>2063</v>
      </c>
      <c r="B108" s="1497" t="s">
        <v>2064</v>
      </c>
    </row>
    <row r="109" spans="1:3" x14ac:dyDescent="0.2">
      <c r="A109" s="272" t="s">
        <v>3907</v>
      </c>
      <c r="B109" s="1497" t="s">
        <v>3934</v>
      </c>
    </row>
    <row r="110" spans="1:3" x14ac:dyDescent="0.2">
      <c r="A110" s="1311" t="s">
        <v>2065</v>
      </c>
      <c r="B110" s="1524" t="s">
        <v>1969</v>
      </c>
      <c r="C110" s="290">
        <v>1130</v>
      </c>
    </row>
    <row r="111" spans="1:3" x14ac:dyDescent="0.2">
      <c r="A111" t="s">
        <v>2066</v>
      </c>
      <c r="B111" s="1497"/>
    </row>
    <row r="112" spans="1:3" x14ac:dyDescent="0.2">
      <c r="A112" t="s">
        <v>2067</v>
      </c>
      <c r="B112" s="1497"/>
    </row>
    <row r="113" spans="1:3" x14ac:dyDescent="0.2">
      <c r="A113" s="1311" t="s">
        <v>2068</v>
      </c>
      <c r="B113" s="1524" t="s">
        <v>1969</v>
      </c>
      <c r="C113" s="357" t="s">
        <v>775</v>
      </c>
    </row>
    <row r="114" spans="1:3" x14ac:dyDescent="0.2">
      <c r="A114" t="s">
        <v>2069</v>
      </c>
      <c r="B114" s="1497"/>
    </row>
    <row r="115" spans="1:3" x14ac:dyDescent="0.2">
      <c r="A115" s="1311" t="s">
        <v>2070</v>
      </c>
      <c r="B115" s="1524" t="s">
        <v>1969</v>
      </c>
      <c r="C115" s="357" t="s">
        <v>775</v>
      </c>
    </row>
    <row r="116" spans="1:3" x14ac:dyDescent="0.2">
      <c r="A116" t="s">
        <v>2071</v>
      </c>
      <c r="B116" s="1497"/>
    </row>
    <row r="117" spans="1:3" x14ac:dyDescent="0.2">
      <c r="A117" t="s">
        <v>2072</v>
      </c>
      <c r="B117" s="1497"/>
    </row>
    <row r="118" spans="1:3" x14ac:dyDescent="0.2">
      <c r="A118" s="1311" t="s">
        <v>2073</v>
      </c>
      <c r="B118" s="1524" t="s">
        <v>1969</v>
      </c>
      <c r="C118" s="290">
        <v>1160</v>
      </c>
    </row>
    <row r="119" spans="1:3" x14ac:dyDescent="0.2">
      <c r="A119" t="s">
        <v>2074</v>
      </c>
      <c r="B119" s="1497"/>
    </row>
    <row r="120" spans="1:3" x14ac:dyDescent="0.2">
      <c r="A120" t="s">
        <v>2075</v>
      </c>
      <c r="B120" s="1497"/>
    </row>
    <row r="121" spans="1:3" x14ac:dyDescent="0.2">
      <c r="A121" t="s">
        <v>2076</v>
      </c>
      <c r="B121" s="1497"/>
    </row>
    <row r="122" spans="1:3" x14ac:dyDescent="0.2">
      <c r="A122" t="s">
        <v>2077</v>
      </c>
      <c r="B122" s="1497"/>
    </row>
    <row r="123" spans="1:3" x14ac:dyDescent="0.2">
      <c r="A123" s="1311" t="s">
        <v>2078</v>
      </c>
      <c r="B123" s="1524" t="s">
        <v>1969</v>
      </c>
      <c r="C123" s="357" t="s">
        <v>775</v>
      </c>
    </row>
    <row r="124" spans="1:3" x14ac:dyDescent="0.2">
      <c r="A124" t="s">
        <v>2079</v>
      </c>
      <c r="B124" s="1497"/>
    </row>
    <row r="125" spans="1:3" x14ac:dyDescent="0.2">
      <c r="A125" t="s">
        <v>2080</v>
      </c>
      <c r="B125" s="1497"/>
    </row>
    <row r="126" spans="1:3" x14ac:dyDescent="0.2">
      <c r="A126" t="s">
        <v>2081</v>
      </c>
      <c r="B126" s="1497"/>
    </row>
    <row r="127" spans="1:3" x14ac:dyDescent="0.2">
      <c r="A127" t="s">
        <v>2082</v>
      </c>
      <c r="B127" s="1497"/>
    </row>
    <row r="128" spans="1:3" x14ac:dyDescent="0.2">
      <c r="A128" t="s">
        <v>2083</v>
      </c>
      <c r="B128" s="1497"/>
    </row>
    <row r="129" spans="1:3" x14ac:dyDescent="0.2">
      <c r="A129" t="s">
        <v>2084</v>
      </c>
      <c r="B129" s="1497"/>
    </row>
    <row r="130" spans="1:3" x14ac:dyDescent="0.2">
      <c r="A130" s="1311" t="s">
        <v>930</v>
      </c>
      <c r="B130" s="1524" t="s">
        <v>1969</v>
      </c>
      <c r="C130" s="357" t="s">
        <v>775</v>
      </c>
    </row>
    <row r="131" spans="1:3" x14ac:dyDescent="0.2">
      <c r="A131" t="s">
        <v>2085</v>
      </c>
      <c r="B131" s="1497"/>
    </row>
    <row r="132" spans="1:3" x14ac:dyDescent="0.2">
      <c r="A132" t="s">
        <v>2086</v>
      </c>
      <c r="B132" s="1497"/>
    </row>
    <row r="133" spans="1:3" x14ac:dyDescent="0.2">
      <c r="A133" t="s">
        <v>2087</v>
      </c>
      <c r="B133" s="1497"/>
    </row>
    <row r="134" spans="1:3" x14ac:dyDescent="0.2">
      <c r="A134" t="s">
        <v>2088</v>
      </c>
      <c r="B134" s="1497"/>
    </row>
    <row r="135" spans="1:3" x14ac:dyDescent="0.2">
      <c r="A135" t="s">
        <v>2089</v>
      </c>
      <c r="B135" s="1497"/>
    </row>
    <row r="136" spans="1:3" x14ac:dyDescent="0.2">
      <c r="A136" t="s">
        <v>2090</v>
      </c>
      <c r="B136" s="1497"/>
    </row>
    <row r="137" spans="1:3" x14ac:dyDescent="0.2">
      <c r="A137" t="s">
        <v>2091</v>
      </c>
      <c r="B137" s="1497"/>
    </row>
    <row r="138" spans="1:3" x14ac:dyDescent="0.2">
      <c r="A138" t="s">
        <v>2092</v>
      </c>
      <c r="B138" s="1497"/>
    </row>
    <row r="139" spans="1:3" x14ac:dyDescent="0.2">
      <c r="A139" t="s">
        <v>2093</v>
      </c>
      <c r="B139" s="1497"/>
    </row>
    <row r="140" spans="1:3" x14ac:dyDescent="0.2">
      <c r="A140" t="s">
        <v>2094</v>
      </c>
      <c r="B140" s="1497"/>
    </row>
    <row r="141" spans="1:3" x14ac:dyDescent="0.2">
      <c r="A141" t="s">
        <v>2095</v>
      </c>
      <c r="B141" s="1497"/>
    </row>
    <row r="142" spans="1:3" x14ac:dyDescent="0.2">
      <c r="A142" t="s">
        <v>2096</v>
      </c>
      <c r="B142" s="1497"/>
    </row>
    <row r="143" spans="1:3" x14ac:dyDescent="0.2">
      <c r="A143" t="s">
        <v>2097</v>
      </c>
      <c r="B143" s="1497"/>
    </row>
    <row r="144" spans="1:3" s="2452" customFormat="1" x14ac:dyDescent="0.2">
      <c r="A144" s="1311" t="s">
        <v>4827</v>
      </c>
      <c r="B144" s="1524" t="s">
        <v>5722</v>
      </c>
      <c r="C144" s="2453">
        <v>1175</v>
      </c>
    </row>
    <row r="145" spans="1:3" s="2452" customFormat="1" x14ac:dyDescent="0.2">
      <c r="A145" s="2455" t="s">
        <v>5330</v>
      </c>
      <c r="B145" s="1524"/>
      <c r="C145" s="2453"/>
    </row>
    <row r="146" spans="1:3" x14ac:dyDescent="0.2">
      <c r="A146" s="1311" t="s">
        <v>2098</v>
      </c>
      <c r="B146" s="1524" t="s">
        <v>1969</v>
      </c>
      <c r="C146" s="290">
        <v>1190</v>
      </c>
    </row>
    <row r="147" spans="1:3" x14ac:dyDescent="0.2">
      <c r="A147" t="s">
        <v>2099</v>
      </c>
      <c r="B147" s="1497"/>
    </row>
    <row r="148" spans="1:3" x14ac:dyDescent="0.2">
      <c r="A148" s="1311" t="s">
        <v>1531</v>
      </c>
      <c r="B148" s="1524" t="s">
        <v>1969</v>
      </c>
      <c r="C148" s="290">
        <v>1195</v>
      </c>
    </row>
    <row r="149" spans="1:3" x14ac:dyDescent="0.2">
      <c r="A149" t="s">
        <v>2100</v>
      </c>
      <c r="B149" s="1497" t="s">
        <v>2101</v>
      </c>
    </row>
    <row r="150" spans="1:3" x14ac:dyDescent="0.2">
      <c r="A150" s="1311" t="s">
        <v>361</v>
      </c>
      <c r="B150" s="1524" t="s">
        <v>1969</v>
      </c>
      <c r="C150" s="290">
        <v>1200</v>
      </c>
    </row>
    <row r="151" spans="1:3" x14ac:dyDescent="0.2">
      <c r="A151" t="s">
        <v>2102</v>
      </c>
      <c r="B151" s="1497"/>
    </row>
    <row r="152" spans="1:3" x14ac:dyDescent="0.2">
      <c r="A152" s="1311" t="s">
        <v>549</v>
      </c>
      <c r="B152" s="1524" t="s">
        <v>1969</v>
      </c>
      <c r="C152" s="290">
        <v>1230</v>
      </c>
    </row>
    <row r="153" spans="1:3" x14ac:dyDescent="0.2">
      <c r="A153" t="s">
        <v>2103</v>
      </c>
      <c r="B153" s="1497"/>
    </row>
    <row r="154" spans="1:3" x14ac:dyDescent="0.2">
      <c r="A154" t="s">
        <v>2104</v>
      </c>
      <c r="B154" s="1497"/>
    </row>
    <row r="155" spans="1:3" x14ac:dyDescent="0.2">
      <c r="A155" t="s">
        <v>2105</v>
      </c>
      <c r="B155" s="1497"/>
    </row>
    <row r="156" spans="1:3" x14ac:dyDescent="0.2">
      <c r="A156" t="s">
        <v>2106</v>
      </c>
      <c r="B156" s="1497"/>
    </row>
    <row r="157" spans="1:3" x14ac:dyDescent="0.2">
      <c r="A157" t="s">
        <v>2107</v>
      </c>
      <c r="B157" s="1497"/>
    </row>
    <row r="158" spans="1:3" x14ac:dyDescent="0.2">
      <c r="A158" t="s">
        <v>2108</v>
      </c>
      <c r="B158" s="1497"/>
    </row>
    <row r="159" spans="1:3" s="2663" customFormat="1" x14ac:dyDescent="0.2">
      <c r="A159" s="1311" t="s">
        <v>5373</v>
      </c>
      <c r="C159" s="2665"/>
    </row>
    <row r="160" spans="1:3" s="2663" customFormat="1" x14ac:dyDescent="0.2">
      <c r="A160" s="2664" t="s">
        <v>5723</v>
      </c>
      <c r="B160" s="2667" t="s">
        <v>5721</v>
      </c>
      <c r="C160" s="2665"/>
    </row>
    <row r="161" spans="1:3" x14ac:dyDescent="0.2">
      <c r="A161" s="1311" t="s">
        <v>931</v>
      </c>
      <c r="B161" s="1524" t="s">
        <v>2109</v>
      </c>
      <c r="C161" s="290">
        <v>1220</v>
      </c>
    </row>
    <row r="162" spans="1:3" x14ac:dyDescent="0.2">
      <c r="A162" t="s">
        <v>2110</v>
      </c>
      <c r="B162" s="1497"/>
    </row>
    <row r="163" spans="1:3" x14ac:dyDescent="0.2">
      <c r="A163" t="s">
        <v>2111</v>
      </c>
      <c r="B163" s="1497"/>
    </row>
    <row r="164" spans="1:3" x14ac:dyDescent="0.2">
      <c r="A164" t="s">
        <v>2112</v>
      </c>
      <c r="B164" s="1497"/>
    </row>
    <row r="165" spans="1:3" x14ac:dyDescent="0.2">
      <c r="A165" t="s">
        <v>2113</v>
      </c>
      <c r="B165" s="1497"/>
    </row>
    <row r="166" spans="1:3" x14ac:dyDescent="0.2">
      <c r="A166" t="s">
        <v>2114</v>
      </c>
      <c r="B166" s="1497"/>
    </row>
    <row r="167" spans="1:3" x14ac:dyDescent="0.2">
      <c r="A167" t="s">
        <v>2115</v>
      </c>
      <c r="B167" s="1497"/>
    </row>
    <row r="168" spans="1:3" x14ac:dyDescent="0.2">
      <c r="A168" t="s">
        <v>2116</v>
      </c>
      <c r="B168" s="1497"/>
    </row>
    <row r="169" spans="1:3" x14ac:dyDescent="0.2">
      <c r="A169" t="s">
        <v>2117</v>
      </c>
      <c r="B169" s="1497"/>
    </row>
    <row r="170" spans="1:3" x14ac:dyDescent="0.2">
      <c r="A170" t="s">
        <v>2118</v>
      </c>
      <c r="B170" s="1497"/>
    </row>
    <row r="171" spans="1:3" x14ac:dyDescent="0.2">
      <c r="A171" t="s">
        <v>2119</v>
      </c>
      <c r="B171" s="1497"/>
    </row>
    <row r="172" spans="1:3" x14ac:dyDescent="0.2">
      <c r="A172" t="s">
        <v>2120</v>
      </c>
      <c r="B172" s="1497"/>
    </row>
    <row r="173" spans="1:3" x14ac:dyDescent="0.2">
      <c r="A173" t="s">
        <v>2121</v>
      </c>
      <c r="B173" s="1497"/>
    </row>
    <row r="174" spans="1:3" x14ac:dyDescent="0.2">
      <c r="A174" t="s">
        <v>2122</v>
      </c>
      <c r="B174" s="1497"/>
    </row>
    <row r="175" spans="1:3" x14ac:dyDescent="0.2">
      <c r="A175" t="s">
        <v>2123</v>
      </c>
      <c r="B175" s="1497"/>
    </row>
    <row r="176" spans="1:3" x14ac:dyDescent="0.2">
      <c r="A176" t="s">
        <v>2124</v>
      </c>
      <c r="B176" s="1497"/>
    </row>
    <row r="177" spans="1:3" x14ac:dyDescent="0.2">
      <c r="A177" t="s">
        <v>2125</v>
      </c>
      <c r="B177" s="1497"/>
    </row>
    <row r="178" spans="1:3" x14ac:dyDescent="0.2">
      <c r="A178" t="s">
        <v>2126</v>
      </c>
      <c r="B178" s="1497"/>
    </row>
    <row r="179" spans="1:3" x14ac:dyDescent="0.2">
      <c r="A179" t="s">
        <v>2127</v>
      </c>
      <c r="B179" s="1497"/>
    </row>
    <row r="180" spans="1:3" x14ac:dyDescent="0.2">
      <c r="A180" t="s">
        <v>2128</v>
      </c>
      <c r="B180" s="1497"/>
    </row>
    <row r="181" spans="1:3" x14ac:dyDescent="0.2">
      <c r="A181" t="s">
        <v>2129</v>
      </c>
      <c r="B181" s="1497"/>
    </row>
    <row r="182" spans="1:3" x14ac:dyDescent="0.2">
      <c r="A182" t="s">
        <v>2130</v>
      </c>
      <c r="B182" s="1497"/>
    </row>
    <row r="183" spans="1:3" x14ac:dyDescent="0.2">
      <c r="A183" s="1311" t="s">
        <v>2131</v>
      </c>
      <c r="B183" s="1524" t="s">
        <v>1969</v>
      </c>
      <c r="C183" s="357" t="s">
        <v>775</v>
      </c>
    </row>
    <row r="184" spans="1:3" x14ac:dyDescent="0.2">
      <c r="A184" t="s">
        <v>2132</v>
      </c>
      <c r="B184" s="1497"/>
    </row>
    <row r="185" spans="1:3" x14ac:dyDescent="0.2">
      <c r="A185" s="1311" t="s">
        <v>631</v>
      </c>
      <c r="B185" s="1524" t="s">
        <v>1969</v>
      </c>
      <c r="C185" s="290">
        <v>1230</v>
      </c>
    </row>
    <row r="186" spans="1:3" x14ac:dyDescent="0.2">
      <c r="A186" t="s">
        <v>2133</v>
      </c>
      <c r="B186" s="1497"/>
    </row>
    <row r="187" spans="1:3" x14ac:dyDescent="0.2">
      <c r="A187" s="1311" t="s">
        <v>2135</v>
      </c>
      <c r="B187" s="1524" t="s">
        <v>1969</v>
      </c>
      <c r="C187" s="357" t="s">
        <v>775</v>
      </c>
    </row>
    <row r="188" spans="1:3" x14ac:dyDescent="0.2">
      <c r="A188" t="s">
        <v>2136</v>
      </c>
      <c r="B188" s="1497"/>
    </row>
    <row r="189" spans="1:3" x14ac:dyDescent="0.2">
      <c r="A189" s="1311" t="s">
        <v>2137</v>
      </c>
      <c r="B189" s="1524" t="s">
        <v>1969</v>
      </c>
      <c r="C189" s="290">
        <v>1232</v>
      </c>
    </row>
    <row r="190" spans="1:3" x14ac:dyDescent="0.2">
      <c r="A190" s="272" t="s">
        <v>2138</v>
      </c>
      <c r="B190" s="1497"/>
    </row>
    <row r="191" spans="1:3" x14ac:dyDescent="0.2">
      <c r="A191" s="1517" t="s">
        <v>4423</v>
      </c>
      <c r="B191" s="1524" t="s">
        <v>1969</v>
      </c>
      <c r="C191" s="290">
        <v>1234</v>
      </c>
    </row>
    <row r="192" spans="1:3" x14ac:dyDescent="0.2">
      <c r="A192" s="272" t="s">
        <v>4424</v>
      </c>
      <c r="B192" s="1497" t="s">
        <v>4427</v>
      </c>
    </row>
    <row r="193" spans="1:3" x14ac:dyDescent="0.2">
      <c r="A193" s="1311" t="s">
        <v>4425</v>
      </c>
      <c r="B193" s="1524" t="s">
        <v>1969</v>
      </c>
      <c r="C193" s="290">
        <v>1233</v>
      </c>
    </row>
    <row r="194" spans="1:3" x14ac:dyDescent="0.2">
      <c r="A194" s="272" t="s">
        <v>4426</v>
      </c>
      <c r="B194" s="1497" t="s">
        <v>4427</v>
      </c>
    </row>
    <row r="195" spans="1:3" x14ac:dyDescent="0.2">
      <c r="A195" s="1311" t="s">
        <v>639</v>
      </c>
      <c r="B195" s="1534"/>
    </row>
    <row r="196" spans="1:3" x14ac:dyDescent="0.2">
      <c r="A196" s="1311" t="s">
        <v>2139</v>
      </c>
      <c r="B196" s="1533"/>
    </row>
    <row r="197" spans="1:3" x14ac:dyDescent="0.2">
      <c r="A197" s="1311" t="s">
        <v>499</v>
      </c>
      <c r="B197" s="1524" t="s">
        <v>1969</v>
      </c>
      <c r="C197" s="290">
        <v>1270</v>
      </c>
    </row>
    <row r="198" spans="1:3" x14ac:dyDescent="0.2">
      <c r="A198" t="s">
        <v>2140</v>
      </c>
      <c r="B198" s="1497"/>
    </row>
    <row r="199" spans="1:3" x14ac:dyDescent="0.2">
      <c r="A199" t="s">
        <v>2141</v>
      </c>
      <c r="B199" s="1497" t="s">
        <v>2142</v>
      </c>
    </row>
    <row r="200" spans="1:3" x14ac:dyDescent="0.2">
      <c r="A200" t="s">
        <v>2143</v>
      </c>
      <c r="B200" s="1497" t="s">
        <v>2142</v>
      </c>
    </row>
    <row r="201" spans="1:3" x14ac:dyDescent="0.2">
      <c r="A201" t="s">
        <v>2144</v>
      </c>
      <c r="B201" s="1497" t="s">
        <v>2142</v>
      </c>
    </row>
    <row r="202" spans="1:3" x14ac:dyDescent="0.2">
      <c r="A202" t="s">
        <v>2145</v>
      </c>
      <c r="B202" s="1497" t="s">
        <v>2142</v>
      </c>
    </row>
    <row r="203" spans="1:3" x14ac:dyDescent="0.2">
      <c r="A203" t="s">
        <v>2146</v>
      </c>
      <c r="B203" s="1497" t="s">
        <v>2142</v>
      </c>
    </row>
    <row r="204" spans="1:3" x14ac:dyDescent="0.2">
      <c r="A204" s="1311" t="s">
        <v>2147</v>
      </c>
      <c r="B204" s="1524" t="s">
        <v>1969</v>
      </c>
      <c r="C204" s="290">
        <v>1280</v>
      </c>
    </row>
    <row r="205" spans="1:3" x14ac:dyDescent="0.2">
      <c r="A205" s="272" t="s">
        <v>2148</v>
      </c>
      <c r="B205" s="1497"/>
    </row>
    <row r="206" spans="1:3" x14ac:dyDescent="0.2">
      <c r="A206" s="272" t="s">
        <v>2149</v>
      </c>
      <c r="B206" s="1497"/>
    </row>
    <row r="207" spans="1:3" x14ac:dyDescent="0.2">
      <c r="A207" s="272" t="s">
        <v>2150</v>
      </c>
      <c r="B207" s="1497"/>
    </row>
    <row r="208" spans="1:3" x14ac:dyDescent="0.2">
      <c r="A208" s="272" t="s">
        <v>2151</v>
      </c>
      <c r="B208" s="1497"/>
    </row>
    <row r="209" spans="1:3" x14ac:dyDescent="0.2">
      <c r="A209" s="1528" t="s">
        <v>2152</v>
      </c>
      <c r="B209" s="1497"/>
    </row>
    <row r="210" spans="1:3" x14ac:dyDescent="0.2">
      <c r="A210" s="1514" t="s">
        <v>548</v>
      </c>
      <c r="B210" s="1524" t="s">
        <v>1969</v>
      </c>
      <c r="C210" s="290">
        <v>1300</v>
      </c>
    </row>
    <row r="211" spans="1:3" x14ac:dyDescent="0.2">
      <c r="A211" t="s">
        <v>2153</v>
      </c>
      <c r="B211" s="1497" t="s">
        <v>2142</v>
      </c>
    </row>
    <row r="212" spans="1:3" x14ac:dyDescent="0.2">
      <c r="A212" t="s">
        <v>2154</v>
      </c>
      <c r="B212" s="1497" t="s">
        <v>2142</v>
      </c>
    </row>
    <row r="213" spans="1:3" x14ac:dyDescent="0.2">
      <c r="A213" t="s">
        <v>2155</v>
      </c>
      <c r="B213" s="1497" t="s">
        <v>2142</v>
      </c>
    </row>
    <row r="214" spans="1:3" x14ac:dyDescent="0.2">
      <c r="A214" t="s">
        <v>2156</v>
      </c>
      <c r="B214" s="1497"/>
    </row>
    <row r="215" spans="1:3" x14ac:dyDescent="0.2">
      <c r="A215" t="s">
        <v>2157</v>
      </c>
      <c r="B215" s="1497" t="s">
        <v>2142</v>
      </c>
    </row>
    <row r="216" spans="1:3" x14ac:dyDescent="0.2">
      <c r="A216" t="s">
        <v>2158</v>
      </c>
      <c r="B216" s="1497" t="s">
        <v>2142</v>
      </c>
    </row>
    <row r="217" spans="1:3" x14ac:dyDescent="0.2">
      <c r="A217" t="s">
        <v>2159</v>
      </c>
      <c r="B217" s="1497" t="s">
        <v>2142</v>
      </c>
    </row>
    <row r="218" spans="1:3" x14ac:dyDescent="0.2">
      <c r="A218" t="s">
        <v>2160</v>
      </c>
      <c r="B218" s="1497"/>
    </row>
    <row r="219" spans="1:3" x14ac:dyDescent="0.2">
      <c r="A219" t="s">
        <v>2161</v>
      </c>
      <c r="B219" s="1497" t="s">
        <v>2142</v>
      </c>
    </row>
    <row r="220" spans="1:3" x14ac:dyDescent="0.2">
      <c r="A220" t="s">
        <v>2162</v>
      </c>
      <c r="B220" s="1497" t="s">
        <v>2142</v>
      </c>
    </row>
    <row r="221" spans="1:3" x14ac:dyDescent="0.2">
      <c r="A221" t="s">
        <v>2163</v>
      </c>
      <c r="B221" s="1497" t="s">
        <v>2142</v>
      </c>
    </row>
    <row r="222" spans="1:3" x14ac:dyDescent="0.2">
      <c r="A222" t="s">
        <v>2164</v>
      </c>
      <c r="B222" s="1497" t="s">
        <v>2142</v>
      </c>
    </row>
    <row r="223" spans="1:3" x14ac:dyDescent="0.2">
      <c r="A223" t="s">
        <v>2165</v>
      </c>
      <c r="B223" s="1497" t="s">
        <v>2142</v>
      </c>
    </row>
    <row r="224" spans="1:3" x14ac:dyDescent="0.2">
      <c r="A224" t="s">
        <v>2166</v>
      </c>
      <c r="B224" s="1497" t="s">
        <v>2142</v>
      </c>
    </row>
    <row r="225" spans="1:3" x14ac:dyDescent="0.2">
      <c r="A225" t="s">
        <v>2167</v>
      </c>
      <c r="B225" s="1497" t="s">
        <v>2142</v>
      </c>
    </row>
    <row r="226" spans="1:3" x14ac:dyDescent="0.2">
      <c r="A226" t="s">
        <v>2168</v>
      </c>
      <c r="B226" s="1497" t="s">
        <v>2142</v>
      </c>
    </row>
    <row r="227" spans="1:3" x14ac:dyDescent="0.2">
      <c r="A227" t="s">
        <v>2169</v>
      </c>
      <c r="B227" s="1497" t="s">
        <v>2142</v>
      </c>
    </row>
    <row r="228" spans="1:3" x14ac:dyDescent="0.2">
      <c r="A228" t="s">
        <v>2170</v>
      </c>
      <c r="B228" s="1497" t="s">
        <v>2142</v>
      </c>
    </row>
    <row r="229" spans="1:3" x14ac:dyDescent="0.2">
      <c r="A229" t="s">
        <v>2171</v>
      </c>
      <c r="B229" s="1497"/>
    </row>
    <row r="230" spans="1:3" x14ac:dyDescent="0.2">
      <c r="A230" t="s">
        <v>2172</v>
      </c>
      <c r="B230" s="1497" t="s">
        <v>2142</v>
      </c>
    </row>
    <row r="231" spans="1:3" x14ac:dyDescent="0.2">
      <c r="A231" t="s">
        <v>2173</v>
      </c>
      <c r="B231" s="1497"/>
    </row>
    <row r="232" spans="1:3" x14ac:dyDescent="0.2">
      <c r="A232" t="s">
        <v>2174</v>
      </c>
      <c r="B232" s="1497" t="s">
        <v>2142</v>
      </c>
    </row>
    <row r="233" spans="1:3" x14ac:dyDescent="0.2">
      <c r="A233" t="s">
        <v>2175</v>
      </c>
      <c r="B233" s="1497" t="s">
        <v>2142</v>
      </c>
    </row>
    <row r="234" spans="1:3" x14ac:dyDescent="0.2">
      <c r="A234" t="s">
        <v>2176</v>
      </c>
      <c r="B234" s="1497"/>
    </row>
    <row r="235" spans="1:3" x14ac:dyDescent="0.2">
      <c r="A235" t="s">
        <v>2177</v>
      </c>
      <c r="B235" s="1497"/>
    </row>
    <row r="236" spans="1:3" x14ac:dyDescent="0.2">
      <c r="A236" t="s">
        <v>2178</v>
      </c>
      <c r="B236" s="1497"/>
    </row>
    <row r="237" spans="1:3" x14ac:dyDescent="0.2">
      <c r="A237" s="272" t="s">
        <v>2179</v>
      </c>
      <c r="B237" s="1497" t="s">
        <v>2026</v>
      </c>
    </row>
    <row r="238" spans="1:3" x14ac:dyDescent="0.2">
      <c r="A238" s="1311" t="s">
        <v>1297</v>
      </c>
      <c r="B238" s="1524" t="s">
        <v>1969</v>
      </c>
      <c r="C238" s="290">
        <v>1310</v>
      </c>
    </row>
    <row r="239" spans="1:3" x14ac:dyDescent="0.2">
      <c r="A239" t="s">
        <v>2180</v>
      </c>
      <c r="B239" s="1497" t="s">
        <v>2181</v>
      </c>
    </row>
    <row r="240" spans="1:3" x14ac:dyDescent="0.2">
      <c r="A240" t="s">
        <v>2182</v>
      </c>
      <c r="B240" s="1497" t="s">
        <v>2181</v>
      </c>
    </row>
    <row r="241" spans="1:3" x14ac:dyDescent="0.2">
      <c r="A241" s="1311" t="s">
        <v>1455</v>
      </c>
      <c r="B241" s="1524" t="s">
        <v>1969</v>
      </c>
      <c r="C241" s="290">
        <v>1410</v>
      </c>
    </row>
    <row r="242" spans="1:3" ht="25.5" x14ac:dyDescent="0.2">
      <c r="A242" t="s">
        <v>2183</v>
      </c>
      <c r="B242" s="1497" t="s">
        <v>4955</v>
      </c>
    </row>
    <row r="243" spans="1:3" x14ac:dyDescent="0.2">
      <c r="A243" t="s">
        <v>2184</v>
      </c>
      <c r="B243" s="1497" t="s">
        <v>2181</v>
      </c>
    </row>
    <row r="244" spans="1:3" ht="25.5" x14ac:dyDescent="0.2">
      <c r="A244" t="s">
        <v>2185</v>
      </c>
      <c r="B244" s="1497" t="s">
        <v>4955</v>
      </c>
    </row>
    <row r="245" spans="1:3" x14ac:dyDescent="0.2">
      <c r="A245" t="s">
        <v>2186</v>
      </c>
      <c r="B245" s="1497" t="s">
        <v>2181</v>
      </c>
    </row>
    <row r="246" spans="1:3" x14ac:dyDescent="0.2">
      <c r="A246" s="1311" t="s">
        <v>311</v>
      </c>
      <c r="B246" s="1524" t="s">
        <v>1969</v>
      </c>
      <c r="C246" s="290">
        <v>1340</v>
      </c>
    </row>
    <row r="247" spans="1:3" x14ac:dyDescent="0.2">
      <c r="A247" t="s">
        <v>2187</v>
      </c>
      <c r="B247" s="1497"/>
    </row>
    <row r="248" spans="1:3" x14ac:dyDescent="0.2">
      <c r="A248" t="s">
        <v>2188</v>
      </c>
      <c r="B248" s="1497"/>
    </row>
    <row r="249" spans="1:3" x14ac:dyDescent="0.2">
      <c r="A249" t="s">
        <v>2189</v>
      </c>
      <c r="B249" s="1497"/>
    </row>
    <row r="250" spans="1:3" x14ac:dyDescent="0.2">
      <c r="A250" t="s">
        <v>2190</v>
      </c>
      <c r="B250" s="1497"/>
    </row>
    <row r="251" spans="1:3" x14ac:dyDescent="0.2">
      <c r="A251" t="s">
        <v>2191</v>
      </c>
      <c r="B251" s="1497"/>
    </row>
    <row r="252" spans="1:3" x14ac:dyDescent="0.2">
      <c r="A252" t="s">
        <v>2192</v>
      </c>
      <c r="B252" s="1497"/>
    </row>
    <row r="253" spans="1:3" x14ac:dyDescent="0.2">
      <c r="A253" s="1311" t="s">
        <v>200</v>
      </c>
      <c r="B253" s="1524" t="s">
        <v>1969</v>
      </c>
      <c r="C253" s="290">
        <v>1350</v>
      </c>
    </row>
    <row r="254" spans="1:3" x14ac:dyDescent="0.2">
      <c r="A254" t="s">
        <v>2193</v>
      </c>
      <c r="B254" s="1497"/>
    </row>
    <row r="255" spans="1:3" x14ac:dyDescent="0.2">
      <c r="A255" t="s">
        <v>2194</v>
      </c>
      <c r="B255" s="1497"/>
    </row>
    <row r="256" spans="1:3" x14ac:dyDescent="0.2">
      <c r="A256" s="1311" t="s">
        <v>313</v>
      </c>
      <c r="B256" s="1524" t="s">
        <v>1969</v>
      </c>
      <c r="C256" s="357" t="s">
        <v>775</v>
      </c>
    </row>
    <row r="257" spans="1:3" x14ac:dyDescent="0.2">
      <c r="A257" t="s">
        <v>2195</v>
      </c>
      <c r="B257" s="1497"/>
    </row>
    <row r="258" spans="1:3" x14ac:dyDescent="0.2">
      <c r="A258" t="s">
        <v>2196</v>
      </c>
      <c r="B258" s="1497"/>
    </row>
    <row r="259" spans="1:3" x14ac:dyDescent="0.2">
      <c r="A259" s="1311" t="s">
        <v>2197</v>
      </c>
      <c r="B259" s="1524" t="s">
        <v>1969</v>
      </c>
      <c r="C259" s="290">
        <v>1370</v>
      </c>
    </row>
    <row r="260" spans="1:3" x14ac:dyDescent="0.2">
      <c r="A260" t="s">
        <v>2198</v>
      </c>
      <c r="B260" s="1497"/>
    </row>
    <row r="261" spans="1:3" x14ac:dyDescent="0.2">
      <c r="A261" t="s">
        <v>2199</v>
      </c>
      <c r="B261" s="1497"/>
    </row>
    <row r="262" spans="1:3" x14ac:dyDescent="0.2">
      <c r="A262" t="s">
        <v>2200</v>
      </c>
      <c r="B262" s="1497"/>
    </row>
    <row r="263" spans="1:3" x14ac:dyDescent="0.2">
      <c r="A263" t="s">
        <v>2201</v>
      </c>
      <c r="B263" s="1497"/>
    </row>
    <row r="264" spans="1:3" x14ac:dyDescent="0.2">
      <c r="A264" s="1311" t="s">
        <v>646</v>
      </c>
      <c r="B264" s="1524" t="s">
        <v>1969</v>
      </c>
      <c r="C264" s="290">
        <v>1390</v>
      </c>
    </row>
    <row r="265" spans="1:3" x14ac:dyDescent="0.2">
      <c r="A265" t="s">
        <v>2202</v>
      </c>
      <c r="B265" s="1497"/>
    </row>
    <row r="266" spans="1:3" x14ac:dyDescent="0.2">
      <c r="A266" s="1311" t="s">
        <v>2203</v>
      </c>
      <c r="B266" s="1524" t="s">
        <v>1969</v>
      </c>
      <c r="C266" s="290">
        <v>1395</v>
      </c>
    </row>
    <row r="267" spans="1:3" x14ac:dyDescent="0.2">
      <c r="A267" s="272" t="s">
        <v>2204</v>
      </c>
      <c r="B267" s="1497" t="s">
        <v>2041</v>
      </c>
    </row>
    <row r="268" spans="1:3" x14ac:dyDescent="0.2">
      <c r="A268" s="1517" t="s">
        <v>4423</v>
      </c>
      <c r="B268" s="1524" t="s">
        <v>1969</v>
      </c>
      <c r="C268" s="290">
        <v>1434</v>
      </c>
    </row>
    <row r="269" spans="1:3" x14ac:dyDescent="0.2">
      <c r="A269" s="272" t="s">
        <v>4428</v>
      </c>
      <c r="B269" s="1497" t="s">
        <v>4427</v>
      </c>
    </row>
    <row r="270" spans="1:3" x14ac:dyDescent="0.2">
      <c r="A270" s="1311" t="s">
        <v>549</v>
      </c>
      <c r="B270" s="1524" t="s">
        <v>1969</v>
      </c>
      <c r="C270" s="290">
        <v>1400</v>
      </c>
    </row>
    <row r="271" spans="1:3" x14ac:dyDescent="0.2">
      <c r="A271" t="s">
        <v>2205</v>
      </c>
      <c r="B271" s="1497"/>
    </row>
    <row r="272" spans="1:3" x14ac:dyDescent="0.2">
      <c r="A272" t="s">
        <v>2206</v>
      </c>
      <c r="B272" s="1497"/>
    </row>
    <row r="273" spans="1:3" x14ac:dyDescent="0.2">
      <c r="A273" t="s">
        <v>2207</v>
      </c>
      <c r="B273" s="1497"/>
    </row>
    <row r="274" spans="1:3" x14ac:dyDescent="0.2">
      <c r="A274" t="s">
        <v>2208</v>
      </c>
      <c r="B274" s="1497"/>
    </row>
    <row r="275" spans="1:3" x14ac:dyDescent="0.2">
      <c r="A275" t="s">
        <v>2209</v>
      </c>
      <c r="B275" s="1497"/>
    </row>
    <row r="276" spans="1:3" x14ac:dyDescent="0.2">
      <c r="A276" t="s">
        <v>2210</v>
      </c>
      <c r="B276" s="1497"/>
    </row>
    <row r="277" spans="1:3" s="2663" customFormat="1" x14ac:dyDescent="0.2">
      <c r="A277" s="1311" t="s">
        <v>5373</v>
      </c>
      <c r="B277" s="1497"/>
      <c r="C277" s="2665"/>
    </row>
    <row r="278" spans="1:3" s="2663" customFormat="1" x14ac:dyDescent="0.2">
      <c r="A278" s="2664" t="s">
        <v>5724</v>
      </c>
      <c r="B278" s="2667" t="s">
        <v>5721</v>
      </c>
      <c r="C278" s="2665"/>
    </row>
    <row r="279" spans="1:3" x14ac:dyDescent="0.2">
      <c r="A279" s="1311" t="s">
        <v>2211</v>
      </c>
      <c r="B279" s="1524" t="s">
        <v>1969</v>
      </c>
      <c r="C279" s="290">
        <v>1415</v>
      </c>
    </row>
    <row r="280" spans="1:3" x14ac:dyDescent="0.2">
      <c r="A280" t="s">
        <v>2212</v>
      </c>
      <c r="B280" s="1497" t="s">
        <v>2101</v>
      </c>
    </row>
    <row r="281" spans="1:3" x14ac:dyDescent="0.2">
      <c r="A281" s="1311" t="s">
        <v>3740</v>
      </c>
      <c r="B281" s="1524" t="s">
        <v>3845</v>
      </c>
      <c r="C281" s="290">
        <v>1420</v>
      </c>
    </row>
    <row r="282" spans="1:3" x14ac:dyDescent="0.2">
      <c r="A282" t="s">
        <v>2213</v>
      </c>
      <c r="B282" s="1497"/>
    </row>
    <row r="283" spans="1:3" x14ac:dyDescent="0.2">
      <c r="A283" s="272" t="s">
        <v>3741</v>
      </c>
      <c r="B283" s="1497" t="s">
        <v>3742</v>
      </c>
    </row>
    <row r="284" spans="1:3" x14ac:dyDescent="0.2">
      <c r="A284" s="1311" t="s">
        <v>960</v>
      </c>
      <c r="B284" s="1524" t="s">
        <v>1969</v>
      </c>
      <c r="C284" s="357" t="s">
        <v>775</v>
      </c>
    </row>
    <row r="285" spans="1:3" x14ac:dyDescent="0.2">
      <c r="A285" t="s">
        <v>2215</v>
      </c>
      <c r="B285" s="1497"/>
    </row>
    <row r="286" spans="1:3" x14ac:dyDescent="0.2">
      <c r="A286" t="s">
        <v>2216</v>
      </c>
      <c r="B286" s="1497"/>
    </row>
    <row r="287" spans="1:3" x14ac:dyDescent="0.2">
      <c r="A287" t="s">
        <v>2217</v>
      </c>
      <c r="B287" s="1497"/>
    </row>
    <row r="288" spans="1:3" x14ac:dyDescent="0.2">
      <c r="A288" t="s">
        <v>2218</v>
      </c>
      <c r="B288" s="1497"/>
    </row>
    <row r="289" spans="1:3" x14ac:dyDescent="0.2">
      <c r="A289" t="s">
        <v>2219</v>
      </c>
      <c r="B289" s="1497"/>
    </row>
    <row r="290" spans="1:3" x14ac:dyDescent="0.2">
      <c r="A290" t="s">
        <v>2220</v>
      </c>
      <c r="B290" s="1497"/>
    </row>
    <row r="291" spans="1:3" x14ac:dyDescent="0.2">
      <c r="A291" t="s">
        <v>2221</v>
      </c>
      <c r="B291" s="1497"/>
    </row>
    <row r="292" spans="1:3" x14ac:dyDescent="0.2">
      <c r="A292" s="1311" t="s">
        <v>961</v>
      </c>
      <c r="B292" s="1524" t="s">
        <v>1969</v>
      </c>
      <c r="C292" s="357" t="s">
        <v>775</v>
      </c>
    </row>
    <row r="293" spans="1:3" x14ac:dyDescent="0.2">
      <c r="A293" t="s">
        <v>2222</v>
      </c>
      <c r="B293" s="1497"/>
    </row>
    <row r="294" spans="1:3" x14ac:dyDescent="0.2">
      <c r="A294" s="1517" t="s">
        <v>2137</v>
      </c>
      <c r="B294" s="1524" t="s">
        <v>1969</v>
      </c>
      <c r="C294" s="290">
        <v>1432</v>
      </c>
    </row>
    <row r="295" spans="1:3" x14ac:dyDescent="0.2">
      <c r="A295" s="272" t="s">
        <v>2223</v>
      </c>
      <c r="B295" s="1497" t="s">
        <v>2224</v>
      </c>
    </row>
    <row r="296" spans="1:3" x14ac:dyDescent="0.2">
      <c r="A296" s="272"/>
      <c r="B296" s="1497"/>
    </row>
    <row r="297" spans="1:3" x14ac:dyDescent="0.2">
      <c r="A297" s="272"/>
      <c r="B297" s="1497"/>
    </row>
    <row r="298" spans="1:3" x14ac:dyDescent="0.2">
      <c r="A298" s="1517" t="s">
        <v>4425</v>
      </c>
      <c r="B298" s="1524" t="s">
        <v>1969</v>
      </c>
      <c r="C298" s="290">
        <v>1433</v>
      </c>
    </row>
    <row r="299" spans="1:3" x14ac:dyDescent="0.2">
      <c r="A299" s="272" t="s">
        <v>4429</v>
      </c>
      <c r="B299" s="1497" t="s">
        <v>4430</v>
      </c>
    </row>
    <row r="300" spans="1:3" x14ac:dyDescent="0.2">
      <c r="A300" s="1311" t="s">
        <v>2225</v>
      </c>
      <c r="B300" s="1534"/>
    </row>
    <row r="301" spans="1:3" x14ac:dyDescent="0.2">
      <c r="A301" s="1311" t="s">
        <v>2226</v>
      </c>
      <c r="B301" s="1534"/>
    </row>
    <row r="302" spans="1:3" x14ac:dyDescent="0.2">
      <c r="A302" s="1311" t="s">
        <v>1053</v>
      </c>
      <c r="B302" s="1497"/>
    </row>
    <row r="303" spans="1:3" x14ac:dyDescent="0.2">
      <c r="A303" s="1311" t="s">
        <v>2227</v>
      </c>
      <c r="B303" s="1527" t="s">
        <v>1969</v>
      </c>
      <c r="C303" s="290">
        <v>1480</v>
      </c>
    </row>
    <row r="304" spans="1:3" x14ac:dyDescent="0.2">
      <c r="A304" t="s">
        <v>2228</v>
      </c>
      <c r="B304" s="1497"/>
    </row>
    <row r="305" spans="1:3" x14ac:dyDescent="0.2">
      <c r="A305" t="s">
        <v>2229</v>
      </c>
      <c r="B305" s="1497"/>
    </row>
    <row r="306" spans="1:3" x14ac:dyDescent="0.2">
      <c r="A306" s="1311" t="s">
        <v>2230</v>
      </c>
      <c r="B306" s="1527" t="s">
        <v>1969</v>
      </c>
      <c r="C306" s="290">
        <v>1490</v>
      </c>
    </row>
    <row r="307" spans="1:3" x14ac:dyDescent="0.2">
      <c r="A307" t="s">
        <v>2231</v>
      </c>
      <c r="B307" s="1497"/>
    </row>
    <row r="308" spans="1:3" x14ac:dyDescent="0.2">
      <c r="A308" s="1311" t="s">
        <v>2232</v>
      </c>
      <c r="B308" s="1527" t="s">
        <v>1969</v>
      </c>
      <c r="C308" s="290">
        <v>1500</v>
      </c>
    </row>
    <row r="309" spans="1:3" x14ac:dyDescent="0.2">
      <c r="A309" t="s">
        <v>2233</v>
      </c>
      <c r="B309" s="1497"/>
    </row>
    <row r="310" spans="1:3" x14ac:dyDescent="0.2">
      <c r="A310" s="1311" t="s">
        <v>2234</v>
      </c>
      <c r="B310" s="1527" t="s">
        <v>1969</v>
      </c>
      <c r="C310" s="290">
        <v>1503</v>
      </c>
    </row>
    <row r="311" spans="1:3" x14ac:dyDescent="0.2">
      <c r="A311" s="272" t="s">
        <v>2235</v>
      </c>
      <c r="B311" s="1497" t="s">
        <v>2224</v>
      </c>
    </row>
    <row r="312" spans="1:3" x14ac:dyDescent="0.2">
      <c r="A312" s="1311" t="s">
        <v>2236</v>
      </c>
      <c r="B312" s="1527" t="s">
        <v>1969</v>
      </c>
      <c r="C312" s="290">
        <v>1505</v>
      </c>
    </row>
    <row r="313" spans="1:3" x14ac:dyDescent="0.2">
      <c r="A313" s="272" t="s">
        <v>2237</v>
      </c>
      <c r="B313" s="1497" t="s">
        <v>2224</v>
      </c>
    </row>
    <row r="314" spans="1:3" x14ac:dyDescent="0.2">
      <c r="A314" s="1311" t="s">
        <v>2238</v>
      </c>
      <c r="B314" s="1527" t="s">
        <v>1969</v>
      </c>
      <c r="C314" s="290">
        <v>1506</v>
      </c>
    </row>
    <row r="315" spans="1:3" x14ac:dyDescent="0.2">
      <c r="A315" s="272" t="s">
        <v>2239</v>
      </c>
      <c r="B315" s="1497"/>
    </row>
    <row r="316" spans="1:3" x14ac:dyDescent="0.2">
      <c r="A316" s="1311" t="s">
        <v>2240</v>
      </c>
      <c r="B316" s="1497"/>
    </row>
    <row r="317" spans="1:3" x14ac:dyDescent="0.2">
      <c r="A317" s="1311" t="s">
        <v>617</v>
      </c>
      <c r="B317" s="1524" t="s">
        <v>1969</v>
      </c>
      <c r="C317" s="290">
        <v>1520</v>
      </c>
    </row>
    <row r="318" spans="1:3" x14ac:dyDescent="0.2">
      <c r="A318" t="s">
        <v>2241</v>
      </c>
      <c r="B318" s="1497"/>
    </row>
    <row r="319" spans="1:3" x14ac:dyDescent="0.2">
      <c r="A319" s="272" t="s">
        <v>2242</v>
      </c>
      <c r="B319" s="1497" t="s">
        <v>2243</v>
      </c>
    </row>
    <row r="320" spans="1:3" x14ac:dyDescent="0.2">
      <c r="A320" s="1311" t="s">
        <v>1411</v>
      </c>
      <c r="B320" s="1524" t="s">
        <v>1969</v>
      </c>
      <c r="C320" s="290">
        <v>1530</v>
      </c>
    </row>
    <row r="321" spans="1:3" x14ac:dyDescent="0.2">
      <c r="A321" t="s">
        <v>2244</v>
      </c>
      <c r="B321" s="1497"/>
    </row>
    <row r="322" spans="1:3" x14ac:dyDescent="0.2">
      <c r="A322" t="s">
        <v>2245</v>
      </c>
      <c r="B322" s="1497"/>
    </row>
    <row r="323" spans="1:3" x14ac:dyDescent="0.2">
      <c r="A323" t="s">
        <v>2246</v>
      </c>
      <c r="B323" s="1497"/>
    </row>
    <row r="324" spans="1:3" x14ac:dyDescent="0.2">
      <c r="A324" t="s">
        <v>2247</v>
      </c>
      <c r="B324" s="1497"/>
    </row>
    <row r="325" spans="1:3" x14ac:dyDescent="0.2">
      <c r="A325" s="1311" t="s">
        <v>2248</v>
      </c>
      <c r="B325" s="1524" t="s">
        <v>1969</v>
      </c>
      <c r="C325" s="290">
        <v>1540</v>
      </c>
    </row>
    <row r="326" spans="1:3" x14ac:dyDescent="0.2">
      <c r="A326" t="s">
        <v>2249</v>
      </c>
      <c r="B326" s="1497"/>
    </row>
    <row r="327" spans="1:3" x14ac:dyDescent="0.2">
      <c r="A327" s="1311" t="s">
        <v>2250</v>
      </c>
      <c r="B327" s="1524" t="s">
        <v>1969</v>
      </c>
      <c r="C327" s="290">
        <v>1550</v>
      </c>
    </row>
    <row r="328" spans="1:3" x14ac:dyDescent="0.2">
      <c r="A328" t="s">
        <v>2251</v>
      </c>
      <c r="B328" s="1497"/>
    </row>
    <row r="329" spans="1:3" x14ac:dyDescent="0.2">
      <c r="A329" t="s">
        <v>2252</v>
      </c>
      <c r="B329" s="1497"/>
    </row>
    <row r="330" spans="1:3" x14ac:dyDescent="0.2">
      <c r="A330" t="s">
        <v>2253</v>
      </c>
      <c r="B330" s="1497"/>
    </row>
    <row r="331" spans="1:3" x14ac:dyDescent="0.2">
      <c r="A331" t="s">
        <v>2254</v>
      </c>
      <c r="B331" s="1497"/>
    </row>
    <row r="332" spans="1:3" x14ac:dyDescent="0.2">
      <c r="A332" t="s">
        <v>2255</v>
      </c>
      <c r="B332" s="1497"/>
    </row>
    <row r="333" spans="1:3" x14ac:dyDescent="0.2">
      <c r="A333" t="s">
        <v>2256</v>
      </c>
      <c r="B333" s="1497"/>
    </row>
    <row r="334" spans="1:3" x14ac:dyDescent="0.2">
      <c r="A334" t="s">
        <v>2257</v>
      </c>
      <c r="B334" s="1497"/>
    </row>
    <row r="335" spans="1:3" x14ac:dyDescent="0.2">
      <c r="A335" t="s">
        <v>2258</v>
      </c>
      <c r="B335" s="1497"/>
    </row>
    <row r="336" spans="1:3" x14ac:dyDescent="0.2">
      <c r="A336" t="s">
        <v>2259</v>
      </c>
      <c r="B336" s="1497"/>
    </row>
    <row r="337" spans="1:3" x14ac:dyDescent="0.2">
      <c r="A337" t="s">
        <v>2260</v>
      </c>
      <c r="B337" s="1497"/>
    </row>
    <row r="338" spans="1:3" x14ac:dyDescent="0.2">
      <c r="A338" t="s">
        <v>2261</v>
      </c>
      <c r="B338" s="1497"/>
    </row>
    <row r="339" spans="1:3" x14ac:dyDescent="0.2">
      <c r="A339" s="1311" t="s">
        <v>1558</v>
      </c>
      <c r="B339" s="1524" t="s">
        <v>1969</v>
      </c>
      <c r="C339" s="357" t="s">
        <v>775</v>
      </c>
    </row>
    <row r="340" spans="1:3" x14ac:dyDescent="0.2">
      <c r="A340" t="s">
        <v>2262</v>
      </c>
      <c r="B340" s="1497"/>
    </row>
    <row r="341" spans="1:3" x14ac:dyDescent="0.2">
      <c r="A341" s="1311" t="s">
        <v>2263</v>
      </c>
      <c r="B341" s="1524" t="s">
        <v>1969</v>
      </c>
      <c r="C341" s="290">
        <v>1553</v>
      </c>
    </row>
    <row r="342" spans="1:3" x14ac:dyDescent="0.2">
      <c r="A342" t="s">
        <v>2264</v>
      </c>
      <c r="B342" s="1497"/>
    </row>
    <row r="343" spans="1:3" x14ac:dyDescent="0.2">
      <c r="A343" s="1311" t="s">
        <v>1413</v>
      </c>
      <c r="B343" s="1524" t="s">
        <v>1969</v>
      </c>
      <c r="C343" s="290">
        <v>1555</v>
      </c>
    </row>
    <row r="344" spans="1:3" x14ac:dyDescent="0.2">
      <c r="A344" t="s">
        <v>2265</v>
      </c>
      <c r="B344" s="1497"/>
    </row>
    <row r="345" spans="1:3" x14ac:dyDescent="0.2">
      <c r="A345" s="1311" t="s">
        <v>2266</v>
      </c>
      <c r="B345" s="1524" t="s">
        <v>1969</v>
      </c>
      <c r="C345" s="290">
        <v>1560</v>
      </c>
    </row>
    <row r="346" spans="1:3" x14ac:dyDescent="0.2">
      <c r="A346" t="s">
        <v>2267</v>
      </c>
      <c r="B346" s="1497"/>
    </row>
    <row r="347" spans="1:3" s="2663" customFormat="1" x14ac:dyDescent="0.2">
      <c r="A347" s="2672" t="s">
        <v>5733</v>
      </c>
      <c r="B347" s="2667"/>
      <c r="C347" s="2665"/>
    </row>
    <row r="348" spans="1:3" s="2663" customFormat="1" x14ac:dyDescent="0.2">
      <c r="A348" s="2666" t="s">
        <v>5725</v>
      </c>
      <c r="B348" s="2667" t="s">
        <v>5726</v>
      </c>
      <c r="C348" s="2665"/>
    </row>
    <row r="349" spans="1:3" s="2663" customFormat="1" x14ac:dyDescent="0.2">
      <c r="A349" s="2672" t="s">
        <v>5727</v>
      </c>
      <c r="B349" s="2667"/>
      <c r="C349" s="2665"/>
    </row>
    <row r="350" spans="1:3" s="2663" customFormat="1" x14ac:dyDescent="0.2">
      <c r="A350" s="2666" t="s">
        <v>5728</v>
      </c>
      <c r="B350" s="2667" t="s">
        <v>5726</v>
      </c>
      <c r="C350" s="2665"/>
    </row>
    <row r="351" spans="1:3" s="2663" customFormat="1" x14ac:dyDescent="0.2">
      <c r="A351" s="2672" t="s">
        <v>5729</v>
      </c>
      <c r="B351" s="2667"/>
      <c r="C351" s="2665"/>
    </row>
    <row r="352" spans="1:3" s="2663" customFormat="1" x14ac:dyDescent="0.2">
      <c r="A352" s="2666" t="s">
        <v>5730</v>
      </c>
      <c r="B352" s="2667" t="s">
        <v>5726</v>
      </c>
      <c r="C352" s="2665"/>
    </row>
    <row r="353" spans="1:3" s="2663" customFormat="1" x14ac:dyDescent="0.2">
      <c r="A353" s="2672" t="s">
        <v>5731</v>
      </c>
      <c r="B353" s="2667"/>
      <c r="C353" s="2665"/>
    </row>
    <row r="354" spans="1:3" s="2663" customFormat="1" x14ac:dyDescent="0.2">
      <c r="A354" s="2666" t="s">
        <v>5732</v>
      </c>
      <c r="B354" s="2667" t="s">
        <v>5726</v>
      </c>
      <c r="C354" s="2665"/>
    </row>
    <row r="355" spans="1:3" x14ac:dyDescent="0.2">
      <c r="A355" s="1311" t="s">
        <v>1539</v>
      </c>
      <c r="B355" s="1524" t="s">
        <v>2268</v>
      </c>
      <c r="C355" s="290">
        <v>1570</v>
      </c>
    </row>
    <row r="356" spans="1:3" x14ac:dyDescent="0.2">
      <c r="A356" t="s">
        <v>2269</v>
      </c>
      <c r="B356" s="1497"/>
    </row>
    <row r="357" spans="1:3" x14ac:dyDescent="0.2">
      <c r="A357" t="s">
        <v>2270</v>
      </c>
      <c r="B357" s="1497"/>
    </row>
    <row r="358" spans="1:3" x14ac:dyDescent="0.2">
      <c r="A358" s="272" t="s">
        <v>2271</v>
      </c>
      <c r="B358" s="1497" t="s">
        <v>2243</v>
      </c>
    </row>
    <row r="359" spans="1:3" x14ac:dyDescent="0.2">
      <c r="A359" t="s">
        <v>2272</v>
      </c>
      <c r="B359" s="1497"/>
    </row>
    <row r="360" spans="1:3" x14ac:dyDescent="0.2">
      <c r="A360" t="s">
        <v>2273</v>
      </c>
      <c r="B360" s="1497"/>
    </row>
    <row r="361" spans="1:3" x14ac:dyDescent="0.2">
      <c r="A361" t="s">
        <v>2274</v>
      </c>
      <c r="B361" s="1497"/>
    </row>
    <row r="362" spans="1:3" x14ac:dyDescent="0.2">
      <c r="A362" t="s">
        <v>2275</v>
      </c>
      <c r="B362" s="1497"/>
    </row>
    <row r="363" spans="1:3" x14ac:dyDescent="0.2">
      <c r="A363" t="s">
        <v>2276</v>
      </c>
      <c r="B363" s="1497"/>
    </row>
    <row r="364" spans="1:3" x14ac:dyDescent="0.2">
      <c r="A364" t="s">
        <v>2277</v>
      </c>
      <c r="B364" s="1497"/>
    </row>
    <row r="365" spans="1:3" x14ac:dyDescent="0.2">
      <c r="A365" t="s">
        <v>2278</v>
      </c>
      <c r="B365" s="1497"/>
    </row>
    <row r="366" spans="1:3" x14ac:dyDescent="0.2">
      <c r="A366" t="s">
        <v>2279</v>
      </c>
      <c r="B366" s="1497"/>
    </row>
    <row r="367" spans="1:3" x14ac:dyDescent="0.2">
      <c r="A367" s="272" t="s">
        <v>2280</v>
      </c>
      <c r="B367" s="1497"/>
    </row>
    <row r="368" spans="1:3" x14ac:dyDescent="0.2">
      <c r="A368" s="272" t="s">
        <v>2281</v>
      </c>
      <c r="B368" s="1497"/>
    </row>
    <row r="369" spans="1:3" x14ac:dyDescent="0.2">
      <c r="A369" s="272" t="s">
        <v>2282</v>
      </c>
      <c r="B369" s="1497"/>
    </row>
    <row r="370" spans="1:3" x14ac:dyDescent="0.2">
      <c r="A370" s="272" t="s">
        <v>2283</v>
      </c>
      <c r="B370" s="1497"/>
    </row>
    <row r="371" spans="1:3" x14ac:dyDescent="0.2">
      <c r="A371" s="272" t="s">
        <v>2284</v>
      </c>
      <c r="B371" s="1497"/>
    </row>
    <row r="372" spans="1:3" x14ac:dyDescent="0.2">
      <c r="A372" t="s">
        <v>2285</v>
      </c>
      <c r="B372" s="1497"/>
    </row>
    <row r="373" spans="1:3" x14ac:dyDescent="0.2">
      <c r="A373" s="272" t="s">
        <v>2286</v>
      </c>
      <c r="B373" s="1497"/>
    </row>
    <row r="374" spans="1:3" x14ac:dyDescent="0.2">
      <c r="A374" t="s">
        <v>2287</v>
      </c>
      <c r="B374" s="1497"/>
    </row>
    <row r="375" spans="1:3" x14ac:dyDescent="0.2">
      <c r="A375" s="272" t="s">
        <v>2288</v>
      </c>
      <c r="B375" s="1497"/>
    </row>
    <row r="376" spans="1:3" x14ac:dyDescent="0.2">
      <c r="A376" s="272" t="s">
        <v>2289</v>
      </c>
      <c r="B376" s="1497"/>
    </row>
    <row r="377" spans="1:3" x14ac:dyDescent="0.2">
      <c r="A377" s="272" t="s">
        <v>2290</v>
      </c>
      <c r="B377" s="1497"/>
    </row>
    <row r="378" spans="1:3" s="2663" customFormat="1" x14ac:dyDescent="0.2">
      <c r="A378" s="2666" t="s">
        <v>5734</v>
      </c>
      <c r="B378" s="2667" t="s">
        <v>5726</v>
      </c>
      <c r="C378" s="2665"/>
    </row>
    <row r="379" spans="1:3" s="2663" customFormat="1" x14ac:dyDescent="0.2">
      <c r="A379" s="2666" t="s">
        <v>5735</v>
      </c>
      <c r="B379" s="2667" t="s">
        <v>5726</v>
      </c>
      <c r="C379" s="2665"/>
    </row>
    <row r="380" spans="1:3" s="2663" customFormat="1" x14ac:dyDescent="0.2">
      <c r="A380" s="2666" t="s">
        <v>5736</v>
      </c>
      <c r="B380" s="2667" t="s">
        <v>5726</v>
      </c>
      <c r="C380" s="2665"/>
    </row>
    <row r="381" spans="1:3" s="2663" customFormat="1" x14ac:dyDescent="0.2">
      <c r="A381" s="2666" t="s">
        <v>5737</v>
      </c>
      <c r="B381" s="2667" t="s">
        <v>5726</v>
      </c>
      <c r="C381" s="2665"/>
    </row>
    <row r="382" spans="1:3" x14ac:dyDescent="0.2">
      <c r="A382" s="1311" t="s">
        <v>1056</v>
      </c>
      <c r="B382" s="1534"/>
    </row>
    <row r="383" spans="1:3" x14ac:dyDescent="0.2">
      <c r="A383" s="1311" t="s">
        <v>2291</v>
      </c>
      <c r="B383" s="1497"/>
    </row>
    <row r="384" spans="1:3" x14ac:dyDescent="0.2">
      <c r="A384" s="1517"/>
      <c r="B384" s="1497"/>
    </row>
    <row r="385" spans="1:3" ht="25.5" x14ac:dyDescent="0.2">
      <c r="A385" s="1518" t="s">
        <v>2292</v>
      </c>
      <c r="B385" s="1497" t="s">
        <v>2293</v>
      </c>
    </row>
    <row r="386" spans="1:3" x14ac:dyDescent="0.2">
      <c r="A386" s="1521" t="s">
        <v>2294</v>
      </c>
      <c r="B386" s="1524" t="s">
        <v>1969</v>
      </c>
      <c r="C386" s="290">
        <v>1234</v>
      </c>
    </row>
    <row r="387" spans="1:3" x14ac:dyDescent="0.2">
      <c r="A387" s="1457" t="s">
        <v>2295</v>
      </c>
      <c r="B387" s="1497" t="s">
        <v>2296</v>
      </c>
    </row>
    <row r="388" spans="1:3" x14ac:dyDescent="0.2">
      <c r="A388" s="1517" t="s">
        <v>3743</v>
      </c>
      <c r="B388" s="1524" t="s">
        <v>3744</v>
      </c>
      <c r="C388" s="290">
        <v>1236</v>
      </c>
    </row>
    <row r="389" spans="1:3" x14ac:dyDescent="0.2">
      <c r="A389" s="1457" t="s">
        <v>3745</v>
      </c>
      <c r="B389" s="1497" t="s">
        <v>3746</v>
      </c>
    </row>
    <row r="390" spans="1:3" x14ac:dyDescent="0.2">
      <c r="A390" s="1517" t="s">
        <v>3908</v>
      </c>
      <c r="B390" s="1524" t="s">
        <v>3744</v>
      </c>
      <c r="C390" s="357" t="s">
        <v>775</v>
      </c>
    </row>
    <row r="391" spans="1:3" x14ac:dyDescent="0.2">
      <c r="A391" s="1457" t="s">
        <v>3909</v>
      </c>
      <c r="B391" s="1497" t="s">
        <v>3746</v>
      </c>
    </row>
    <row r="392" spans="1:3" x14ac:dyDescent="0.2">
      <c r="A392" s="1517" t="s">
        <v>3931</v>
      </c>
      <c r="B392" s="1524" t="s">
        <v>3932</v>
      </c>
      <c r="C392" s="290">
        <v>1238</v>
      </c>
    </row>
    <row r="393" spans="1:3" x14ac:dyDescent="0.2">
      <c r="A393" s="1457" t="s">
        <v>3933</v>
      </c>
      <c r="B393" s="1497" t="s">
        <v>3934</v>
      </c>
    </row>
    <row r="394" spans="1:3" x14ac:dyDescent="0.2">
      <c r="A394" s="1517" t="s">
        <v>4610</v>
      </c>
      <c r="B394" s="1524" t="s">
        <v>4612</v>
      </c>
      <c r="C394" s="290">
        <v>1242</v>
      </c>
    </row>
    <row r="395" spans="1:3" x14ac:dyDescent="0.2">
      <c r="A395" s="1457" t="s">
        <v>4611</v>
      </c>
      <c r="B395" s="1497" t="s">
        <v>4618</v>
      </c>
    </row>
    <row r="396" spans="1:3" x14ac:dyDescent="0.2">
      <c r="A396" s="1517" t="s">
        <v>3937</v>
      </c>
      <c r="B396" s="1524" t="s">
        <v>3932</v>
      </c>
      <c r="C396" s="290">
        <v>1237</v>
      </c>
    </row>
    <row r="397" spans="1:3" x14ac:dyDescent="0.2">
      <c r="A397" s="1457" t="s">
        <v>3938</v>
      </c>
      <c r="B397" s="1497" t="s">
        <v>3934</v>
      </c>
    </row>
    <row r="398" spans="1:3" x14ac:dyDescent="0.2">
      <c r="A398" s="1517" t="s">
        <v>4431</v>
      </c>
      <c r="B398" s="1524" t="s">
        <v>4434</v>
      </c>
      <c r="C398" s="290">
        <v>1241</v>
      </c>
    </row>
    <row r="399" spans="1:3" x14ac:dyDescent="0.2">
      <c r="A399" s="1457" t="s">
        <v>4432</v>
      </c>
      <c r="B399" s="1497" t="s">
        <v>4433</v>
      </c>
    </row>
    <row r="400" spans="1:3" x14ac:dyDescent="0.2">
      <c r="A400" s="1517" t="s">
        <v>3747</v>
      </c>
      <c r="B400" s="1524" t="s">
        <v>3744</v>
      </c>
      <c r="C400" s="290">
        <v>1239</v>
      </c>
    </row>
    <row r="401" spans="1:3" x14ac:dyDescent="0.2">
      <c r="A401" s="1457" t="s">
        <v>3748</v>
      </c>
      <c r="B401" s="1497" t="s">
        <v>3746</v>
      </c>
    </row>
    <row r="402" spans="1:3" x14ac:dyDescent="0.2">
      <c r="A402" s="1311" t="s">
        <v>2297</v>
      </c>
      <c r="B402" s="1497"/>
    </row>
    <row r="403" spans="1:3" x14ac:dyDescent="0.2">
      <c r="A403" s="1311" t="s">
        <v>2298</v>
      </c>
      <c r="B403" s="1524" t="s">
        <v>2299</v>
      </c>
      <c r="C403" s="357" t="s">
        <v>775</v>
      </c>
    </row>
    <row r="404" spans="1:3" x14ac:dyDescent="0.2">
      <c r="B404" s="1497"/>
    </row>
    <row r="405" spans="1:3" x14ac:dyDescent="0.2">
      <c r="A405" s="1311" t="s">
        <v>2300</v>
      </c>
      <c r="B405" s="1524" t="s">
        <v>1969</v>
      </c>
      <c r="C405" s="357" t="s">
        <v>775</v>
      </c>
    </row>
    <row r="406" spans="1:3" x14ac:dyDescent="0.2">
      <c r="A406" t="s">
        <v>2301</v>
      </c>
      <c r="B406" s="1497" t="s">
        <v>2302</v>
      </c>
    </row>
    <row r="407" spans="1:3" x14ac:dyDescent="0.2">
      <c r="A407" t="s">
        <v>2303</v>
      </c>
      <c r="B407" s="1497" t="s">
        <v>2302</v>
      </c>
    </row>
    <row r="408" spans="1:3" x14ac:dyDescent="0.2">
      <c r="A408" t="s">
        <v>2304</v>
      </c>
      <c r="B408" s="1497" t="s">
        <v>2302</v>
      </c>
    </row>
    <row r="409" spans="1:3" x14ac:dyDescent="0.2">
      <c r="A409" t="s">
        <v>2305</v>
      </c>
      <c r="B409" s="1497" t="s">
        <v>2302</v>
      </c>
    </row>
    <row r="410" spans="1:3" x14ac:dyDescent="0.2">
      <c r="A410" t="s">
        <v>2306</v>
      </c>
      <c r="B410" s="1497" t="s">
        <v>2302</v>
      </c>
    </row>
    <row r="411" spans="1:3" x14ac:dyDescent="0.2">
      <c r="A411" t="s">
        <v>2307</v>
      </c>
      <c r="B411" s="1497" t="s">
        <v>2302</v>
      </c>
    </row>
    <row r="412" spans="1:3" x14ac:dyDescent="0.2">
      <c r="A412" t="s">
        <v>2308</v>
      </c>
      <c r="B412" s="1497" t="s">
        <v>2302</v>
      </c>
    </row>
    <row r="413" spans="1:3" x14ac:dyDescent="0.2">
      <c r="A413" t="s">
        <v>2309</v>
      </c>
      <c r="B413" s="1497" t="s">
        <v>2302</v>
      </c>
    </row>
    <row r="414" spans="1:3" x14ac:dyDescent="0.2">
      <c r="A414" t="s">
        <v>2310</v>
      </c>
      <c r="B414" s="1497" t="s">
        <v>2302</v>
      </c>
    </row>
    <row r="415" spans="1:3" x14ac:dyDescent="0.2">
      <c r="A415" s="1311" t="s">
        <v>2311</v>
      </c>
      <c r="B415" s="1524" t="s">
        <v>2312</v>
      </c>
      <c r="C415" s="357" t="s">
        <v>775</v>
      </c>
    </row>
    <row r="416" spans="1:3" x14ac:dyDescent="0.2">
      <c r="A416" t="s">
        <v>2313</v>
      </c>
      <c r="B416" s="1497"/>
    </row>
    <row r="417" spans="1:2" x14ac:dyDescent="0.2">
      <c r="A417" t="s">
        <v>2314</v>
      </c>
      <c r="B417" s="1497"/>
    </row>
    <row r="418" spans="1:2" x14ac:dyDescent="0.2">
      <c r="A418" t="s">
        <v>2315</v>
      </c>
      <c r="B418" s="1497" t="s">
        <v>2316</v>
      </c>
    </row>
    <row r="419" spans="1:2" x14ac:dyDescent="0.2">
      <c r="A419" t="s">
        <v>2317</v>
      </c>
      <c r="B419" s="1497"/>
    </row>
    <row r="420" spans="1:2" x14ac:dyDescent="0.2">
      <c r="A420" t="s">
        <v>2318</v>
      </c>
      <c r="B420" s="1497"/>
    </row>
    <row r="421" spans="1:2" x14ac:dyDescent="0.2">
      <c r="A421" t="s">
        <v>2319</v>
      </c>
      <c r="B421" s="1497"/>
    </row>
    <row r="422" spans="1:2" x14ac:dyDescent="0.2">
      <c r="A422" t="s">
        <v>2320</v>
      </c>
      <c r="B422" s="1497"/>
    </row>
    <row r="423" spans="1:2" x14ac:dyDescent="0.2">
      <c r="A423" t="s">
        <v>2321</v>
      </c>
      <c r="B423" s="1497"/>
    </row>
    <row r="424" spans="1:2" x14ac:dyDescent="0.2">
      <c r="A424" t="s">
        <v>2322</v>
      </c>
      <c r="B424" s="1497"/>
    </row>
    <row r="425" spans="1:2" x14ac:dyDescent="0.2">
      <c r="A425" t="s">
        <v>2323</v>
      </c>
      <c r="B425" s="1497"/>
    </row>
    <row r="426" spans="1:2" x14ac:dyDescent="0.2">
      <c r="A426" t="s">
        <v>2324</v>
      </c>
      <c r="B426" s="1497"/>
    </row>
    <row r="427" spans="1:2" x14ac:dyDescent="0.2">
      <c r="A427" t="s">
        <v>2325</v>
      </c>
      <c r="B427" s="1497"/>
    </row>
    <row r="428" spans="1:2" x14ac:dyDescent="0.2">
      <c r="A428" t="s">
        <v>2326</v>
      </c>
      <c r="B428" s="1497"/>
    </row>
    <row r="429" spans="1:2" x14ac:dyDescent="0.2">
      <c r="A429" t="s">
        <v>2327</v>
      </c>
      <c r="B429" s="1497"/>
    </row>
    <row r="430" spans="1:2" x14ac:dyDescent="0.2">
      <c r="A430" t="s">
        <v>2328</v>
      </c>
      <c r="B430" s="1497"/>
    </row>
    <row r="431" spans="1:2" x14ac:dyDescent="0.2">
      <c r="A431" t="s">
        <v>2329</v>
      </c>
      <c r="B431" s="1497"/>
    </row>
    <row r="432" spans="1:2" x14ac:dyDescent="0.2">
      <c r="A432" t="s">
        <v>2330</v>
      </c>
      <c r="B432" s="1497"/>
    </row>
    <row r="433" spans="1:2" x14ac:dyDescent="0.2">
      <c r="A433" t="s">
        <v>2331</v>
      </c>
      <c r="B433" s="1497"/>
    </row>
    <row r="434" spans="1:2" x14ac:dyDescent="0.2">
      <c r="A434" t="s">
        <v>2134</v>
      </c>
      <c r="B434" s="1497" t="s">
        <v>3749</v>
      </c>
    </row>
    <row r="435" spans="1:2" x14ac:dyDescent="0.2">
      <c r="A435" t="s">
        <v>2332</v>
      </c>
      <c r="B435" s="1497"/>
    </row>
    <row r="436" spans="1:2" ht="25.5" x14ac:dyDescent="0.2">
      <c r="A436" s="270" t="s">
        <v>2333</v>
      </c>
      <c r="B436" s="1497" t="s">
        <v>2334</v>
      </c>
    </row>
    <row r="437" spans="1:2" x14ac:dyDescent="0.2">
      <c r="A437" s="272" t="s">
        <v>3910</v>
      </c>
      <c r="B437" s="272" t="s">
        <v>3911</v>
      </c>
    </row>
    <row r="438" spans="1:2" x14ac:dyDescent="0.2">
      <c r="A438" t="s">
        <v>2335</v>
      </c>
      <c r="B438" s="1497"/>
    </row>
    <row r="439" spans="1:2" x14ac:dyDescent="0.2">
      <c r="A439" t="s">
        <v>2336</v>
      </c>
      <c r="B439" s="1497"/>
    </row>
    <row r="440" spans="1:2" x14ac:dyDescent="0.2">
      <c r="A440" t="s">
        <v>2337</v>
      </c>
      <c r="B440" s="1497"/>
    </row>
    <row r="441" spans="1:2" x14ac:dyDescent="0.2">
      <c r="A441" t="s">
        <v>2338</v>
      </c>
      <c r="B441" s="1497"/>
    </row>
    <row r="442" spans="1:2" x14ac:dyDescent="0.2">
      <c r="A442" t="s">
        <v>2339</v>
      </c>
      <c r="B442" s="1497"/>
    </row>
    <row r="443" spans="1:2" ht="25.5" x14ac:dyDescent="0.2">
      <c r="A443" s="267" t="s">
        <v>2340</v>
      </c>
      <c r="B443" s="1466" t="s">
        <v>2341</v>
      </c>
    </row>
    <row r="444" spans="1:2" x14ac:dyDescent="0.2">
      <c r="A444" t="s">
        <v>2342</v>
      </c>
      <c r="B444" s="1497"/>
    </row>
    <row r="445" spans="1:2" x14ac:dyDescent="0.2">
      <c r="A445" t="s">
        <v>2343</v>
      </c>
      <c r="B445" s="1497"/>
    </row>
    <row r="446" spans="1:2" x14ac:dyDescent="0.2">
      <c r="A446" t="s">
        <v>2344</v>
      </c>
      <c r="B446" s="1497"/>
    </row>
    <row r="447" spans="1:2" x14ac:dyDescent="0.2">
      <c r="A447" t="s">
        <v>2345</v>
      </c>
      <c r="B447" s="1497"/>
    </row>
    <row r="448" spans="1:2" x14ac:dyDescent="0.2">
      <c r="A448" t="s">
        <v>2346</v>
      </c>
      <c r="B448" s="1497"/>
    </row>
    <row r="449" spans="1:3" x14ac:dyDescent="0.2">
      <c r="A449" t="s">
        <v>2347</v>
      </c>
      <c r="B449" s="1497"/>
    </row>
    <row r="450" spans="1:3" x14ac:dyDescent="0.2">
      <c r="A450" t="s">
        <v>2348</v>
      </c>
      <c r="B450" s="1497"/>
    </row>
    <row r="451" spans="1:3" x14ac:dyDescent="0.2">
      <c r="A451" t="s">
        <v>2349</v>
      </c>
      <c r="B451" s="1497"/>
    </row>
    <row r="452" spans="1:3" x14ac:dyDescent="0.2">
      <c r="A452" t="s">
        <v>2350</v>
      </c>
      <c r="B452" s="1497"/>
    </row>
    <row r="453" spans="1:3" x14ac:dyDescent="0.2">
      <c r="A453" t="s">
        <v>2351</v>
      </c>
      <c r="B453" s="1497"/>
    </row>
    <row r="454" spans="1:3" x14ac:dyDescent="0.2">
      <c r="A454" t="s">
        <v>2352</v>
      </c>
      <c r="B454" s="1497"/>
    </row>
    <row r="455" spans="1:3" x14ac:dyDescent="0.2">
      <c r="A455" t="s">
        <v>2353</v>
      </c>
      <c r="B455" s="1497"/>
    </row>
    <row r="456" spans="1:3" x14ac:dyDescent="0.2">
      <c r="A456" t="s">
        <v>2214</v>
      </c>
      <c r="B456" s="1497" t="s">
        <v>3750</v>
      </c>
    </row>
    <row r="457" spans="1:3" x14ac:dyDescent="0.2">
      <c r="A457" t="s">
        <v>2354</v>
      </c>
      <c r="B457" s="1535" t="s">
        <v>2355</v>
      </c>
    </row>
    <row r="458" spans="1:3" x14ac:dyDescent="0.2">
      <c r="A458" s="1311" t="s">
        <v>2356</v>
      </c>
      <c r="B458" s="1524" t="s">
        <v>2357</v>
      </c>
      <c r="C458" s="357" t="s">
        <v>775</v>
      </c>
    </row>
    <row r="459" spans="1:3" x14ac:dyDescent="0.2">
      <c r="A459" t="s">
        <v>2358</v>
      </c>
      <c r="B459" s="1497"/>
    </row>
    <row r="460" spans="1:3" x14ac:dyDescent="0.2">
      <c r="A460" t="s">
        <v>2359</v>
      </c>
      <c r="B460" s="1497"/>
    </row>
    <row r="461" spans="1:3" x14ac:dyDescent="0.2">
      <c r="A461" t="s">
        <v>2360</v>
      </c>
      <c r="B461" s="1497"/>
    </row>
    <row r="462" spans="1:3" x14ac:dyDescent="0.2">
      <c r="A462" t="s">
        <v>2361</v>
      </c>
      <c r="B462" s="1497"/>
    </row>
    <row r="463" spans="1:3" x14ac:dyDescent="0.2">
      <c r="A463" t="s">
        <v>2362</v>
      </c>
      <c r="B463" s="1497"/>
    </row>
    <row r="464" spans="1:3" x14ac:dyDescent="0.2">
      <c r="A464" t="s">
        <v>2363</v>
      </c>
      <c r="B464" s="1497"/>
    </row>
    <row r="465" spans="1:3" x14ac:dyDescent="0.2">
      <c r="A465" t="s">
        <v>2364</v>
      </c>
      <c r="B465" s="1497"/>
    </row>
    <row r="466" spans="1:3" x14ac:dyDescent="0.2">
      <c r="A466" t="s">
        <v>2365</v>
      </c>
      <c r="B466" s="1497"/>
    </row>
    <row r="467" spans="1:3" x14ac:dyDescent="0.2">
      <c r="A467" s="1311" t="s">
        <v>2366</v>
      </c>
      <c r="B467" s="1497"/>
    </row>
    <row r="468" spans="1:3" x14ac:dyDescent="0.2">
      <c r="A468" s="1311" t="s">
        <v>274</v>
      </c>
      <c r="B468" s="1534"/>
    </row>
    <row r="469" spans="1:3" x14ac:dyDescent="0.2">
      <c r="A469" s="1311" t="s">
        <v>2367</v>
      </c>
      <c r="B469" s="1533"/>
    </row>
    <row r="470" spans="1:3" x14ac:dyDescent="0.2">
      <c r="A470" s="1311" t="s">
        <v>2368</v>
      </c>
      <c r="B470" s="1524" t="s">
        <v>1969</v>
      </c>
      <c r="C470" s="290">
        <v>1640</v>
      </c>
    </row>
    <row r="471" spans="1:3" x14ac:dyDescent="0.2">
      <c r="A471" t="s">
        <v>2369</v>
      </c>
      <c r="B471" s="1513"/>
    </row>
    <row r="472" spans="1:3" x14ac:dyDescent="0.2">
      <c r="A472" t="s">
        <v>2370</v>
      </c>
      <c r="B472" s="1497"/>
    </row>
    <row r="473" spans="1:3" x14ac:dyDescent="0.2">
      <c r="A473" s="272" t="s">
        <v>2371</v>
      </c>
      <c r="B473" s="1497" t="s">
        <v>2054</v>
      </c>
    </row>
    <row r="474" spans="1:3" x14ac:dyDescent="0.2">
      <c r="A474" s="1465" t="s">
        <v>2372</v>
      </c>
      <c r="B474" s="1497" t="s">
        <v>2054</v>
      </c>
    </row>
    <row r="475" spans="1:3" x14ac:dyDescent="0.2">
      <c r="A475" s="1526" t="s">
        <v>3751</v>
      </c>
      <c r="B475" s="1536"/>
    </row>
    <row r="476" spans="1:3" x14ac:dyDescent="0.2">
      <c r="A476" s="1465" t="s">
        <v>2373</v>
      </c>
      <c r="B476" s="1497"/>
    </row>
    <row r="477" spans="1:3" x14ac:dyDescent="0.2">
      <c r="A477" t="s">
        <v>2374</v>
      </c>
      <c r="B477" s="1497"/>
    </row>
    <row r="478" spans="1:3" x14ac:dyDescent="0.2">
      <c r="A478" t="s">
        <v>2376</v>
      </c>
      <c r="B478" s="1497"/>
    </row>
    <row r="479" spans="1:3" x14ac:dyDescent="0.2">
      <c r="A479" t="s">
        <v>2377</v>
      </c>
      <c r="B479" s="1497"/>
    </row>
    <row r="480" spans="1:3" x14ac:dyDescent="0.2">
      <c r="A480" t="s">
        <v>2378</v>
      </c>
      <c r="B480" s="1497"/>
    </row>
    <row r="481" spans="1:3" x14ac:dyDescent="0.2">
      <c r="A481" t="s">
        <v>2379</v>
      </c>
      <c r="B481" s="1497"/>
    </row>
    <row r="482" spans="1:3" x14ac:dyDescent="0.2">
      <c r="A482" t="s">
        <v>2380</v>
      </c>
      <c r="B482" s="1497"/>
    </row>
    <row r="483" spans="1:3" x14ac:dyDescent="0.2">
      <c r="A483" t="s">
        <v>2381</v>
      </c>
      <c r="B483" s="1497" t="s">
        <v>2382</v>
      </c>
    </row>
    <row r="484" spans="1:3" x14ac:dyDescent="0.2">
      <c r="A484" t="s">
        <v>2383</v>
      </c>
      <c r="B484" s="1522" t="s">
        <v>2384</v>
      </c>
    </row>
    <row r="485" spans="1:3" x14ac:dyDescent="0.2">
      <c r="A485" t="s">
        <v>2385</v>
      </c>
      <c r="B485" s="1497"/>
    </row>
    <row r="486" spans="1:3" x14ac:dyDescent="0.2">
      <c r="A486" t="s">
        <v>2386</v>
      </c>
      <c r="B486" s="1497"/>
    </row>
    <row r="487" spans="1:3" x14ac:dyDescent="0.2">
      <c r="A487" s="272" t="s">
        <v>2387</v>
      </c>
      <c r="B487" s="1497" t="s">
        <v>2388</v>
      </c>
    </row>
    <row r="488" spans="1:3" x14ac:dyDescent="0.2">
      <c r="A488" t="s">
        <v>2389</v>
      </c>
      <c r="B488" s="1497" t="s">
        <v>4946</v>
      </c>
    </row>
    <row r="489" spans="1:3" ht="12.75" customHeight="1" x14ac:dyDescent="0.2">
      <c r="A489" s="1311" t="s">
        <v>2390</v>
      </c>
      <c r="B489" s="1524" t="s">
        <v>1969</v>
      </c>
      <c r="C489" s="290">
        <v>1650</v>
      </c>
    </row>
    <row r="490" spans="1:3" x14ac:dyDescent="0.2">
      <c r="A490" t="s">
        <v>2391</v>
      </c>
      <c r="B490" s="1497"/>
    </row>
    <row r="491" spans="1:3" x14ac:dyDescent="0.2">
      <c r="A491" t="s">
        <v>2392</v>
      </c>
      <c r="B491" s="1497"/>
    </row>
    <row r="492" spans="1:3" x14ac:dyDescent="0.2">
      <c r="A492" s="1311" t="s">
        <v>2393</v>
      </c>
      <c r="B492" s="1524" t="s">
        <v>1969</v>
      </c>
      <c r="C492" s="290">
        <v>1660</v>
      </c>
    </row>
    <row r="493" spans="1:3" x14ac:dyDescent="0.2">
      <c r="A493" t="s">
        <v>2394</v>
      </c>
      <c r="B493" s="1497"/>
    </row>
    <row r="494" spans="1:3" x14ac:dyDescent="0.2">
      <c r="A494" t="s">
        <v>2395</v>
      </c>
      <c r="B494" s="1497"/>
    </row>
    <row r="495" spans="1:3" x14ac:dyDescent="0.2">
      <c r="A495" t="s">
        <v>2396</v>
      </c>
      <c r="B495" s="1497"/>
    </row>
    <row r="496" spans="1:3" x14ac:dyDescent="0.2">
      <c r="A496" s="272" t="s">
        <v>2397</v>
      </c>
      <c r="B496" s="1497" t="s">
        <v>2398</v>
      </c>
    </row>
    <row r="497" spans="1:3" x14ac:dyDescent="0.2">
      <c r="A497" t="s">
        <v>2399</v>
      </c>
      <c r="B497" s="1497"/>
    </row>
    <row r="498" spans="1:3" x14ac:dyDescent="0.2">
      <c r="A498" t="s">
        <v>2400</v>
      </c>
      <c r="B498" s="1497"/>
    </row>
    <row r="499" spans="1:3" x14ac:dyDescent="0.2">
      <c r="A499" t="s">
        <v>2401</v>
      </c>
      <c r="B499" s="1497"/>
    </row>
    <row r="500" spans="1:3" x14ac:dyDescent="0.2">
      <c r="A500" t="s">
        <v>2402</v>
      </c>
      <c r="B500" s="1497"/>
    </row>
    <row r="501" spans="1:3" x14ac:dyDescent="0.2">
      <c r="A501" s="1311" t="s">
        <v>2403</v>
      </c>
      <c r="B501" s="1524" t="s">
        <v>1969</v>
      </c>
      <c r="C501" s="357" t="s">
        <v>775</v>
      </c>
    </row>
    <row r="502" spans="1:3" x14ac:dyDescent="0.2">
      <c r="A502" t="s">
        <v>2404</v>
      </c>
      <c r="B502" s="1537"/>
    </row>
    <row r="503" spans="1:3" x14ac:dyDescent="0.2">
      <c r="A503" s="1311" t="s">
        <v>2405</v>
      </c>
      <c r="B503" s="1524" t="s">
        <v>1969</v>
      </c>
      <c r="C503" s="357" t="s">
        <v>775</v>
      </c>
    </row>
    <row r="504" spans="1:3" x14ac:dyDescent="0.2">
      <c r="A504" t="s">
        <v>2406</v>
      </c>
      <c r="B504" s="1497"/>
    </row>
    <row r="505" spans="1:3" x14ac:dyDescent="0.2">
      <c r="A505" s="1311" t="s">
        <v>2407</v>
      </c>
      <c r="B505" s="1524" t="s">
        <v>1969</v>
      </c>
      <c r="C505" s="290">
        <v>1670</v>
      </c>
    </row>
    <row r="506" spans="1:3" x14ac:dyDescent="0.2">
      <c r="A506" t="s">
        <v>2408</v>
      </c>
      <c r="B506" s="1497"/>
    </row>
    <row r="507" spans="1:3" x14ac:dyDescent="0.2">
      <c r="A507" s="1515" t="s">
        <v>2409</v>
      </c>
      <c r="B507" s="1497"/>
    </row>
    <row r="508" spans="1:3" x14ac:dyDescent="0.2">
      <c r="A508" s="1311" t="s">
        <v>2410</v>
      </c>
      <c r="B508" s="1524" t="s">
        <v>1969</v>
      </c>
      <c r="C508" s="357" t="s">
        <v>775</v>
      </c>
    </row>
    <row r="509" spans="1:3" x14ac:dyDescent="0.2">
      <c r="A509" s="1512" t="s">
        <v>2411</v>
      </c>
      <c r="B509" s="1497"/>
    </row>
    <row r="510" spans="1:3" x14ac:dyDescent="0.2">
      <c r="A510" s="1311" t="s">
        <v>2412</v>
      </c>
      <c r="B510" s="1524" t="s">
        <v>1969</v>
      </c>
      <c r="C510" s="357" t="s">
        <v>775</v>
      </c>
    </row>
    <row r="511" spans="1:3" x14ac:dyDescent="0.2">
      <c r="A511" t="s">
        <v>2413</v>
      </c>
      <c r="B511" s="1497"/>
    </row>
    <row r="512" spans="1:3" x14ac:dyDescent="0.2">
      <c r="A512" t="s">
        <v>2414</v>
      </c>
      <c r="B512" s="1497"/>
    </row>
    <row r="513" spans="1:3" x14ac:dyDescent="0.2">
      <c r="A513" t="s">
        <v>2415</v>
      </c>
      <c r="B513" s="1497"/>
    </row>
    <row r="514" spans="1:3" x14ac:dyDescent="0.2">
      <c r="A514" t="s">
        <v>2416</v>
      </c>
      <c r="B514" s="1497"/>
    </row>
    <row r="515" spans="1:3" x14ac:dyDescent="0.2">
      <c r="A515" t="s">
        <v>2417</v>
      </c>
      <c r="B515" s="1497"/>
    </row>
    <row r="516" spans="1:3" x14ac:dyDescent="0.2">
      <c r="A516" t="s">
        <v>2418</v>
      </c>
      <c r="B516" s="1497"/>
    </row>
    <row r="517" spans="1:3" x14ac:dyDescent="0.2">
      <c r="A517" s="1311" t="s">
        <v>2419</v>
      </c>
      <c r="B517" s="1524" t="s">
        <v>1969</v>
      </c>
      <c r="C517" s="357" t="s">
        <v>775</v>
      </c>
    </row>
    <row r="518" spans="1:3" x14ac:dyDescent="0.2">
      <c r="A518" t="s">
        <v>2420</v>
      </c>
      <c r="B518" s="1497"/>
    </row>
    <row r="519" spans="1:3" x14ac:dyDescent="0.2">
      <c r="A519" t="s">
        <v>2421</v>
      </c>
      <c r="B519" s="1497"/>
    </row>
    <row r="520" spans="1:3" x14ac:dyDescent="0.2">
      <c r="A520" t="s">
        <v>2422</v>
      </c>
      <c r="B520" s="1497"/>
    </row>
    <row r="521" spans="1:3" x14ac:dyDescent="0.2">
      <c r="A521" t="s">
        <v>2423</v>
      </c>
      <c r="B521" s="1497"/>
    </row>
    <row r="522" spans="1:3" x14ac:dyDescent="0.2">
      <c r="A522" t="s">
        <v>2424</v>
      </c>
      <c r="B522" s="1497"/>
    </row>
    <row r="523" spans="1:3" x14ac:dyDescent="0.2">
      <c r="A523" t="s">
        <v>2425</v>
      </c>
      <c r="B523" s="1497"/>
    </row>
    <row r="524" spans="1:3" x14ac:dyDescent="0.2">
      <c r="A524" t="s">
        <v>2426</v>
      </c>
      <c r="B524" s="1497"/>
    </row>
    <row r="525" spans="1:3" x14ac:dyDescent="0.2">
      <c r="A525" t="s">
        <v>2427</v>
      </c>
      <c r="B525" s="1497"/>
    </row>
    <row r="526" spans="1:3" x14ac:dyDescent="0.2">
      <c r="A526" t="s">
        <v>2428</v>
      </c>
      <c r="B526" s="1497"/>
    </row>
    <row r="527" spans="1:3" x14ac:dyDescent="0.2">
      <c r="A527" t="s">
        <v>2429</v>
      </c>
      <c r="B527" s="1497"/>
    </row>
    <row r="528" spans="1:3" x14ac:dyDescent="0.2">
      <c r="A528" t="s">
        <v>2430</v>
      </c>
      <c r="B528" s="1497"/>
    </row>
    <row r="529" spans="1:4" x14ac:dyDescent="0.2">
      <c r="A529" t="s">
        <v>2431</v>
      </c>
      <c r="B529" s="1497"/>
    </row>
    <row r="530" spans="1:4" x14ac:dyDescent="0.2">
      <c r="A530" s="1311" t="s">
        <v>2432</v>
      </c>
      <c r="B530" s="1524" t="s">
        <v>1969</v>
      </c>
      <c r="C530" s="290">
        <v>1730</v>
      </c>
    </row>
    <row r="531" spans="1:4" x14ac:dyDescent="0.2">
      <c r="A531" t="s">
        <v>2433</v>
      </c>
      <c r="B531" s="1497" t="s">
        <v>2434</v>
      </c>
    </row>
    <row r="532" spans="1:4" x14ac:dyDescent="0.2">
      <c r="A532" s="1311" t="s">
        <v>1543</v>
      </c>
      <c r="B532" s="1524" t="s">
        <v>1969</v>
      </c>
      <c r="C532" s="290">
        <v>1735</v>
      </c>
    </row>
    <row r="533" spans="1:4" x14ac:dyDescent="0.2">
      <c r="A533" t="s">
        <v>2435</v>
      </c>
      <c r="B533" s="1497" t="s">
        <v>2101</v>
      </c>
    </row>
    <row r="534" spans="1:4" x14ac:dyDescent="0.2">
      <c r="A534" s="1311" t="s">
        <v>699</v>
      </c>
      <c r="B534" s="1524" t="s">
        <v>1969</v>
      </c>
      <c r="C534" s="290">
        <v>1740</v>
      </c>
    </row>
    <row r="535" spans="1:4" x14ac:dyDescent="0.2">
      <c r="A535" t="s">
        <v>2436</v>
      </c>
      <c r="B535" s="1497"/>
    </row>
    <row r="536" spans="1:4" x14ac:dyDescent="0.2">
      <c r="A536" s="1311" t="s">
        <v>2437</v>
      </c>
      <c r="B536" s="1524" t="s">
        <v>1969</v>
      </c>
      <c r="C536" s="290">
        <v>1750</v>
      </c>
    </row>
    <row r="537" spans="1:4" x14ac:dyDescent="0.2">
      <c r="A537" t="s">
        <v>2438</v>
      </c>
      <c r="B537" s="1497"/>
    </row>
    <row r="538" spans="1:4" x14ac:dyDescent="0.2">
      <c r="A538" s="1311" t="s">
        <v>2439</v>
      </c>
      <c r="B538" s="1524" t="s">
        <v>1969</v>
      </c>
      <c r="C538" s="290">
        <v>1760</v>
      </c>
    </row>
    <row r="539" spans="1:4" x14ac:dyDescent="0.2">
      <c r="A539" t="s">
        <v>2440</v>
      </c>
      <c r="B539" s="1497"/>
    </row>
    <row r="540" spans="1:4" x14ac:dyDescent="0.2">
      <c r="A540" s="1517" t="s">
        <v>1347</v>
      </c>
      <c r="B540" s="1524" t="s">
        <v>1969</v>
      </c>
      <c r="C540" s="290">
        <v>1762</v>
      </c>
    </row>
    <row r="541" spans="1:4" x14ac:dyDescent="0.2">
      <c r="A541" s="272" t="s">
        <v>2441</v>
      </c>
      <c r="B541" s="1497" t="s">
        <v>2388</v>
      </c>
    </row>
    <row r="542" spans="1:4" x14ac:dyDescent="0.2">
      <c r="A542" s="1311" t="s">
        <v>4732</v>
      </c>
      <c r="B542" s="1527" t="s">
        <v>1969</v>
      </c>
      <c r="C542" s="290">
        <v>1770</v>
      </c>
    </row>
    <row r="543" spans="1:4" ht="22.5" x14ac:dyDescent="0.2">
      <c r="A543" s="267" t="s">
        <v>4726</v>
      </c>
      <c r="B543" s="1519" t="s">
        <v>4943</v>
      </c>
      <c r="D543" s="2204" t="s">
        <v>4727</v>
      </c>
    </row>
    <row r="544" spans="1:4" x14ac:dyDescent="0.2">
      <c r="A544" s="1311" t="s">
        <v>5738</v>
      </c>
      <c r="B544" s="1527" t="s">
        <v>1969</v>
      </c>
      <c r="C544" s="290">
        <v>1780</v>
      </c>
    </row>
    <row r="545" spans="1:4" ht="22.5" x14ac:dyDescent="0.2">
      <c r="A545" s="2090" t="s">
        <v>5741</v>
      </c>
      <c r="B545" s="1519" t="s">
        <v>4943</v>
      </c>
      <c r="D545" s="1610" t="s">
        <v>5739</v>
      </c>
    </row>
    <row r="546" spans="1:4" x14ac:dyDescent="0.2">
      <c r="A546" s="1311" t="s">
        <v>2442</v>
      </c>
      <c r="B546" s="1524" t="s">
        <v>1969</v>
      </c>
      <c r="C546" s="357" t="s">
        <v>775</v>
      </c>
    </row>
    <row r="547" spans="1:4" x14ac:dyDescent="0.2">
      <c r="A547" s="1512" t="s">
        <v>2443</v>
      </c>
      <c r="B547" s="1497"/>
    </row>
    <row r="548" spans="1:4" x14ac:dyDescent="0.2">
      <c r="A548" s="1514" t="s">
        <v>2444</v>
      </c>
      <c r="B548" s="1524" t="s">
        <v>1969</v>
      </c>
      <c r="C548" s="290">
        <v>1865</v>
      </c>
    </row>
    <row r="549" spans="1:4" ht="22.5" x14ac:dyDescent="0.2">
      <c r="A549" s="1512" t="s">
        <v>2445</v>
      </c>
      <c r="B549" s="1519" t="s">
        <v>4943</v>
      </c>
    </row>
    <row r="550" spans="1:4" x14ac:dyDescent="0.2">
      <c r="A550" s="1311" t="s">
        <v>2446</v>
      </c>
      <c r="B550" s="1524" t="s">
        <v>1969</v>
      </c>
      <c r="C550" s="290">
        <v>1788</v>
      </c>
    </row>
    <row r="551" spans="1:4" x14ac:dyDescent="0.2">
      <c r="A551" t="s">
        <v>2447</v>
      </c>
      <c r="B551" s="1497" t="s">
        <v>2181</v>
      </c>
    </row>
    <row r="552" spans="1:4" x14ac:dyDescent="0.2">
      <c r="A552" s="1311" t="s">
        <v>1541</v>
      </c>
      <c r="B552" s="1524" t="s">
        <v>1969</v>
      </c>
      <c r="C552" s="290">
        <v>1785</v>
      </c>
    </row>
    <row r="553" spans="1:4" s="267" customFormat="1" ht="15" customHeight="1" x14ac:dyDescent="0.2">
      <c r="A553" t="s">
        <v>2448</v>
      </c>
      <c r="B553" s="1497" t="s">
        <v>2181</v>
      </c>
      <c r="C553" s="1690"/>
    </row>
    <row r="554" spans="1:4" x14ac:dyDescent="0.2">
      <c r="A554" s="1311" t="s">
        <v>1542</v>
      </c>
      <c r="B554" s="1524" t="s">
        <v>1969</v>
      </c>
      <c r="C554" s="290">
        <v>1787</v>
      </c>
    </row>
    <row r="555" spans="1:4" x14ac:dyDescent="0.2">
      <c r="A555" t="s">
        <v>2449</v>
      </c>
      <c r="B555" s="1497" t="s">
        <v>2181</v>
      </c>
    </row>
    <row r="556" spans="1:4" ht="25.5" x14ac:dyDescent="0.2">
      <c r="A556" s="1518" t="s">
        <v>2450</v>
      </c>
      <c r="B556" s="1520" t="s">
        <v>4944</v>
      </c>
      <c r="C556" s="290">
        <v>1800</v>
      </c>
    </row>
    <row r="557" spans="1:4" x14ac:dyDescent="0.2">
      <c r="A557" s="1529" t="s">
        <v>2451</v>
      </c>
      <c r="B557" s="1497"/>
    </row>
    <row r="558" spans="1:4" ht="25.5" x14ac:dyDescent="0.2">
      <c r="A558" s="1530" t="s">
        <v>3752</v>
      </c>
      <c r="B558" s="1466" t="s">
        <v>2546</v>
      </c>
    </row>
    <row r="559" spans="1:4" s="2089" customFormat="1" x14ac:dyDescent="0.2">
      <c r="A559" s="2103" t="s">
        <v>4729</v>
      </c>
      <c r="B559" s="1466" t="s">
        <v>4730</v>
      </c>
      <c r="C559" s="2091"/>
    </row>
    <row r="560" spans="1:4" x14ac:dyDescent="0.2">
      <c r="A560" s="1531" t="s">
        <v>2452</v>
      </c>
      <c r="B560" s="1497" t="s">
        <v>2453</v>
      </c>
    </row>
    <row r="561" spans="1:3" x14ac:dyDescent="0.2">
      <c r="A561" s="1531" t="s">
        <v>3979</v>
      </c>
      <c r="B561" s="1497" t="s">
        <v>3940</v>
      </c>
    </row>
    <row r="562" spans="1:3" x14ac:dyDescent="0.2">
      <c r="A562" s="1311" t="s">
        <v>278</v>
      </c>
      <c r="B562" s="1497"/>
      <c r="C562" s="290">
        <v>1840</v>
      </c>
    </row>
    <row r="563" spans="1:3" x14ac:dyDescent="0.2">
      <c r="A563" s="1311" t="s">
        <v>2454</v>
      </c>
      <c r="B563" s="1524" t="s">
        <v>1969</v>
      </c>
    </row>
    <row r="564" spans="1:3" x14ac:dyDescent="0.2">
      <c r="A564" t="s">
        <v>2455</v>
      </c>
      <c r="B564" s="1497"/>
    </row>
    <row r="565" spans="1:3" x14ac:dyDescent="0.2">
      <c r="A565" s="1311" t="s">
        <v>2456</v>
      </c>
      <c r="B565" s="1524" t="s">
        <v>1969</v>
      </c>
      <c r="C565" s="357" t="s">
        <v>775</v>
      </c>
    </row>
    <row r="566" spans="1:3" x14ac:dyDescent="0.2">
      <c r="A566" t="s">
        <v>2457</v>
      </c>
      <c r="B566" s="1497"/>
    </row>
    <row r="567" spans="1:3" x14ac:dyDescent="0.2">
      <c r="A567" s="1311" t="s">
        <v>739</v>
      </c>
      <c r="B567" s="1524" t="s">
        <v>1969</v>
      </c>
      <c r="C567" s="290">
        <v>1870</v>
      </c>
    </row>
    <row r="568" spans="1:3" x14ac:dyDescent="0.2">
      <c r="A568" s="1516" t="s">
        <v>2458</v>
      </c>
      <c r="B568" s="1497"/>
    </row>
    <row r="569" spans="1:3" x14ac:dyDescent="0.2">
      <c r="A569" t="s">
        <v>2459</v>
      </c>
      <c r="B569" s="1497"/>
    </row>
    <row r="570" spans="1:3" x14ac:dyDescent="0.2">
      <c r="A570" t="s">
        <v>2460</v>
      </c>
      <c r="B570" s="1497"/>
    </row>
    <row r="571" spans="1:3" x14ac:dyDescent="0.2">
      <c r="A571" t="s">
        <v>2461</v>
      </c>
      <c r="B571" s="1497"/>
    </row>
    <row r="572" spans="1:3" x14ac:dyDescent="0.2">
      <c r="A572" t="s">
        <v>2462</v>
      </c>
      <c r="B572" s="1497"/>
    </row>
    <row r="573" spans="1:3" x14ac:dyDescent="0.2">
      <c r="A573" s="1515" t="s">
        <v>2463</v>
      </c>
      <c r="B573" s="1497"/>
    </row>
    <row r="574" spans="1:3" x14ac:dyDescent="0.2">
      <c r="A574" s="1311" t="s">
        <v>701</v>
      </c>
      <c r="B574" s="1524" t="s">
        <v>1969</v>
      </c>
      <c r="C574" s="290">
        <v>1880</v>
      </c>
    </row>
    <row r="575" spans="1:3" x14ac:dyDescent="0.2">
      <c r="A575" s="1512" t="s">
        <v>2464</v>
      </c>
      <c r="B575" s="1497"/>
    </row>
    <row r="576" spans="1:3" x14ac:dyDescent="0.2">
      <c r="A576" s="1311" t="s">
        <v>2465</v>
      </c>
      <c r="B576" s="1524" t="s">
        <v>2466</v>
      </c>
      <c r="C576" s="290">
        <v>1850</v>
      </c>
    </row>
    <row r="577" spans="1:3" ht="22.5" x14ac:dyDescent="0.2">
      <c r="A577" s="267" t="s">
        <v>2467</v>
      </c>
      <c r="B577" s="1519" t="s">
        <v>4943</v>
      </c>
    </row>
    <row r="578" spans="1:3" x14ac:dyDescent="0.2">
      <c r="A578" s="1311" t="s">
        <v>3808</v>
      </c>
      <c r="B578" s="1524" t="s">
        <v>3846</v>
      </c>
      <c r="C578" s="290">
        <v>1851</v>
      </c>
    </row>
    <row r="579" spans="1:3" ht="33.75" x14ac:dyDescent="0.2">
      <c r="A579" s="267" t="s">
        <v>2375</v>
      </c>
      <c r="B579" s="1519" t="s">
        <v>4945</v>
      </c>
    </row>
    <row r="580" spans="1:3" x14ac:dyDescent="0.2">
      <c r="A580" s="1311" t="s">
        <v>2468</v>
      </c>
      <c r="B580" s="1524" t="s">
        <v>1969</v>
      </c>
      <c r="C580" s="290">
        <v>1786</v>
      </c>
    </row>
    <row r="581" spans="1:3" ht="22.5" x14ac:dyDescent="0.2">
      <c r="A581" s="267" t="s">
        <v>2469</v>
      </c>
      <c r="B581" s="1519" t="s">
        <v>4943</v>
      </c>
    </row>
    <row r="582" spans="1:3" x14ac:dyDescent="0.2">
      <c r="A582" s="1517" t="s">
        <v>2470</v>
      </c>
      <c r="B582" s="1524" t="s">
        <v>1969</v>
      </c>
      <c r="C582" s="357" t="s">
        <v>775</v>
      </c>
    </row>
    <row r="583" spans="1:3" x14ac:dyDescent="0.2">
      <c r="A583" s="1459" t="s">
        <v>3807</v>
      </c>
      <c r="B583" s="1497" t="s">
        <v>2471</v>
      </c>
    </row>
    <row r="584" spans="1:3" x14ac:dyDescent="0.2">
      <c r="A584" t="s">
        <v>2472</v>
      </c>
      <c r="B584" s="1497"/>
    </row>
    <row r="585" spans="1:3" x14ac:dyDescent="0.2">
      <c r="A585" s="1311" t="s">
        <v>2473</v>
      </c>
      <c r="B585" s="1524" t="s">
        <v>1969</v>
      </c>
      <c r="C585" s="290">
        <v>1855</v>
      </c>
    </row>
    <row r="586" spans="1:3" ht="22.5" x14ac:dyDescent="0.2">
      <c r="A586" s="270" t="s">
        <v>2474</v>
      </c>
      <c r="B586" s="1519" t="s">
        <v>4943</v>
      </c>
    </row>
    <row r="587" spans="1:3" x14ac:dyDescent="0.2">
      <c r="B587" s="1497" t="s">
        <v>2475</v>
      </c>
    </row>
    <row r="588" spans="1:3" x14ac:dyDescent="0.2">
      <c r="A588" s="1311" t="s">
        <v>4613</v>
      </c>
      <c r="B588" s="1524" t="s">
        <v>1969</v>
      </c>
      <c r="C588" s="290">
        <v>1857</v>
      </c>
    </row>
    <row r="589" spans="1:3" ht="22.5" x14ac:dyDescent="0.2">
      <c r="A589" s="270" t="s">
        <v>4614</v>
      </c>
      <c r="B589" s="1519" t="s">
        <v>4943</v>
      </c>
    </row>
    <row r="590" spans="1:3" x14ac:dyDescent="0.2">
      <c r="A590" s="270"/>
      <c r="B590" s="1519" t="s">
        <v>4615</v>
      </c>
    </row>
    <row r="591" spans="1:3" x14ac:dyDescent="0.2">
      <c r="A591" s="1311" t="s">
        <v>2476</v>
      </c>
      <c r="B591" s="1524" t="s">
        <v>1969</v>
      </c>
      <c r="C591" s="290">
        <v>1860</v>
      </c>
    </row>
    <row r="592" spans="1:3" ht="22.5" x14ac:dyDescent="0.2">
      <c r="A592" s="270" t="s">
        <v>2477</v>
      </c>
      <c r="B592" s="1519" t="s">
        <v>4943</v>
      </c>
    </row>
    <row r="593" spans="1:3" ht="25.5" x14ac:dyDescent="0.2">
      <c r="A593" s="1311" t="s">
        <v>569</v>
      </c>
      <c r="B593" s="1524" t="s">
        <v>2478</v>
      </c>
      <c r="C593" s="290">
        <v>1890</v>
      </c>
    </row>
    <row r="594" spans="1:3" x14ac:dyDescent="0.2">
      <c r="A594" s="272" t="s">
        <v>3753</v>
      </c>
      <c r="B594" s="1497"/>
    </row>
    <row r="595" spans="1:3" x14ac:dyDescent="0.2">
      <c r="A595" t="s">
        <v>2479</v>
      </c>
      <c r="B595" s="1497"/>
    </row>
    <row r="596" spans="1:3" x14ac:dyDescent="0.2">
      <c r="A596" s="1517" t="s">
        <v>4435</v>
      </c>
      <c r="B596" s="1524" t="s">
        <v>1969</v>
      </c>
      <c r="C596" s="290">
        <v>1869</v>
      </c>
    </row>
    <row r="597" spans="1:3" x14ac:dyDescent="0.2">
      <c r="A597" s="272" t="s">
        <v>4436</v>
      </c>
      <c r="B597" s="1497" t="s">
        <v>4427</v>
      </c>
    </row>
    <row r="598" spans="1:3" x14ac:dyDescent="0.2">
      <c r="A598" s="2" t="s">
        <v>787</v>
      </c>
      <c r="B598" s="1497"/>
    </row>
    <row r="599" spans="1:3" x14ac:dyDescent="0.2">
      <c r="A599" s="1311" t="s">
        <v>788</v>
      </c>
      <c r="B599" s="1497"/>
    </row>
    <row r="600" spans="1:3" x14ac:dyDescent="0.2">
      <c r="A600" s="1311" t="s">
        <v>2367</v>
      </c>
      <c r="B600" s="1497"/>
    </row>
    <row r="601" spans="1:3" x14ac:dyDescent="0.2">
      <c r="A601" s="1311" t="s">
        <v>2368</v>
      </c>
      <c r="B601" s="1524" t="s">
        <v>1969</v>
      </c>
      <c r="C601" s="290">
        <v>1940</v>
      </c>
    </row>
    <row r="602" spans="1:3" x14ac:dyDescent="0.2">
      <c r="A602" t="s">
        <v>2481</v>
      </c>
      <c r="B602" s="1497"/>
    </row>
    <row r="603" spans="1:3" x14ac:dyDescent="0.2">
      <c r="A603" t="s">
        <v>2482</v>
      </c>
      <c r="B603" s="1497"/>
    </row>
    <row r="604" spans="1:3" x14ac:dyDescent="0.2">
      <c r="A604" t="s">
        <v>2483</v>
      </c>
      <c r="B604" s="1497"/>
    </row>
    <row r="605" spans="1:3" x14ac:dyDescent="0.2">
      <c r="A605" t="s">
        <v>2484</v>
      </c>
      <c r="B605" s="1497" t="s">
        <v>4946</v>
      </c>
    </row>
    <row r="606" spans="1:3" x14ac:dyDescent="0.2">
      <c r="A606" t="s">
        <v>2485</v>
      </c>
      <c r="B606" s="1497" t="s">
        <v>2388</v>
      </c>
    </row>
    <row r="607" spans="1:3" x14ac:dyDescent="0.2">
      <c r="A607" s="1311" t="s">
        <v>3754</v>
      </c>
      <c r="B607" s="1524" t="s">
        <v>3847</v>
      </c>
      <c r="C607" s="290">
        <v>1940</v>
      </c>
    </row>
    <row r="608" spans="1:3" x14ac:dyDescent="0.2">
      <c r="A608" s="272" t="s">
        <v>3755</v>
      </c>
      <c r="B608" s="1497" t="s">
        <v>3756</v>
      </c>
    </row>
    <row r="609" spans="1:3" x14ac:dyDescent="0.2">
      <c r="A609" s="1311" t="s">
        <v>2403</v>
      </c>
      <c r="B609" s="1524" t="s">
        <v>1969</v>
      </c>
    </row>
    <row r="610" spans="1:3" x14ac:dyDescent="0.2">
      <c r="A610" t="s">
        <v>2486</v>
      </c>
      <c r="B610" s="1537"/>
    </row>
    <row r="611" spans="1:3" x14ac:dyDescent="0.2">
      <c r="A611" s="1311" t="s">
        <v>2487</v>
      </c>
      <c r="B611" s="1524" t="s">
        <v>2488</v>
      </c>
      <c r="C611" s="290">
        <v>1950</v>
      </c>
    </row>
    <row r="612" spans="1:3" x14ac:dyDescent="0.2">
      <c r="A612" s="272" t="s">
        <v>2489</v>
      </c>
      <c r="B612" s="1497"/>
    </row>
    <row r="613" spans="1:3" x14ac:dyDescent="0.2">
      <c r="A613" s="1311" t="s">
        <v>2490</v>
      </c>
      <c r="B613" s="1524" t="s">
        <v>1969</v>
      </c>
      <c r="C613" s="290">
        <v>1960</v>
      </c>
    </row>
    <row r="614" spans="1:3" x14ac:dyDescent="0.2">
      <c r="B614" s="272"/>
    </row>
    <row r="615" spans="1:3" x14ac:dyDescent="0.2">
      <c r="A615" t="s">
        <v>2492</v>
      </c>
      <c r="B615" s="1497"/>
    </row>
    <row r="616" spans="1:3" x14ac:dyDescent="0.2">
      <c r="A616" s="1311" t="s">
        <v>2410</v>
      </c>
      <c r="B616" s="1524" t="s">
        <v>1969</v>
      </c>
      <c r="C616" s="357" t="s">
        <v>775</v>
      </c>
    </row>
    <row r="617" spans="1:3" x14ac:dyDescent="0.2">
      <c r="A617" t="s">
        <v>2493</v>
      </c>
      <c r="B617" s="1497"/>
    </row>
    <row r="618" spans="1:3" x14ac:dyDescent="0.2">
      <c r="A618" s="1311" t="s">
        <v>2432</v>
      </c>
      <c r="B618" s="1524" t="s">
        <v>2494</v>
      </c>
      <c r="C618" s="357" t="s">
        <v>775</v>
      </c>
    </row>
    <row r="619" spans="1:3" x14ac:dyDescent="0.2">
      <c r="A619" t="s">
        <v>2495</v>
      </c>
      <c r="B619" s="1497"/>
    </row>
    <row r="620" spans="1:3" x14ac:dyDescent="0.2">
      <c r="A620" s="1311" t="s">
        <v>699</v>
      </c>
      <c r="B620" s="1524" t="s">
        <v>1969</v>
      </c>
      <c r="C620" s="357">
        <v>1740</v>
      </c>
    </row>
    <row r="621" spans="1:3" x14ac:dyDescent="0.2">
      <c r="A621" t="s">
        <v>2496</v>
      </c>
      <c r="B621" s="1497"/>
    </row>
    <row r="622" spans="1:3" x14ac:dyDescent="0.2">
      <c r="A622" s="1311" t="s">
        <v>2497</v>
      </c>
      <c r="B622" s="1524" t="s">
        <v>1969</v>
      </c>
      <c r="C622" s="290">
        <v>2020</v>
      </c>
    </row>
    <row r="623" spans="1:3" x14ac:dyDescent="0.2">
      <c r="A623" t="s">
        <v>2498</v>
      </c>
      <c r="B623" s="1497"/>
    </row>
    <row r="624" spans="1:3" x14ac:dyDescent="0.2">
      <c r="A624" s="1311" t="s">
        <v>2499</v>
      </c>
      <c r="B624" s="1524" t="s">
        <v>1969</v>
      </c>
      <c r="C624" s="357" t="s">
        <v>775</v>
      </c>
    </row>
    <row r="625" spans="1:4" x14ac:dyDescent="0.2">
      <c r="A625" t="s">
        <v>2500</v>
      </c>
      <c r="B625" s="1497"/>
    </row>
    <row r="626" spans="1:4" x14ac:dyDescent="0.2">
      <c r="A626" t="s">
        <v>2501</v>
      </c>
      <c r="B626" s="1497"/>
    </row>
    <row r="627" spans="1:4" x14ac:dyDescent="0.2">
      <c r="A627" t="s">
        <v>2502</v>
      </c>
      <c r="B627" s="1497"/>
    </row>
    <row r="628" spans="1:4" x14ac:dyDescent="0.2">
      <c r="A628" t="s">
        <v>2503</v>
      </c>
      <c r="B628" s="1497"/>
    </row>
    <row r="629" spans="1:4" x14ac:dyDescent="0.2">
      <c r="A629" t="s">
        <v>2504</v>
      </c>
      <c r="B629" s="1497"/>
    </row>
    <row r="630" spans="1:4" x14ac:dyDescent="0.2">
      <c r="A630" t="s">
        <v>2505</v>
      </c>
      <c r="B630" s="1497"/>
    </row>
    <row r="631" spans="1:4" x14ac:dyDescent="0.2">
      <c r="A631" t="s">
        <v>2506</v>
      </c>
      <c r="B631" s="1497"/>
    </row>
    <row r="632" spans="1:4" x14ac:dyDescent="0.2">
      <c r="A632" s="1311" t="s">
        <v>2507</v>
      </c>
      <c r="B632" s="1524" t="s">
        <v>1969</v>
      </c>
      <c r="C632" s="357" t="s">
        <v>775</v>
      </c>
    </row>
    <row r="633" spans="1:4" x14ac:dyDescent="0.2">
      <c r="A633" t="s">
        <v>2508</v>
      </c>
      <c r="B633" s="1497"/>
    </row>
    <row r="634" spans="1:4" x14ac:dyDescent="0.2">
      <c r="A634" s="1311" t="s">
        <v>2509</v>
      </c>
      <c r="B634" s="1524" t="s">
        <v>2494</v>
      </c>
      <c r="C634" s="357" t="s">
        <v>775</v>
      </c>
    </row>
    <row r="635" spans="1:4" x14ac:dyDescent="0.2">
      <c r="A635" t="s">
        <v>2510</v>
      </c>
      <c r="B635" s="1497"/>
    </row>
    <row r="636" spans="1:4" x14ac:dyDescent="0.2">
      <c r="A636" s="1311" t="s">
        <v>1347</v>
      </c>
      <c r="B636" s="1524" t="s">
        <v>1969</v>
      </c>
      <c r="C636" s="290">
        <v>2024</v>
      </c>
    </row>
    <row r="637" spans="1:4" x14ac:dyDescent="0.2">
      <c r="A637" t="s">
        <v>2511</v>
      </c>
      <c r="B637" s="1497" t="s">
        <v>2388</v>
      </c>
    </row>
    <row r="638" spans="1:4" x14ac:dyDescent="0.2">
      <c r="A638" s="1311" t="s">
        <v>4732</v>
      </c>
      <c r="B638" s="1527" t="s">
        <v>1969</v>
      </c>
      <c r="C638" s="290">
        <v>2030</v>
      </c>
    </row>
    <row r="639" spans="1:4" ht="22.5" x14ac:dyDescent="0.2">
      <c r="A639" s="2090" t="s">
        <v>4728</v>
      </c>
      <c r="B639" s="1519" t="s">
        <v>4947</v>
      </c>
      <c r="D639" s="2204" t="s">
        <v>4727</v>
      </c>
    </row>
    <row r="640" spans="1:4" x14ac:dyDescent="0.2">
      <c r="A640" s="1311" t="s">
        <v>5738</v>
      </c>
      <c r="B640" s="1524" t="s">
        <v>1969</v>
      </c>
      <c r="C640" s="290">
        <v>2040</v>
      </c>
    </row>
    <row r="641" spans="1:4" ht="22.5" x14ac:dyDescent="0.2">
      <c r="A641" s="2664" t="s">
        <v>5742</v>
      </c>
      <c r="B641" s="1519" t="s">
        <v>4947</v>
      </c>
      <c r="D641" s="1610" t="s">
        <v>5740</v>
      </c>
    </row>
    <row r="642" spans="1:4" x14ac:dyDescent="0.2">
      <c r="A642" s="1311" t="s">
        <v>2442</v>
      </c>
      <c r="B642" s="1524" t="s">
        <v>1969</v>
      </c>
      <c r="C642" s="357" t="s">
        <v>775</v>
      </c>
    </row>
    <row r="643" spans="1:4" x14ac:dyDescent="0.2">
      <c r="A643" t="s">
        <v>2512</v>
      </c>
      <c r="B643" s="1497"/>
    </row>
    <row r="644" spans="1:4" x14ac:dyDescent="0.2">
      <c r="A644" s="1311" t="s">
        <v>2444</v>
      </c>
      <c r="B644" s="1524" t="s">
        <v>1969</v>
      </c>
      <c r="C644" s="290">
        <v>2095</v>
      </c>
    </row>
    <row r="645" spans="1:4" ht="22.5" x14ac:dyDescent="0.2">
      <c r="A645" t="s">
        <v>2513</v>
      </c>
      <c r="B645" s="1519" t="s">
        <v>4947</v>
      </c>
    </row>
    <row r="646" spans="1:4" x14ac:dyDescent="0.2">
      <c r="A646" s="1311" t="s">
        <v>2450</v>
      </c>
      <c r="B646" s="1523" t="s">
        <v>1969</v>
      </c>
      <c r="C646" s="290">
        <v>2050</v>
      </c>
    </row>
    <row r="647" spans="1:4" ht="22.5" x14ac:dyDescent="0.2">
      <c r="A647" t="s">
        <v>2514</v>
      </c>
      <c r="B647" s="1519" t="s">
        <v>4947</v>
      </c>
    </row>
    <row r="648" spans="1:4" x14ac:dyDescent="0.2">
      <c r="A648" t="s">
        <v>2515</v>
      </c>
      <c r="B648" s="1497" t="s">
        <v>2181</v>
      </c>
    </row>
    <row r="649" spans="1:4" x14ac:dyDescent="0.2">
      <c r="A649" t="s">
        <v>2516</v>
      </c>
      <c r="B649" s="1497" t="s">
        <v>2453</v>
      </c>
    </row>
    <row r="650" spans="1:4" x14ac:dyDescent="0.2">
      <c r="A650" t="s">
        <v>3429</v>
      </c>
      <c r="B650" s="1497" t="s">
        <v>3430</v>
      </c>
    </row>
    <row r="651" spans="1:4" s="2089" customFormat="1" x14ac:dyDescent="0.2">
      <c r="A651" s="2090" t="s">
        <v>4731</v>
      </c>
      <c r="B651" s="1497" t="s">
        <v>4730</v>
      </c>
      <c r="C651" s="2091"/>
    </row>
    <row r="652" spans="1:4" x14ac:dyDescent="0.2">
      <c r="A652" t="s">
        <v>2517</v>
      </c>
      <c r="B652" s="1497" t="s">
        <v>2181</v>
      </c>
    </row>
    <row r="653" spans="1:4" x14ac:dyDescent="0.2">
      <c r="A653" t="s">
        <v>2518</v>
      </c>
      <c r="B653" s="1497" t="s">
        <v>2041</v>
      </c>
    </row>
    <row r="654" spans="1:4" x14ac:dyDescent="0.2">
      <c r="A654" t="s">
        <v>2519</v>
      </c>
      <c r="B654" s="1497"/>
    </row>
    <row r="655" spans="1:4" x14ac:dyDescent="0.2">
      <c r="A655" t="s">
        <v>2520</v>
      </c>
      <c r="B655" s="1497" t="s">
        <v>2521</v>
      </c>
    </row>
    <row r="656" spans="1:4" x14ac:dyDescent="0.2">
      <c r="A656" t="s">
        <v>2523</v>
      </c>
      <c r="B656" s="1497"/>
    </row>
    <row r="657" spans="1:3" x14ac:dyDescent="0.2">
      <c r="A657" s="1311" t="s">
        <v>3912</v>
      </c>
      <c r="B657" s="1524" t="s">
        <v>1969</v>
      </c>
      <c r="C657" s="357" t="s">
        <v>775</v>
      </c>
    </row>
    <row r="658" spans="1:3" x14ac:dyDescent="0.2">
      <c r="A658" s="272" t="s">
        <v>3913</v>
      </c>
      <c r="B658" s="1497" t="s">
        <v>3914</v>
      </c>
    </row>
    <row r="659" spans="1:3" x14ac:dyDescent="0.2">
      <c r="A659" s="1311" t="s">
        <v>739</v>
      </c>
      <c r="B659" s="1524" t="s">
        <v>1969</v>
      </c>
      <c r="C659" s="290">
        <v>2070</v>
      </c>
    </row>
    <row r="660" spans="1:3" x14ac:dyDescent="0.2">
      <c r="A660" t="s">
        <v>2524</v>
      </c>
      <c r="B660" s="1497"/>
    </row>
    <row r="661" spans="1:3" x14ac:dyDescent="0.2">
      <c r="A661" t="s">
        <v>2525</v>
      </c>
      <c r="B661" s="1497"/>
    </row>
    <row r="662" spans="1:3" x14ac:dyDescent="0.2">
      <c r="A662" t="s">
        <v>2526</v>
      </c>
      <c r="B662" s="1497"/>
    </row>
    <row r="663" spans="1:3" ht="25.5" customHeight="1" x14ac:dyDescent="0.2">
      <c r="A663" t="s">
        <v>2527</v>
      </c>
      <c r="B663" s="1497"/>
    </row>
    <row r="664" spans="1:3" x14ac:dyDescent="0.2">
      <c r="A664" t="s">
        <v>2528</v>
      </c>
      <c r="B664" s="1497"/>
    </row>
    <row r="665" spans="1:3" ht="25.5" customHeight="1" x14ac:dyDescent="0.2">
      <c r="A665" t="s">
        <v>2529</v>
      </c>
      <c r="B665" s="1497"/>
    </row>
    <row r="666" spans="1:3" x14ac:dyDescent="0.2">
      <c r="A666" s="1311" t="s">
        <v>701</v>
      </c>
      <c r="B666" s="1524" t="s">
        <v>1969</v>
      </c>
      <c r="C666" s="290">
        <v>2080</v>
      </c>
    </row>
    <row r="667" spans="1:3" x14ac:dyDescent="0.2">
      <c r="A667" t="s">
        <v>2530</v>
      </c>
      <c r="B667" s="1497"/>
    </row>
    <row r="668" spans="1:3" x14ac:dyDescent="0.2">
      <c r="A668" t="s">
        <v>2531</v>
      </c>
      <c r="B668" s="1497"/>
    </row>
    <row r="669" spans="1:3" x14ac:dyDescent="0.2">
      <c r="A669" s="1311" t="s">
        <v>2465</v>
      </c>
      <c r="B669" s="1524" t="s">
        <v>2532</v>
      </c>
      <c r="C669" s="290">
        <v>2060</v>
      </c>
    </row>
    <row r="670" spans="1:3" ht="22.5" x14ac:dyDescent="0.2">
      <c r="A670" s="267" t="s">
        <v>2533</v>
      </c>
      <c r="B670" s="1519" t="s">
        <v>4948</v>
      </c>
    </row>
    <row r="671" spans="1:3" x14ac:dyDescent="0.2">
      <c r="A671" s="1311" t="s">
        <v>3806</v>
      </c>
      <c r="B671" s="1524" t="s">
        <v>3846</v>
      </c>
      <c r="C671" s="290">
        <v>2061</v>
      </c>
    </row>
    <row r="672" spans="1:3" ht="33.75" x14ac:dyDescent="0.2">
      <c r="A672" s="267" t="s">
        <v>2491</v>
      </c>
      <c r="B672" s="1519" t="s">
        <v>4949</v>
      </c>
    </row>
    <row r="673" spans="1:3" x14ac:dyDescent="0.2">
      <c r="A673" s="1311" t="s">
        <v>2468</v>
      </c>
      <c r="B673" s="1524" t="s">
        <v>1969</v>
      </c>
      <c r="C673" s="290">
        <v>2045</v>
      </c>
    </row>
    <row r="674" spans="1:3" ht="22.5" x14ac:dyDescent="0.2">
      <c r="A674" s="267" t="s">
        <v>2534</v>
      </c>
      <c r="B674" s="1519" t="s">
        <v>4947</v>
      </c>
    </row>
    <row r="675" spans="1:3" x14ac:dyDescent="0.2">
      <c r="A675" s="1517" t="s">
        <v>2470</v>
      </c>
      <c r="B675" s="1524" t="s">
        <v>1969</v>
      </c>
      <c r="C675" s="357" t="s">
        <v>775</v>
      </c>
    </row>
    <row r="676" spans="1:3" x14ac:dyDescent="0.2">
      <c r="A676" s="1517" t="s">
        <v>2535</v>
      </c>
      <c r="B676" s="1497"/>
    </row>
    <row r="677" spans="1:3" x14ac:dyDescent="0.2">
      <c r="A677" s="272" t="s">
        <v>2536</v>
      </c>
      <c r="B677" s="1525" t="s">
        <v>2537</v>
      </c>
    </row>
    <row r="678" spans="1:3" x14ac:dyDescent="0.2">
      <c r="A678" s="1311" t="s">
        <v>2473</v>
      </c>
      <c r="B678" s="1524" t="s">
        <v>1969</v>
      </c>
      <c r="C678" s="290">
        <v>2085</v>
      </c>
    </row>
    <row r="679" spans="1:3" ht="22.5" x14ac:dyDescent="0.2">
      <c r="A679" t="s">
        <v>2538</v>
      </c>
      <c r="B679" s="1519" t="s">
        <v>4947</v>
      </c>
    </row>
    <row r="680" spans="1:3" x14ac:dyDescent="0.2">
      <c r="B680" s="1497" t="s">
        <v>2475</v>
      </c>
    </row>
    <row r="681" spans="1:3" x14ac:dyDescent="0.2">
      <c r="A681" s="1311" t="s">
        <v>4616</v>
      </c>
      <c r="B681" s="1524" t="s">
        <v>1969</v>
      </c>
      <c r="C681" s="290">
        <v>2087</v>
      </c>
    </row>
    <row r="682" spans="1:3" ht="22.5" x14ac:dyDescent="0.2">
      <c r="A682" t="s">
        <v>4617</v>
      </c>
      <c r="B682" s="1519" t="s">
        <v>4947</v>
      </c>
    </row>
    <row r="683" spans="1:3" x14ac:dyDescent="0.2">
      <c r="B683" s="1497" t="s">
        <v>4615</v>
      </c>
    </row>
    <row r="684" spans="1:3" x14ac:dyDescent="0.2">
      <c r="A684" s="1311" t="s">
        <v>2476</v>
      </c>
      <c r="B684" s="1524" t="s">
        <v>1969</v>
      </c>
      <c r="C684" s="290">
        <v>2090</v>
      </c>
    </row>
    <row r="685" spans="1:3" ht="22.5" x14ac:dyDescent="0.2">
      <c r="A685" t="s">
        <v>2539</v>
      </c>
      <c r="B685" s="1519" t="s">
        <v>4947</v>
      </c>
    </row>
    <row r="686" spans="1:3" s="2" customFormat="1" x14ac:dyDescent="0.2">
      <c r="A686" s="2" t="s">
        <v>569</v>
      </c>
      <c r="B686" s="1845"/>
      <c r="C686" s="4"/>
    </row>
    <row r="687" spans="1:3" x14ac:dyDescent="0.2">
      <c r="A687" s="272" t="s">
        <v>4417</v>
      </c>
      <c r="B687" s="1519" t="s">
        <v>4418</v>
      </c>
    </row>
    <row r="688" spans="1:3" x14ac:dyDescent="0.2">
      <c r="A688" s="1311" t="s">
        <v>3849</v>
      </c>
      <c r="B688" s="1524" t="s">
        <v>4080</v>
      </c>
      <c r="C688" s="290">
        <v>2098</v>
      </c>
    </row>
    <row r="689" spans="1:3" ht="33.75" x14ac:dyDescent="0.2">
      <c r="A689" s="272" t="s">
        <v>3939</v>
      </c>
      <c r="B689" s="1519" t="s">
        <v>4950</v>
      </c>
    </row>
    <row r="690" spans="1:3" x14ac:dyDescent="0.2">
      <c r="A690" s="1517" t="s">
        <v>4437</v>
      </c>
      <c r="B690" s="1524" t="s">
        <v>4438</v>
      </c>
      <c r="C690" s="290">
        <v>2099</v>
      </c>
    </row>
    <row r="691" spans="1:3" ht="33.75" x14ac:dyDescent="0.2">
      <c r="A691" s="272" t="s">
        <v>4488</v>
      </c>
      <c r="B691" s="1519" t="s">
        <v>4951</v>
      </c>
    </row>
    <row r="692" spans="1:3" x14ac:dyDescent="0.2">
      <c r="A692" s="2" t="s">
        <v>2540</v>
      </c>
      <c r="B692" s="1519"/>
    </row>
    <row r="693" spans="1:3" x14ac:dyDescent="0.2">
      <c r="A693" s="2" t="s">
        <v>2541</v>
      </c>
      <c r="B693" s="1519"/>
    </row>
    <row r="694" spans="1:3" ht="25.5" x14ac:dyDescent="0.2">
      <c r="A694" s="1311" t="s">
        <v>1931</v>
      </c>
      <c r="B694" s="1497" t="s">
        <v>2542</v>
      </c>
    </row>
    <row r="695" spans="1:3" x14ac:dyDescent="0.2">
      <c r="A695" s="1521" t="s">
        <v>2543</v>
      </c>
      <c r="B695" s="1524" t="s">
        <v>1969</v>
      </c>
      <c r="C695" s="290">
        <v>1764</v>
      </c>
    </row>
    <row r="696" spans="1:3" x14ac:dyDescent="0.2">
      <c r="A696" s="272" t="s">
        <v>3757</v>
      </c>
      <c r="B696" s="1497" t="s">
        <v>2544</v>
      </c>
    </row>
    <row r="697" spans="1:3" x14ac:dyDescent="0.2">
      <c r="A697" s="1311" t="s">
        <v>2545</v>
      </c>
      <c r="B697" s="1524" t="s">
        <v>1969</v>
      </c>
      <c r="C697" s="290">
        <v>2026</v>
      </c>
    </row>
    <row r="698" spans="1:3" x14ac:dyDescent="0.2">
      <c r="A698" s="272" t="s">
        <v>3758</v>
      </c>
      <c r="B698" s="1497" t="s">
        <v>2546</v>
      </c>
    </row>
    <row r="699" spans="1:3" x14ac:dyDescent="0.2">
      <c r="A699" s="1311" t="s">
        <v>3759</v>
      </c>
      <c r="B699" s="1527" t="s">
        <v>3760</v>
      </c>
      <c r="C699" s="290">
        <v>1766</v>
      </c>
    </row>
    <row r="700" spans="1:3" x14ac:dyDescent="0.2">
      <c r="A700" s="272" t="s">
        <v>3761</v>
      </c>
      <c r="B700" s="1497" t="s">
        <v>3762</v>
      </c>
    </row>
    <row r="701" spans="1:3" x14ac:dyDescent="0.2">
      <c r="A701" s="1311" t="s">
        <v>3763</v>
      </c>
      <c r="B701" s="1527" t="s">
        <v>3760</v>
      </c>
      <c r="C701" s="290">
        <v>1768</v>
      </c>
    </row>
    <row r="702" spans="1:3" x14ac:dyDescent="0.2">
      <c r="A702" s="272" t="s">
        <v>3764</v>
      </c>
      <c r="B702" s="1497" t="s">
        <v>3765</v>
      </c>
    </row>
    <row r="703" spans="1:3" x14ac:dyDescent="0.2">
      <c r="A703" s="1311" t="s">
        <v>3915</v>
      </c>
      <c r="B703" s="1527" t="s">
        <v>3760</v>
      </c>
      <c r="C703" s="290">
        <v>1765</v>
      </c>
    </row>
    <row r="704" spans="1:3" x14ac:dyDescent="0.2">
      <c r="A704" s="272" t="s">
        <v>3916</v>
      </c>
      <c r="B704" s="1497" t="s">
        <v>3765</v>
      </c>
    </row>
    <row r="705" spans="1:3" x14ac:dyDescent="0.2">
      <c r="A705" s="1311" t="s">
        <v>3941</v>
      </c>
      <c r="B705" s="1527" t="s">
        <v>3942</v>
      </c>
      <c r="C705" s="290">
        <v>1767</v>
      </c>
    </row>
    <row r="706" spans="1:3" x14ac:dyDescent="0.2">
      <c r="A706" s="272" t="s">
        <v>3943</v>
      </c>
      <c r="B706" s="1497" t="s">
        <v>3940</v>
      </c>
    </row>
    <row r="707" spans="1:3" x14ac:dyDescent="0.2">
      <c r="A707" s="1517" t="s">
        <v>4439</v>
      </c>
      <c r="B707" s="1846" t="s">
        <v>4441</v>
      </c>
      <c r="C707" s="290">
        <v>1771</v>
      </c>
    </row>
    <row r="708" spans="1:3" x14ac:dyDescent="0.2">
      <c r="A708" s="272" t="s">
        <v>4440</v>
      </c>
      <c r="B708" s="1497" t="s">
        <v>4427</v>
      </c>
    </row>
    <row r="709" spans="1:3" x14ac:dyDescent="0.2">
      <c r="A709" s="1517" t="s">
        <v>4489</v>
      </c>
      <c r="B709" s="1846" t="s">
        <v>4441</v>
      </c>
      <c r="C709" s="290">
        <v>1772</v>
      </c>
    </row>
    <row r="710" spans="1:3" x14ac:dyDescent="0.2">
      <c r="A710" s="272" t="s">
        <v>4442</v>
      </c>
      <c r="B710" s="1497" t="s">
        <v>4427</v>
      </c>
    </row>
    <row r="711" spans="1:3" x14ac:dyDescent="0.2">
      <c r="A711" s="1311" t="s">
        <v>3766</v>
      </c>
      <c r="B711" s="1527" t="s">
        <v>3760</v>
      </c>
      <c r="C711" s="290">
        <v>1769</v>
      </c>
    </row>
    <row r="712" spans="1:3" x14ac:dyDescent="0.2">
      <c r="A712" s="272" t="s">
        <v>3767</v>
      </c>
      <c r="B712" s="1497" t="s">
        <v>3765</v>
      </c>
    </row>
    <row r="713" spans="1:3" s="2663" customFormat="1" x14ac:dyDescent="0.2">
      <c r="A713" s="1311" t="s">
        <v>5743</v>
      </c>
      <c r="B713" s="1497"/>
      <c r="C713" s="2665"/>
    </row>
    <row r="714" spans="1:3" s="2663" customFormat="1" x14ac:dyDescent="0.2">
      <c r="A714" s="2668" t="s">
        <v>5744</v>
      </c>
      <c r="B714" s="2667" t="s">
        <v>5745</v>
      </c>
      <c r="C714" s="2665"/>
    </row>
    <row r="715" spans="1:3" x14ac:dyDescent="0.2">
      <c r="A715" s="2" t="s">
        <v>2547</v>
      </c>
      <c r="B715" s="1497"/>
    </row>
    <row r="716" spans="1:3" x14ac:dyDescent="0.2">
      <c r="A716" s="1311" t="s">
        <v>2548</v>
      </c>
      <c r="B716" s="1524" t="s">
        <v>2299</v>
      </c>
      <c r="C716" s="357" t="s">
        <v>775</v>
      </c>
    </row>
    <row r="717" spans="1:3" x14ac:dyDescent="0.2">
      <c r="B717" s="1497"/>
    </row>
    <row r="718" spans="1:3" x14ac:dyDescent="0.2">
      <c r="A718" s="1311" t="s">
        <v>2549</v>
      </c>
      <c r="B718" s="1524" t="s">
        <v>1969</v>
      </c>
      <c r="C718" s="357" t="s">
        <v>775</v>
      </c>
    </row>
    <row r="719" spans="1:3" x14ac:dyDescent="0.2">
      <c r="A719" t="s">
        <v>2550</v>
      </c>
      <c r="B719" s="1497" t="s">
        <v>2302</v>
      </c>
    </row>
    <row r="720" spans="1:3" x14ac:dyDescent="0.2">
      <c r="A720" t="s">
        <v>2551</v>
      </c>
      <c r="B720" s="1497" t="s">
        <v>2302</v>
      </c>
    </row>
    <row r="721" spans="1:3" x14ac:dyDescent="0.2">
      <c r="A721" t="s">
        <v>2552</v>
      </c>
      <c r="B721" s="1497" t="s">
        <v>2302</v>
      </c>
    </row>
    <row r="722" spans="1:3" x14ac:dyDescent="0.2">
      <c r="A722" t="s">
        <v>2553</v>
      </c>
      <c r="B722" s="1497" t="s">
        <v>2302</v>
      </c>
    </row>
    <row r="723" spans="1:3" x14ac:dyDescent="0.2">
      <c r="A723" t="s">
        <v>2554</v>
      </c>
      <c r="B723" s="1497" t="s">
        <v>2302</v>
      </c>
    </row>
    <row r="724" spans="1:3" x14ac:dyDescent="0.2">
      <c r="A724" t="s">
        <v>2555</v>
      </c>
      <c r="B724" s="1497" t="s">
        <v>2302</v>
      </c>
    </row>
    <row r="725" spans="1:3" x14ac:dyDescent="0.2">
      <c r="A725" t="s">
        <v>2556</v>
      </c>
      <c r="B725" s="1497" t="s">
        <v>2302</v>
      </c>
    </row>
    <row r="726" spans="1:3" x14ac:dyDescent="0.2">
      <c r="A726" t="s">
        <v>2557</v>
      </c>
      <c r="B726" s="1497" t="s">
        <v>2302</v>
      </c>
    </row>
    <row r="727" spans="1:3" x14ac:dyDescent="0.2">
      <c r="A727" t="s">
        <v>2558</v>
      </c>
      <c r="B727" s="1497" t="s">
        <v>2302</v>
      </c>
    </row>
    <row r="728" spans="1:3" x14ac:dyDescent="0.2">
      <c r="A728" s="1311" t="s">
        <v>2559</v>
      </c>
      <c r="B728" s="1524" t="s">
        <v>2312</v>
      </c>
      <c r="C728" s="357" t="s">
        <v>775</v>
      </c>
    </row>
    <row r="729" spans="1:3" x14ac:dyDescent="0.2">
      <c r="A729" s="272" t="s">
        <v>2560</v>
      </c>
      <c r="B729" s="1497" t="s">
        <v>2041</v>
      </c>
    </row>
    <row r="730" spans="1:3" x14ac:dyDescent="0.2">
      <c r="A730" t="s">
        <v>2561</v>
      </c>
      <c r="B730" s="1497"/>
    </row>
    <row r="731" spans="1:3" x14ac:dyDescent="0.2">
      <c r="A731" t="s">
        <v>2562</v>
      </c>
      <c r="B731" s="1497" t="s">
        <v>2563</v>
      </c>
    </row>
    <row r="732" spans="1:3" x14ac:dyDescent="0.2">
      <c r="A732" t="s">
        <v>2564</v>
      </c>
      <c r="B732" s="1497" t="s">
        <v>2316</v>
      </c>
    </row>
    <row r="733" spans="1:3" x14ac:dyDescent="0.2">
      <c r="A733" t="s">
        <v>2565</v>
      </c>
      <c r="B733" s="1497"/>
    </row>
    <row r="734" spans="1:3" x14ac:dyDescent="0.2">
      <c r="A734" t="s">
        <v>2566</v>
      </c>
      <c r="B734" s="1497"/>
    </row>
    <row r="735" spans="1:3" x14ac:dyDescent="0.2">
      <c r="A735" t="s">
        <v>2567</v>
      </c>
      <c r="B735" s="1497"/>
    </row>
    <row r="736" spans="1:3" x14ac:dyDescent="0.2">
      <c r="A736" t="s">
        <v>2568</v>
      </c>
      <c r="B736" s="1497"/>
    </row>
    <row r="737" spans="1:2" x14ac:dyDescent="0.2">
      <c r="A737" t="s">
        <v>2569</v>
      </c>
      <c r="B737" s="1497"/>
    </row>
    <row r="738" spans="1:2" x14ac:dyDescent="0.2">
      <c r="A738" t="s">
        <v>2570</v>
      </c>
      <c r="B738" s="1497"/>
    </row>
    <row r="739" spans="1:2" x14ac:dyDescent="0.2">
      <c r="A739" t="s">
        <v>2571</v>
      </c>
      <c r="B739" s="1497"/>
    </row>
    <row r="740" spans="1:2" x14ac:dyDescent="0.2">
      <c r="A740" t="s">
        <v>2572</v>
      </c>
      <c r="B740" s="1497"/>
    </row>
    <row r="741" spans="1:2" x14ac:dyDescent="0.2">
      <c r="A741" t="s">
        <v>2573</v>
      </c>
      <c r="B741" s="1497"/>
    </row>
    <row r="742" spans="1:2" x14ac:dyDescent="0.2">
      <c r="A742" t="s">
        <v>2574</v>
      </c>
      <c r="B742" s="1497"/>
    </row>
    <row r="743" spans="1:2" x14ac:dyDescent="0.2">
      <c r="A743" t="s">
        <v>2575</v>
      </c>
      <c r="B743" s="1497"/>
    </row>
    <row r="744" spans="1:2" x14ac:dyDescent="0.2">
      <c r="A744" t="s">
        <v>2576</v>
      </c>
      <c r="B744" s="1497"/>
    </row>
    <row r="745" spans="1:2" x14ac:dyDescent="0.2">
      <c r="A745" t="s">
        <v>2577</v>
      </c>
      <c r="B745" s="1497"/>
    </row>
    <row r="746" spans="1:2" x14ac:dyDescent="0.2">
      <c r="A746" t="s">
        <v>2578</v>
      </c>
      <c r="B746" s="1497"/>
    </row>
    <row r="747" spans="1:2" x14ac:dyDescent="0.2">
      <c r="A747" t="s">
        <v>2579</v>
      </c>
      <c r="B747" s="1497"/>
    </row>
    <row r="748" spans="1:2" x14ac:dyDescent="0.2">
      <c r="A748" t="s">
        <v>2580</v>
      </c>
      <c r="B748" s="1497"/>
    </row>
    <row r="749" spans="1:2" x14ac:dyDescent="0.2">
      <c r="A749" t="s">
        <v>2581</v>
      </c>
      <c r="B749" s="1497"/>
    </row>
    <row r="750" spans="1:2" x14ac:dyDescent="0.2">
      <c r="A750" t="s">
        <v>2582</v>
      </c>
      <c r="B750" s="1497" t="s">
        <v>2583</v>
      </c>
    </row>
    <row r="751" spans="1:2" x14ac:dyDescent="0.2">
      <c r="A751" t="s">
        <v>2584</v>
      </c>
      <c r="B751" s="1497" t="s">
        <v>2585</v>
      </c>
    </row>
    <row r="752" spans="1:2" x14ac:dyDescent="0.2">
      <c r="A752" t="s">
        <v>2586</v>
      </c>
      <c r="B752" s="1497" t="s">
        <v>2587</v>
      </c>
    </row>
    <row r="753" spans="1:3" x14ac:dyDescent="0.2">
      <c r="A753" t="s">
        <v>2588</v>
      </c>
      <c r="B753" s="1497" t="s">
        <v>2587</v>
      </c>
    </row>
    <row r="754" spans="1:3" x14ac:dyDescent="0.2">
      <c r="A754" s="272" t="s">
        <v>2589</v>
      </c>
      <c r="B754" s="1497" t="s">
        <v>2587</v>
      </c>
    </row>
    <row r="755" spans="1:3" x14ac:dyDescent="0.2">
      <c r="A755" t="s">
        <v>2590</v>
      </c>
      <c r="B755" s="1497" t="s">
        <v>2587</v>
      </c>
    </row>
    <row r="756" spans="1:3" x14ac:dyDescent="0.2">
      <c r="A756" t="s">
        <v>2591</v>
      </c>
      <c r="B756" s="1497" t="s">
        <v>2592</v>
      </c>
    </row>
    <row r="757" spans="1:3" x14ac:dyDescent="0.2">
      <c r="A757" t="s">
        <v>2593</v>
      </c>
      <c r="B757" s="1497" t="s">
        <v>2594</v>
      </c>
    </row>
    <row r="758" spans="1:3" x14ac:dyDescent="0.2">
      <c r="A758" t="s">
        <v>2595</v>
      </c>
      <c r="B758" s="1497" t="s">
        <v>2596</v>
      </c>
    </row>
    <row r="759" spans="1:3" x14ac:dyDescent="0.2">
      <c r="A759" t="s">
        <v>2480</v>
      </c>
      <c r="B759" s="1497" t="s">
        <v>3768</v>
      </c>
    </row>
    <row r="760" spans="1:3" x14ac:dyDescent="0.2">
      <c r="A760" t="s">
        <v>2597</v>
      </c>
      <c r="B760" s="1535" t="s">
        <v>2355</v>
      </c>
    </row>
    <row r="761" spans="1:3" x14ac:dyDescent="0.2">
      <c r="A761" s="272" t="s">
        <v>2598</v>
      </c>
      <c r="B761" s="1497" t="s">
        <v>2599</v>
      </c>
    </row>
    <row r="762" spans="1:3" x14ac:dyDescent="0.2">
      <c r="A762" t="s">
        <v>2600</v>
      </c>
      <c r="B762" s="1497" t="s">
        <v>2601</v>
      </c>
    </row>
    <row r="763" spans="1:3" x14ac:dyDescent="0.2">
      <c r="A763" t="s">
        <v>2602</v>
      </c>
      <c r="B763" s="1497" t="s">
        <v>2601</v>
      </c>
    </row>
    <row r="764" spans="1:3" x14ac:dyDescent="0.2">
      <c r="A764" t="s">
        <v>2603</v>
      </c>
      <c r="B764" s="1497" t="s">
        <v>2601</v>
      </c>
    </row>
    <row r="765" spans="1:3" x14ac:dyDescent="0.2">
      <c r="A765" t="s">
        <v>2522</v>
      </c>
      <c r="B765" s="1497" t="s">
        <v>3768</v>
      </c>
    </row>
    <row r="766" spans="1:3" x14ac:dyDescent="0.2">
      <c r="A766" t="s">
        <v>2604</v>
      </c>
      <c r="B766" s="1535" t="s">
        <v>2355</v>
      </c>
    </row>
    <row r="767" spans="1:3" x14ac:dyDescent="0.2">
      <c r="A767" s="1311" t="s">
        <v>2356</v>
      </c>
      <c r="B767" s="1524" t="s">
        <v>2605</v>
      </c>
      <c r="C767" s="357" t="s">
        <v>775</v>
      </c>
    </row>
    <row r="768" spans="1:3" x14ac:dyDescent="0.2">
      <c r="A768" t="s">
        <v>2606</v>
      </c>
      <c r="B768" s="1497"/>
    </row>
    <row r="769" spans="1:3" x14ac:dyDescent="0.2">
      <c r="A769" t="s">
        <v>2607</v>
      </c>
      <c r="B769" s="1497"/>
    </row>
    <row r="770" spans="1:3" x14ac:dyDescent="0.2">
      <c r="A770" t="s">
        <v>2608</v>
      </c>
      <c r="B770" s="1497" t="s">
        <v>2382</v>
      </c>
    </row>
    <row r="771" spans="1:3" x14ac:dyDescent="0.2">
      <c r="A771" t="s">
        <v>2609</v>
      </c>
      <c r="B771" s="1497"/>
    </row>
    <row r="772" spans="1:3" x14ac:dyDescent="0.2">
      <c r="A772" t="s">
        <v>2610</v>
      </c>
      <c r="B772" s="1497"/>
    </row>
    <row r="773" spans="1:3" x14ac:dyDescent="0.2">
      <c r="A773" t="s">
        <v>2611</v>
      </c>
      <c r="B773" s="1497"/>
    </row>
    <row r="774" spans="1:3" x14ac:dyDescent="0.2">
      <c r="A774" t="s">
        <v>2612</v>
      </c>
      <c r="B774" s="1497"/>
    </row>
    <row r="775" spans="1:3" x14ac:dyDescent="0.2">
      <c r="A775" t="s">
        <v>2613</v>
      </c>
      <c r="B775" s="1497"/>
    </row>
    <row r="776" spans="1:3" x14ac:dyDescent="0.2">
      <c r="A776" t="s">
        <v>2614</v>
      </c>
      <c r="B776" s="1497"/>
    </row>
    <row r="777" spans="1:3" x14ac:dyDescent="0.2">
      <c r="A777" t="s">
        <v>2615</v>
      </c>
      <c r="B777" s="1497"/>
    </row>
    <row r="778" spans="1:3" x14ac:dyDescent="0.2">
      <c r="A778" s="1311" t="s">
        <v>2616</v>
      </c>
      <c r="B778" s="1524" t="s">
        <v>1969</v>
      </c>
      <c r="C778" s="357" t="s">
        <v>775</v>
      </c>
    </row>
    <row r="779" spans="1:3" x14ac:dyDescent="0.2">
      <c r="A779" s="272" t="s">
        <v>2617</v>
      </c>
      <c r="B779" s="1497" t="s">
        <v>2618</v>
      </c>
    </row>
    <row r="780" spans="1:3" x14ac:dyDescent="0.2">
      <c r="A780" s="1311" t="s">
        <v>2619</v>
      </c>
      <c r="B780" s="1524" t="s">
        <v>2620</v>
      </c>
      <c r="C780" s="357" t="s">
        <v>775</v>
      </c>
    </row>
    <row r="781" spans="1:3" x14ac:dyDescent="0.2">
      <c r="A781" s="272" t="s">
        <v>2621</v>
      </c>
      <c r="B781" s="1497" t="s">
        <v>2618</v>
      </c>
    </row>
    <row r="782" spans="1:3" x14ac:dyDescent="0.2">
      <c r="A782" s="1311" t="s">
        <v>2622</v>
      </c>
      <c r="B782" s="1524" t="s">
        <v>1969</v>
      </c>
      <c r="C782" s="357" t="s">
        <v>775</v>
      </c>
    </row>
    <row r="783" spans="1:3" x14ac:dyDescent="0.2">
      <c r="A783" t="s">
        <v>2623</v>
      </c>
      <c r="B783" s="1497"/>
    </row>
    <row r="784" spans="1:3" x14ac:dyDescent="0.2">
      <c r="A784" t="s">
        <v>2624</v>
      </c>
      <c r="B784" s="1497"/>
    </row>
    <row r="785" spans="1:3" x14ac:dyDescent="0.2">
      <c r="A785" s="2" t="s">
        <v>2625</v>
      </c>
      <c r="B785" s="1497"/>
    </row>
    <row r="786" spans="1:3" x14ac:dyDescent="0.2">
      <c r="A786" s="1311" t="s">
        <v>2626</v>
      </c>
      <c r="B786" s="1524" t="s">
        <v>1969</v>
      </c>
      <c r="C786" s="357" t="s">
        <v>775</v>
      </c>
    </row>
    <row r="787" spans="1:3" x14ac:dyDescent="0.2">
      <c r="A787" t="s">
        <v>2627</v>
      </c>
      <c r="B787" s="1497" t="s">
        <v>2628</v>
      </c>
    </row>
    <row r="788" spans="1:3" x14ac:dyDescent="0.2">
      <c r="A788" t="s">
        <v>2629</v>
      </c>
      <c r="B788" s="1497" t="s">
        <v>2628</v>
      </c>
    </row>
    <row r="789" spans="1:3" x14ac:dyDescent="0.2">
      <c r="A789" t="s">
        <v>2630</v>
      </c>
      <c r="B789" s="1497" t="s">
        <v>2628</v>
      </c>
    </row>
    <row r="790" spans="1:3" x14ac:dyDescent="0.2">
      <c r="A790" s="1311" t="s">
        <v>2631</v>
      </c>
      <c r="B790" s="1524" t="s">
        <v>2620</v>
      </c>
      <c r="C790" s="357" t="s">
        <v>775</v>
      </c>
    </row>
    <row r="791" spans="1:3" x14ac:dyDescent="0.2">
      <c r="A791" t="s">
        <v>2632</v>
      </c>
      <c r="B791" s="1497"/>
    </row>
    <row r="792" spans="1:3" x14ac:dyDescent="0.2">
      <c r="A792" t="s">
        <v>2633</v>
      </c>
      <c r="B792" s="1497"/>
    </row>
    <row r="793" spans="1:3" x14ac:dyDescent="0.2">
      <c r="A793" t="s">
        <v>2634</v>
      </c>
      <c r="B793" s="1497"/>
    </row>
    <row r="794" spans="1:3" x14ac:dyDescent="0.2">
      <c r="A794" t="s">
        <v>2635</v>
      </c>
      <c r="B794" s="1497"/>
    </row>
    <row r="795" spans="1:3" x14ac:dyDescent="0.2">
      <c r="A795" s="272" t="s">
        <v>2636</v>
      </c>
      <c r="B795" s="1497"/>
    </row>
    <row r="796" spans="1:3" x14ac:dyDescent="0.2">
      <c r="A796" t="s">
        <v>2637</v>
      </c>
      <c r="B796" s="1497"/>
    </row>
    <row r="797" spans="1:3" x14ac:dyDescent="0.2">
      <c r="A797" t="s">
        <v>2638</v>
      </c>
      <c r="B797" s="1497"/>
    </row>
    <row r="798" spans="1:3" x14ac:dyDescent="0.2">
      <c r="A798" t="s">
        <v>2639</v>
      </c>
      <c r="B798" s="1497"/>
    </row>
    <row r="799" spans="1:3" x14ac:dyDescent="0.2">
      <c r="A799" t="s">
        <v>2640</v>
      </c>
      <c r="B799" s="1497"/>
    </row>
    <row r="800" spans="1:3" x14ac:dyDescent="0.2">
      <c r="A800" t="s">
        <v>2641</v>
      </c>
      <c r="B800" s="1497"/>
    </row>
    <row r="801" spans="1:2" x14ac:dyDescent="0.2">
      <c r="A801" t="s">
        <v>2642</v>
      </c>
      <c r="B801" s="1497"/>
    </row>
    <row r="802" spans="1:2" x14ac:dyDescent="0.2">
      <c r="A802" t="s">
        <v>2643</v>
      </c>
      <c r="B802" s="1497"/>
    </row>
    <row r="803" spans="1:2" x14ac:dyDescent="0.2">
      <c r="A803" t="s">
        <v>2644</v>
      </c>
      <c r="B803" s="1497"/>
    </row>
    <row r="804" spans="1:2" x14ac:dyDescent="0.2">
      <c r="A804" t="s">
        <v>2645</v>
      </c>
      <c r="B804" s="1497"/>
    </row>
    <row r="805" spans="1:2" x14ac:dyDescent="0.2">
      <c r="A805" t="s">
        <v>2646</v>
      </c>
      <c r="B805" s="1497"/>
    </row>
    <row r="806" spans="1:2" x14ac:dyDescent="0.2">
      <c r="A806" t="s">
        <v>2647</v>
      </c>
      <c r="B806" s="1497"/>
    </row>
    <row r="807" spans="1:2" x14ac:dyDescent="0.2">
      <c r="A807" t="s">
        <v>2648</v>
      </c>
      <c r="B807" s="1497"/>
    </row>
    <row r="808" spans="1:2" x14ac:dyDescent="0.2">
      <c r="A808" t="s">
        <v>2649</v>
      </c>
      <c r="B808" s="1497"/>
    </row>
    <row r="809" spans="1:2" x14ac:dyDescent="0.2">
      <c r="A809" t="s">
        <v>2650</v>
      </c>
      <c r="B809" s="1497"/>
    </row>
    <row r="810" spans="1:2" x14ac:dyDescent="0.2">
      <c r="A810" t="s">
        <v>2651</v>
      </c>
      <c r="B810" s="1497"/>
    </row>
    <row r="811" spans="1:2" x14ac:dyDescent="0.2">
      <c r="A811" t="s">
        <v>2652</v>
      </c>
      <c r="B811" s="1497"/>
    </row>
    <row r="812" spans="1:2" x14ac:dyDescent="0.2">
      <c r="A812" t="s">
        <v>2653</v>
      </c>
      <c r="B812" s="1497"/>
    </row>
    <row r="813" spans="1:2" x14ac:dyDescent="0.2">
      <c r="A813" t="s">
        <v>2654</v>
      </c>
      <c r="B813" s="1497"/>
    </row>
    <row r="814" spans="1:2" x14ac:dyDescent="0.2">
      <c r="A814" t="s">
        <v>2655</v>
      </c>
      <c r="B814" s="1497"/>
    </row>
    <row r="815" spans="1:2" x14ac:dyDescent="0.2">
      <c r="A815" t="s">
        <v>2656</v>
      </c>
      <c r="B815" s="1497"/>
    </row>
    <row r="816" spans="1:2" x14ac:dyDescent="0.2">
      <c r="A816" t="s">
        <v>2657</v>
      </c>
      <c r="B816" s="1497"/>
    </row>
    <row r="817" spans="1:2" x14ac:dyDescent="0.2">
      <c r="A817" t="s">
        <v>2658</v>
      </c>
      <c r="B817" s="1497"/>
    </row>
    <row r="818" spans="1:2" x14ac:dyDescent="0.2">
      <c r="A818" t="s">
        <v>2659</v>
      </c>
      <c r="B818" s="1497"/>
    </row>
    <row r="819" spans="1:2" x14ac:dyDescent="0.2">
      <c r="A819" t="s">
        <v>2660</v>
      </c>
      <c r="B819" s="1497"/>
    </row>
    <row r="820" spans="1:2" x14ac:dyDescent="0.2">
      <c r="A820" t="s">
        <v>2661</v>
      </c>
      <c r="B820" s="1497"/>
    </row>
    <row r="821" spans="1:2" x14ac:dyDescent="0.2">
      <c r="A821" t="s">
        <v>2662</v>
      </c>
      <c r="B821" s="1497"/>
    </row>
    <row r="822" spans="1:2" x14ac:dyDescent="0.2">
      <c r="A822" t="s">
        <v>2663</v>
      </c>
      <c r="B822" s="1497"/>
    </row>
    <row r="823" spans="1:2" x14ac:dyDescent="0.2">
      <c r="A823" t="s">
        <v>2664</v>
      </c>
      <c r="B823" s="1497"/>
    </row>
    <row r="824" spans="1:2" x14ac:dyDescent="0.2">
      <c r="A824" t="s">
        <v>2665</v>
      </c>
      <c r="B824" s="1497"/>
    </row>
    <row r="825" spans="1:2" x14ac:dyDescent="0.2">
      <c r="A825" t="s">
        <v>2666</v>
      </c>
      <c r="B825" s="1497"/>
    </row>
    <row r="826" spans="1:2" x14ac:dyDescent="0.2">
      <c r="A826" t="s">
        <v>2667</v>
      </c>
      <c r="B826" s="1497"/>
    </row>
    <row r="827" spans="1:2" x14ac:dyDescent="0.2">
      <c r="A827" t="s">
        <v>2668</v>
      </c>
      <c r="B827" s="1497"/>
    </row>
    <row r="828" spans="1:2" x14ac:dyDescent="0.2">
      <c r="A828" t="s">
        <v>2669</v>
      </c>
      <c r="B828" s="1497"/>
    </row>
    <row r="829" spans="1:2" x14ac:dyDescent="0.2">
      <c r="A829" t="s">
        <v>2670</v>
      </c>
      <c r="B829" s="1497"/>
    </row>
    <row r="830" spans="1:2" x14ac:dyDescent="0.2">
      <c r="A830" t="s">
        <v>2671</v>
      </c>
      <c r="B830" s="1497"/>
    </row>
    <row r="831" spans="1:2" x14ac:dyDescent="0.2">
      <c r="A831" t="s">
        <v>2672</v>
      </c>
      <c r="B831" s="1497"/>
    </row>
    <row r="832" spans="1:2" x14ac:dyDescent="0.2">
      <c r="A832" t="s">
        <v>2673</v>
      </c>
      <c r="B832" s="1497"/>
    </row>
    <row r="833" spans="1:2" x14ac:dyDescent="0.2">
      <c r="A833" t="s">
        <v>2674</v>
      </c>
      <c r="B833" s="1497"/>
    </row>
    <row r="834" spans="1:2" x14ac:dyDescent="0.2">
      <c r="A834" t="s">
        <v>2675</v>
      </c>
      <c r="B834" s="1497"/>
    </row>
    <row r="835" spans="1:2" x14ac:dyDescent="0.2">
      <c r="A835" t="s">
        <v>2676</v>
      </c>
      <c r="B835" s="1497"/>
    </row>
    <row r="836" spans="1:2" x14ac:dyDescent="0.2">
      <c r="A836" t="s">
        <v>2677</v>
      </c>
      <c r="B836" s="1497"/>
    </row>
    <row r="837" spans="1:2" x14ac:dyDescent="0.2">
      <c r="A837" t="s">
        <v>2678</v>
      </c>
      <c r="B837" s="1497"/>
    </row>
    <row r="838" spans="1:2" x14ac:dyDescent="0.2">
      <c r="A838" t="s">
        <v>2679</v>
      </c>
      <c r="B838" s="1497"/>
    </row>
    <row r="839" spans="1:2" x14ac:dyDescent="0.2">
      <c r="A839" t="s">
        <v>2680</v>
      </c>
      <c r="B839" s="1497"/>
    </row>
    <row r="840" spans="1:2" x14ac:dyDescent="0.2">
      <c r="A840" t="s">
        <v>2681</v>
      </c>
      <c r="B840" s="1497"/>
    </row>
    <row r="841" spans="1:2" x14ac:dyDescent="0.2">
      <c r="A841" t="s">
        <v>2682</v>
      </c>
      <c r="B841" s="1497"/>
    </row>
    <row r="842" spans="1:2" x14ac:dyDescent="0.2">
      <c r="A842" t="s">
        <v>2683</v>
      </c>
      <c r="B842" s="1497"/>
    </row>
    <row r="843" spans="1:2" x14ac:dyDescent="0.2">
      <c r="A843" t="s">
        <v>2684</v>
      </c>
      <c r="B843" s="1497"/>
    </row>
    <row r="844" spans="1:2" x14ac:dyDescent="0.2">
      <c r="A844" t="s">
        <v>2685</v>
      </c>
      <c r="B844" s="1497"/>
    </row>
    <row r="845" spans="1:2" x14ac:dyDescent="0.2">
      <c r="A845" t="s">
        <v>2686</v>
      </c>
      <c r="B845" s="1497"/>
    </row>
    <row r="846" spans="1:2" x14ac:dyDescent="0.2">
      <c r="A846" t="s">
        <v>2687</v>
      </c>
      <c r="B846" s="1497"/>
    </row>
    <row r="847" spans="1:2" x14ac:dyDescent="0.2">
      <c r="A847" t="s">
        <v>2688</v>
      </c>
      <c r="B847" s="1497"/>
    </row>
    <row r="848" spans="1:2" x14ac:dyDescent="0.2">
      <c r="A848" t="s">
        <v>2689</v>
      </c>
      <c r="B848" s="1497"/>
    </row>
    <row r="849" spans="1:2" x14ac:dyDescent="0.2">
      <c r="A849" t="s">
        <v>2690</v>
      </c>
      <c r="B849" s="1497"/>
    </row>
    <row r="850" spans="1:2" x14ac:dyDescent="0.2">
      <c r="A850" t="s">
        <v>2691</v>
      </c>
      <c r="B850" s="1497"/>
    </row>
    <row r="851" spans="1:2" x14ac:dyDescent="0.2">
      <c r="A851" t="s">
        <v>2692</v>
      </c>
      <c r="B851" s="1497"/>
    </row>
    <row r="852" spans="1:2" x14ac:dyDescent="0.2">
      <c r="A852" t="s">
        <v>2693</v>
      </c>
      <c r="B852" s="1497"/>
    </row>
    <row r="853" spans="1:2" x14ac:dyDescent="0.2">
      <c r="A853" t="s">
        <v>2694</v>
      </c>
      <c r="B853" s="1497"/>
    </row>
    <row r="854" spans="1:2" x14ac:dyDescent="0.2">
      <c r="A854" t="s">
        <v>2695</v>
      </c>
      <c r="B854" s="1497"/>
    </row>
    <row r="855" spans="1:2" x14ac:dyDescent="0.2">
      <c r="A855" t="s">
        <v>2696</v>
      </c>
      <c r="B855" s="1497"/>
    </row>
    <row r="856" spans="1:2" x14ac:dyDescent="0.2">
      <c r="A856" t="s">
        <v>2697</v>
      </c>
      <c r="B856" s="1497"/>
    </row>
    <row r="857" spans="1:2" x14ac:dyDescent="0.2">
      <c r="A857" t="s">
        <v>2698</v>
      </c>
      <c r="B857" s="1497"/>
    </row>
    <row r="858" spans="1:2" x14ac:dyDescent="0.2">
      <c r="A858" t="s">
        <v>2699</v>
      </c>
      <c r="B858" s="1497"/>
    </row>
    <row r="859" spans="1:2" x14ac:dyDescent="0.2">
      <c r="A859" t="s">
        <v>2700</v>
      </c>
      <c r="B859" s="1497"/>
    </row>
    <row r="860" spans="1:2" x14ac:dyDescent="0.2">
      <c r="A860" t="s">
        <v>2701</v>
      </c>
      <c r="B860" s="1497"/>
    </row>
    <row r="861" spans="1:2" x14ac:dyDescent="0.2">
      <c r="A861" t="s">
        <v>2702</v>
      </c>
      <c r="B861" s="1497"/>
    </row>
    <row r="862" spans="1:2" x14ac:dyDescent="0.2">
      <c r="A862" t="s">
        <v>2703</v>
      </c>
      <c r="B862" s="1497"/>
    </row>
    <row r="863" spans="1:2" x14ac:dyDescent="0.2">
      <c r="A863" t="s">
        <v>2704</v>
      </c>
      <c r="B863" s="1497"/>
    </row>
    <row r="864" spans="1:2" x14ac:dyDescent="0.2">
      <c r="A864" t="s">
        <v>2705</v>
      </c>
      <c r="B864" s="1497"/>
    </row>
    <row r="865" spans="1:3" x14ac:dyDescent="0.2">
      <c r="A865" t="s">
        <v>2706</v>
      </c>
      <c r="B865" s="1497"/>
    </row>
    <row r="866" spans="1:3" x14ac:dyDescent="0.2">
      <c r="A866" t="s">
        <v>2707</v>
      </c>
      <c r="B866" s="1497"/>
    </row>
    <row r="867" spans="1:3" x14ac:dyDescent="0.2">
      <c r="A867" t="s">
        <v>2708</v>
      </c>
      <c r="B867" s="1497"/>
    </row>
    <row r="868" spans="1:3" x14ac:dyDescent="0.2">
      <c r="A868" t="s">
        <v>2709</v>
      </c>
      <c r="B868" s="1497"/>
    </row>
    <row r="869" spans="1:3" x14ac:dyDescent="0.2">
      <c r="A869" t="s">
        <v>2710</v>
      </c>
      <c r="B869" s="1497"/>
    </row>
    <row r="870" spans="1:3" x14ac:dyDescent="0.2">
      <c r="A870" t="s">
        <v>2711</v>
      </c>
      <c r="B870" s="1497"/>
    </row>
    <row r="871" spans="1:3" x14ac:dyDescent="0.2">
      <c r="A871" s="1532"/>
      <c r="B871" s="272"/>
    </row>
    <row r="872" spans="1:3" x14ac:dyDescent="0.2">
      <c r="A872" s="272" t="s">
        <v>2712</v>
      </c>
      <c r="B872" s="272"/>
    </row>
    <row r="873" spans="1:3" x14ac:dyDescent="0.2">
      <c r="A873" s="1532" t="s">
        <v>2713</v>
      </c>
      <c r="B873" s="272"/>
    </row>
    <row r="874" spans="1:3" x14ac:dyDescent="0.2">
      <c r="A874" s="272" t="s">
        <v>2714</v>
      </c>
      <c r="B874" s="272"/>
    </row>
    <row r="875" spans="1:3" ht="14.25" customHeight="1" x14ac:dyDescent="0.2">
      <c r="A875" s="272"/>
    </row>
    <row r="876" spans="1:3" ht="18.75" thickBot="1" x14ac:dyDescent="0.3">
      <c r="A876" s="1313" t="s">
        <v>4952</v>
      </c>
      <c r="B876" s="1485" t="s">
        <v>4670</v>
      </c>
    </row>
    <row r="877" spans="1:3" x14ac:dyDescent="0.2">
      <c r="A877" s="1316" t="s">
        <v>1894</v>
      </c>
      <c r="B877" s="2262" t="s">
        <v>4953</v>
      </c>
    </row>
    <row r="878" spans="1:3" x14ac:dyDescent="0.2">
      <c r="A878" s="1314" t="s">
        <v>2715</v>
      </c>
      <c r="B878" s="1486" t="s">
        <v>3495</v>
      </c>
    </row>
    <row r="879" spans="1:3" ht="13.5" thickBot="1" x14ac:dyDescent="0.25">
      <c r="A879" s="1314" t="s">
        <v>782</v>
      </c>
      <c r="B879" s="1484" t="s">
        <v>3496</v>
      </c>
      <c r="C879" s="290">
        <v>2310</v>
      </c>
    </row>
    <row r="880" spans="1:3" x14ac:dyDescent="0.2">
      <c r="A880" s="1465" t="s">
        <v>2716</v>
      </c>
      <c r="B880" s="1465"/>
    </row>
    <row r="881" spans="1:2" x14ac:dyDescent="0.2">
      <c r="A881" s="1465" t="s">
        <v>2717</v>
      </c>
      <c r="B881" s="1465"/>
    </row>
    <row r="882" spans="1:2" x14ac:dyDescent="0.2">
      <c r="A882" t="s">
        <v>2718</v>
      </c>
      <c r="B882"/>
    </row>
    <row r="883" spans="1:2" x14ac:dyDescent="0.2">
      <c r="A883" t="s">
        <v>2719</v>
      </c>
      <c r="B883"/>
    </row>
    <row r="884" spans="1:2" x14ac:dyDescent="0.2">
      <c r="A884" t="s">
        <v>2720</v>
      </c>
      <c r="B884"/>
    </row>
    <row r="885" spans="1:2" x14ac:dyDescent="0.2">
      <c r="A885" t="s">
        <v>2721</v>
      </c>
      <c r="B885"/>
    </row>
    <row r="886" spans="1:2" x14ac:dyDescent="0.2">
      <c r="A886" t="s">
        <v>2722</v>
      </c>
      <c r="B886"/>
    </row>
    <row r="887" spans="1:2" x14ac:dyDescent="0.2">
      <c r="A887" t="s">
        <v>2723</v>
      </c>
      <c r="B887"/>
    </row>
    <row r="888" spans="1:2" x14ac:dyDescent="0.2">
      <c r="A888" t="s">
        <v>2724</v>
      </c>
      <c r="B888"/>
    </row>
    <row r="889" spans="1:2" x14ac:dyDescent="0.2">
      <c r="A889" t="s">
        <v>2725</v>
      </c>
      <c r="B889"/>
    </row>
    <row r="890" spans="1:2" x14ac:dyDescent="0.2">
      <c r="A890" t="s">
        <v>2726</v>
      </c>
      <c r="B890"/>
    </row>
    <row r="891" spans="1:2" x14ac:dyDescent="0.2">
      <c r="A891" t="s">
        <v>2727</v>
      </c>
      <c r="B891"/>
    </row>
    <row r="892" spans="1:2" x14ac:dyDescent="0.2">
      <c r="A892" t="s">
        <v>2728</v>
      </c>
      <c r="B892"/>
    </row>
    <row r="893" spans="1:2" x14ac:dyDescent="0.2">
      <c r="A893" t="s">
        <v>2729</v>
      </c>
      <c r="B893"/>
    </row>
    <row r="894" spans="1:2" x14ac:dyDescent="0.2">
      <c r="A894" t="s">
        <v>2730</v>
      </c>
      <c r="B894"/>
    </row>
    <row r="895" spans="1:2" x14ac:dyDescent="0.2">
      <c r="A895" t="s">
        <v>2731</v>
      </c>
      <c r="B895" s="1465"/>
    </row>
    <row r="896" spans="1:2" x14ac:dyDescent="0.2">
      <c r="A896" s="1465" t="s">
        <v>2732</v>
      </c>
      <c r="B896" t="s">
        <v>2054</v>
      </c>
    </row>
    <row r="897" spans="1:3" x14ac:dyDescent="0.2">
      <c r="A897" t="s">
        <v>2733</v>
      </c>
      <c r="B897"/>
    </row>
    <row r="898" spans="1:3" x14ac:dyDescent="0.2">
      <c r="A898" t="s">
        <v>2734</v>
      </c>
      <c r="B898"/>
    </row>
    <row r="899" spans="1:3" x14ac:dyDescent="0.2">
      <c r="A899" t="s">
        <v>2735</v>
      </c>
      <c r="B899" t="s">
        <v>2054</v>
      </c>
    </row>
    <row r="900" spans="1:3" ht="25.5" x14ac:dyDescent="0.2">
      <c r="A900" s="1456" t="s">
        <v>1425</v>
      </c>
      <c r="B900" s="1510" t="s">
        <v>3794</v>
      </c>
      <c r="C900" s="290">
        <v>2320</v>
      </c>
    </row>
    <row r="901" spans="1:3" x14ac:dyDescent="0.2">
      <c r="A901" s="1457" t="s">
        <v>2736</v>
      </c>
      <c r="B901" s="1538"/>
    </row>
    <row r="902" spans="1:3" x14ac:dyDescent="0.2">
      <c r="A902" s="1452" t="s">
        <v>1426</v>
      </c>
      <c r="B902" s="1539" t="s">
        <v>1969</v>
      </c>
      <c r="C902" s="290">
        <v>2330</v>
      </c>
    </row>
    <row r="903" spans="1:3" x14ac:dyDescent="0.2">
      <c r="A903" s="272" t="s">
        <v>2737</v>
      </c>
      <c r="B903" s="1538"/>
    </row>
    <row r="904" spans="1:3" x14ac:dyDescent="0.2">
      <c r="A904" s="272" t="s">
        <v>2738</v>
      </c>
      <c r="B904" s="1538"/>
    </row>
    <row r="905" spans="1:3" x14ac:dyDescent="0.2">
      <c r="A905" s="272" t="s">
        <v>2739</v>
      </c>
      <c r="B905" s="1538"/>
    </row>
    <row r="906" spans="1:3" x14ac:dyDescent="0.2">
      <c r="A906" s="1528" t="s">
        <v>2740</v>
      </c>
      <c r="B906" s="1540"/>
    </row>
    <row r="907" spans="1:3" x14ac:dyDescent="0.2">
      <c r="A907" s="1458" t="s">
        <v>291</v>
      </c>
      <c r="B907" s="1511" t="s">
        <v>1969</v>
      </c>
      <c r="C907" s="357" t="s">
        <v>775</v>
      </c>
    </row>
    <row r="908" spans="1:3" x14ac:dyDescent="0.2">
      <c r="A908" s="1457" t="s">
        <v>2741</v>
      </c>
      <c r="B908" s="1540"/>
    </row>
    <row r="909" spans="1:3" x14ac:dyDescent="0.2">
      <c r="A909" s="1452" t="s">
        <v>1427</v>
      </c>
      <c r="B909" s="1511" t="s">
        <v>1969</v>
      </c>
      <c r="C909" s="290">
        <v>2350</v>
      </c>
    </row>
    <row r="910" spans="1:3" x14ac:dyDescent="0.2">
      <c r="A910" s="1457" t="s">
        <v>2742</v>
      </c>
      <c r="B910" s="1540"/>
    </row>
    <row r="911" spans="1:3" x14ac:dyDescent="0.2">
      <c r="A911" s="1452" t="s">
        <v>388</v>
      </c>
      <c r="B911" s="1511" t="s">
        <v>2743</v>
      </c>
      <c r="C911" s="290">
        <v>2370</v>
      </c>
    </row>
    <row r="912" spans="1:3" x14ac:dyDescent="0.2">
      <c r="A912" s="1452" t="s">
        <v>2744</v>
      </c>
      <c r="B912" s="1511" t="s">
        <v>2745</v>
      </c>
      <c r="C912" s="290">
        <v>2390</v>
      </c>
    </row>
    <row r="913" spans="1:3" x14ac:dyDescent="0.2">
      <c r="A913" s="1452" t="s">
        <v>2746</v>
      </c>
      <c r="B913" s="1511" t="s">
        <v>2747</v>
      </c>
      <c r="C913" s="290">
        <v>2400</v>
      </c>
    </row>
    <row r="914" spans="1:3" x14ac:dyDescent="0.2">
      <c r="A914" s="1452" t="s">
        <v>391</v>
      </c>
      <c r="B914" s="1511" t="s">
        <v>1969</v>
      </c>
      <c r="C914" s="290">
        <v>2410</v>
      </c>
    </row>
    <row r="915" spans="1:3" x14ac:dyDescent="0.2">
      <c r="A915" t="s">
        <v>2748</v>
      </c>
      <c r="B915"/>
    </row>
    <row r="916" spans="1:3" x14ac:dyDescent="0.2">
      <c r="A916" t="s">
        <v>2749</v>
      </c>
      <c r="B916"/>
    </row>
    <row r="917" spans="1:3" x14ac:dyDescent="0.2">
      <c r="A917" t="s">
        <v>2750</v>
      </c>
      <c r="B917"/>
    </row>
    <row r="918" spans="1:3" x14ac:dyDescent="0.2">
      <c r="A918" s="1452" t="s">
        <v>783</v>
      </c>
      <c r="B918" s="1511" t="s">
        <v>1969</v>
      </c>
      <c r="C918" s="290">
        <v>2420</v>
      </c>
    </row>
    <row r="919" spans="1:3" x14ac:dyDescent="0.2">
      <c r="A919" t="s">
        <v>2751</v>
      </c>
      <c r="B919"/>
    </row>
    <row r="920" spans="1:3" x14ac:dyDescent="0.2">
      <c r="A920" t="s">
        <v>2752</v>
      </c>
      <c r="B920"/>
    </row>
    <row r="921" spans="1:3" x14ac:dyDescent="0.2">
      <c r="A921" t="s">
        <v>2753</v>
      </c>
      <c r="B921"/>
    </row>
    <row r="922" spans="1:3" ht="38.25" x14ac:dyDescent="0.2">
      <c r="A922" s="1452" t="s">
        <v>8</v>
      </c>
      <c r="B922" s="1510" t="s">
        <v>3795</v>
      </c>
      <c r="C922" s="290">
        <v>2430</v>
      </c>
    </row>
    <row r="923" spans="1:3" x14ac:dyDescent="0.2">
      <c r="A923" t="s">
        <v>2754</v>
      </c>
      <c r="B923" t="s">
        <v>2755</v>
      </c>
    </row>
    <row r="924" spans="1:3" x14ac:dyDescent="0.2">
      <c r="A924" t="s">
        <v>2756</v>
      </c>
      <c r="B924" t="s">
        <v>2755</v>
      </c>
    </row>
    <row r="925" spans="1:3" x14ac:dyDescent="0.2">
      <c r="A925" t="s">
        <v>2757</v>
      </c>
      <c r="B925" s="272" t="s">
        <v>2758</v>
      </c>
    </row>
    <row r="926" spans="1:3" x14ac:dyDescent="0.2">
      <c r="A926" s="272" t="s">
        <v>2759</v>
      </c>
      <c r="B926" s="272" t="s">
        <v>2758</v>
      </c>
    </row>
    <row r="927" spans="1:3" x14ac:dyDescent="0.2">
      <c r="A927" s="1465" t="s">
        <v>2760</v>
      </c>
      <c r="B927" s="272" t="s">
        <v>2758</v>
      </c>
    </row>
    <row r="928" spans="1:3" x14ac:dyDescent="0.2">
      <c r="A928" s="272" t="s">
        <v>2761</v>
      </c>
      <c r="B928" s="272" t="s">
        <v>2762</v>
      </c>
    </row>
    <row r="929" spans="1:3" x14ac:dyDescent="0.2">
      <c r="A929" s="1459" t="s">
        <v>2763</v>
      </c>
      <c r="B929" s="1511" t="s">
        <v>1969</v>
      </c>
      <c r="C929" s="357" t="s">
        <v>775</v>
      </c>
    </row>
    <row r="930" spans="1:3" x14ac:dyDescent="0.2">
      <c r="A930" s="272" t="s">
        <v>2764</v>
      </c>
      <c r="B930" s="272" t="s">
        <v>2765</v>
      </c>
    </row>
    <row r="931" spans="1:3" x14ac:dyDescent="0.2">
      <c r="A931" s="272" t="s">
        <v>2766</v>
      </c>
      <c r="B931" s="272" t="s">
        <v>2765</v>
      </c>
    </row>
    <row r="932" spans="1:3" x14ac:dyDescent="0.2">
      <c r="A932" s="1452" t="s">
        <v>2767</v>
      </c>
      <c r="B932" s="1511" t="s">
        <v>1969</v>
      </c>
      <c r="C932" s="357" t="s">
        <v>775</v>
      </c>
    </row>
    <row r="933" spans="1:3" x14ac:dyDescent="0.2">
      <c r="A933" t="s">
        <v>2768</v>
      </c>
      <c r="B933"/>
    </row>
    <row r="934" spans="1:3" x14ac:dyDescent="0.2">
      <c r="A934" s="1452" t="s">
        <v>643</v>
      </c>
      <c r="B934" s="1511" t="s">
        <v>1969</v>
      </c>
      <c r="C934" s="290">
        <v>2450</v>
      </c>
    </row>
    <row r="935" spans="1:3" x14ac:dyDescent="0.2">
      <c r="A935" t="s">
        <v>2769</v>
      </c>
      <c r="B935"/>
    </row>
    <row r="936" spans="1:3" x14ac:dyDescent="0.2">
      <c r="A936" t="s">
        <v>2770</v>
      </c>
      <c r="B936"/>
    </row>
    <row r="937" spans="1:3" x14ac:dyDescent="0.2">
      <c r="A937" t="s">
        <v>2771</v>
      </c>
      <c r="B937"/>
    </row>
    <row r="938" spans="1:3" x14ac:dyDescent="0.2">
      <c r="A938" t="s">
        <v>2772</v>
      </c>
      <c r="B938"/>
    </row>
    <row r="939" spans="1:3" x14ac:dyDescent="0.2">
      <c r="A939" t="s">
        <v>2773</v>
      </c>
      <c r="B939"/>
    </row>
    <row r="940" spans="1:3" x14ac:dyDescent="0.2">
      <c r="A940" t="s">
        <v>2774</v>
      </c>
      <c r="B940"/>
    </row>
    <row r="941" spans="1:3" x14ac:dyDescent="0.2">
      <c r="A941" t="s">
        <v>2775</v>
      </c>
      <c r="B941"/>
    </row>
    <row r="942" spans="1:3" x14ac:dyDescent="0.2">
      <c r="A942" t="s">
        <v>2776</v>
      </c>
      <c r="B942"/>
    </row>
    <row r="943" spans="1:3" x14ac:dyDescent="0.2">
      <c r="A943" t="s">
        <v>2777</v>
      </c>
      <c r="B943"/>
    </row>
    <row r="944" spans="1:3" x14ac:dyDescent="0.2">
      <c r="A944" t="s">
        <v>2778</v>
      </c>
      <c r="B944" s="272" t="s">
        <v>2779</v>
      </c>
    </row>
    <row r="945" spans="1:3" x14ac:dyDescent="0.2">
      <c r="A945" t="s">
        <v>2780</v>
      </c>
      <c r="B945"/>
    </row>
    <row r="946" spans="1:3" x14ac:dyDescent="0.2">
      <c r="A946" t="s">
        <v>3981</v>
      </c>
      <c r="B946" s="272" t="s">
        <v>3982</v>
      </c>
    </row>
    <row r="947" spans="1:3" x14ac:dyDescent="0.2">
      <c r="A947" t="s">
        <v>2781</v>
      </c>
      <c r="B947"/>
    </row>
    <row r="948" spans="1:3" x14ac:dyDescent="0.2">
      <c r="A948" t="s">
        <v>2782</v>
      </c>
      <c r="B948"/>
    </row>
    <row r="949" spans="1:3" x14ac:dyDescent="0.2">
      <c r="A949" s="1452" t="s">
        <v>2783</v>
      </c>
      <c r="B949" s="1511" t="s">
        <v>1969</v>
      </c>
      <c r="C949" s="357" t="s">
        <v>775</v>
      </c>
    </row>
    <row r="950" spans="1:3" x14ac:dyDescent="0.2">
      <c r="A950" s="272" t="s">
        <v>2784</v>
      </c>
      <c r="B950" t="s">
        <v>2785</v>
      </c>
    </row>
    <row r="951" spans="1:3" x14ac:dyDescent="0.2">
      <c r="A951" s="1311" t="s">
        <v>2786</v>
      </c>
      <c r="B951" s="1611" t="s">
        <v>1969</v>
      </c>
      <c r="C951" s="357" t="s">
        <v>775</v>
      </c>
    </row>
    <row r="952" spans="1:3" x14ac:dyDescent="0.2">
      <c r="A952" s="272" t="s">
        <v>2787</v>
      </c>
      <c r="B952" t="s">
        <v>2302</v>
      </c>
    </row>
    <row r="953" spans="1:3" x14ac:dyDescent="0.2">
      <c r="A953" t="s">
        <v>2842</v>
      </c>
      <c r="B953"/>
    </row>
    <row r="954" spans="1:3" x14ac:dyDescent="0.2">
      <c r="A954" t="s">
        <v>2788</v>
      </c>
      <c r="B954" t="s">
        <v>2789</v>
      </c>
    </row>
    <row r="955" spans="1:3" x14ac:dyDescent="0.2">
      <c r="A955" s="272" t="s">
        <v>2790</v>
      </c>
      <c r="B955" t="s">
        <v>2302</v>
      </c>
    </row>
    <row r="956" spans="1:3" x14ac:dyDescent="0.2">
      <c r="A956" t="s">
        <v>2791</v>
      </c>
      <c r="B956" t="s">
        <v>2302</v>
      </c>
    </row>
    <row r="957" spans="1:3" x14ac:dyDescent="0.2">
      <c r="A957" t="s">
        <v>2792</v>
      </c>
      <c r="B957" t="s">
        <v>2302</v>
      </c>
    </row>
    <row r="958" spans="1:3" x14ac:dyDescent="0.2">
      <c r="A958" s="2664" t="s">
        <v>5746</v>
      </c>
      <c r="B958" s="2664" t="s">
        <v>5747</v>
      </c>
    </row>
    <row r="959" spans="1:3" x14ac:dyDescent="0.2">
      <c r="A959" t="s">
        <v>2793</v>
      </c>
      <c r="B959" t="s">
        <v>2302</v>
      </c>
    </row>
    <row r="960" spans="1:3" x14ac:dyDescent="0.2">
      <c r="A960" t="s">
        <v>2794</v>
      </c>
      <c r="B960" t="s">
        <v>2302</v>
      </c>
    </row>
    <row r="961" spans="1:3" x14ac:dyDescent="0.2">
      <c r="A961" t="s">
        <v>2795</v>
      </c>
      <c r="B961" t="s">
        <v>2302</v>
      </c>
    </row>
    <row r="962" spans="1:3" x14ac:dyDescent="0.2">
      <c r="A962" t="s">
        <v>2796</v>
      </c>
      <c r="B962" t="s">
        <v>2797</v>
      </c>
    </row>
    <row r="963" spans="1:3" x14ac:dyDescent="0.2">
      <c r="A963" s="1095" t="s">
        <v>2798</v>
      </c>
      <c r="B963" s="272" t="s">
        <v>2041</v>
      </c>
    </row>
    <row r="964" spans="1:3" x14ac:dyDescent="0.2">
      <c r="A964" t="s">
        <v>2799</v>
      </c>
      <c r="B964" t="s">
        <v>2800</v>
      </c>
    </row>
    <row r="965" spans="1:3" x14ac:dyDescent="0.2">
      <c r="A965" t="s">
        <v>2801</v>
      </c>
      <c r="B965" t="s">
        <v>2802</v>
      </c>
    </row>
    <row r="966" spans="1:3" x14ac:dyDescent="0.2">
      <c r="A966" t="s">
        <v>2803</v>
      </c>
      <c r="B966" t="s">
        <v>2804</v>
      </c>
    </row>
    <row r="967" spans="1:3" x14ac:dyDescent="0.2">
      <c r="A967" t="s">
        <v>2805</v>
      </c>
      <c r="B967" t="s">
        <v>2804</v>
      </c>
    </row>
    <row r="968" spans="1:3" x14ac:dyDescent="0.2">
      <c r="A968" t="s">
        <v>2806</v>
      </c>
      <c r="B968" t="s">
        <v>2804</v>
      </c>
    </row>
    <row r="969" spans="1:3" x14ac:dyDescent="0.2">
      <c r="A969" t="s">
        <v>2807</v>
      </c>
      <c r="B969" t="s">
        <v>2808</v>
      </c>
    </row>
    <row r="970" spans="1:3" x14ac:dyDescent="0.2">
      <c r="A970" t="s">
        <v>2809</v>
      </c>
      <c r="B970" t="s">
        <v>2808</v>
      </c>
    </row>
    <row r="971" spans="1:3" x14ac:dyDescent="0.2">
      <c r="A971" t="s">
        <v>2810</v>
      </c>
      <c r="B971" t="s">
        <v>2811</v>
      </c>
    </row>
    <row r="972" spans="1:3" x14ac:dyDescent="0.2">
      <c r="A972" s="272" t="s">
        <v>2812</v>
      </c>
      <c r="B972" s="272" t="s">
        <v>2813</v>
      </c>
    </row>
    <row r="973" spans="1:3" x14ac:dyDescent="0.2">
      <c r="A973" s="1452" t="s">
        <v>2814</v>
      </c>
      <c r="B973" s="1511" t="s">
        <v>1969</v>
      </c>
      <c r="C973" s="357" t="s">
        <v>775</v>
      </c>
    </row>
    <row r="974" spans="1:3" x14ac:dyDescent="0.2">
      <c r="A974" s="272" t="s">
        <v>2815</v>
      </c>
      <c r="B974"/>
      <c r="C974" s="357"/>
    </row>
    <row r="975" spans="1:3" x14ac:dyDescent="0.2">
      <c r="A975" s="272" t="s">
        <v>2816</v>
      </c>
      <c r="B975"/>
    </row>
    <row r="976" spans="1:3" x14ac:dyDescent="0.2">
      <c r="A976" s="272" t="s">
        <v>2817</v>
      </c>
      <c r="B976"/>
    </row>
    <row r="977" spans="1:2" x14ac:dyDescent="0.2">
      <c r="A977" s="272" t="s">
        <v>2818</v>
      </c>
      <c r="B977"/>
    </row>
    <row r="978" spans="1:2" x14ac:dyDescent="0.2">
      <c r="A978" s="272" t="s">
        <v>2819</v>
      </c>
      <c r="B978"/>
    </row>
    <row r="979" spans="1:2" x14ac:dyDescent="0.2">
      <c r="A979" s="272" t="s">
        <v>2820</v>
      </c>
      <c r="B979"/>
    </row>
    <row r="980" spans="1:2" x14ac:dyDescent="0.2">
      <c r="A980" s="272" t="s">
        <v>2821</v>
      </c>
      <c r="B980"/>
    </row>
    <row r="981" spans="1:2" x14ac:dyDescent="0.2">
      <c r="A981" s="272" t="s">
        <v>2822</v>
      </c>
      <c r="B981"/>
    </row>
    <row r="982" spans="1:2" x14ac:dyDescent="0.2">
      <c r="A982" s="272" t="s">
        <v>2823</v>
      </c>
      <c r="B982"/>
    </row>
    <row r="983" spans="1:2" x14ac:dyDescent="0.2">
      <c r="A983" t="s">
        <v>2824</v>
      </c>
      <c r="B983"/>
    </row>
    <row r="984" spans="1:2" x14ac:dyDescent="0.2">
      <c r="A984" t="s">
        <v>2825</v>
      </c>
      <c r="B984"/>
    </row>
    <row r="985" spans="1:2" x14ac:dyDescent="0.2">
      <c r="A985" t="s">
        <v>2826</v>
      </c>
      <c r="B985"/>
    </row>
    <row r="986" spans="1:2" x14ac:dyDescent="0.2">
      <c r="A986" t="s">
        <v>2827</v>
      </c>
      <c r="B986"/>
    </row>
    <row r="987" spans="1:2" x14ac:dyDescent="0.2">
      <c r="A987" t="s">
        <v>2828</v>
      </c>
      <c r="B987"/>
    </row>
    <row r="988" spans="1:2" x14ac:dyDescent="0.2">
      <c r="A988" t="s">
        <v>2829</v>
      </c>
      <c r="B988"/>
    </row>
    <row r="989" spans="1:2" x14ac:dyDescent="0.2">
      <c r="A989" t="s">
        <v>2830</v>
      </c>
      <c r="B989"/>
    </row>
    <row r="990" spans="1:2" x14ac:dyDescent="0.2">
      <c r="A990" t="s">
        <v>2831</v>
      </c>
      <c r="B990"/>
    </row>
    <row r="991" spans="1:2" x14ac:dyDescent="0.2">
      <c r="A991" s="272" t="s">
        <v>4420</v>
      </c>
      <c r="B991" s="272" t="s">
        <v>4422</v>
      </c>
    </row>
    <row r="992" spans="1:2" x14ac:dyDescent="0.2">
      <c r="A992" s="272" t="s">
        <v>4421</v>
      </c>
      <c r="B992" s="272" t="s">
        <v>4422</v>
      </c>
    </row>
    <row r="993" spans="1:2" x14ac:dyDescent="0.2">
      <c r="A993" t="s">
        <v>2832</v>
      </c>
      <c r="B993"/>
    </row>
    <row r="994" spans="1:2" x14ac:dyDescent="0.2">
      <c r="A994" t="s">
        <v>2833</v>
      </c>
      <c r="B994"/>
    </row>
    <row r="995" spans="1:2" x14ac:dyDescent="0.2">
      <c r="A995" t="s">
        <v>2834</v>
      </c>
      <c r="B995"/>
    </row>
    <row r="996" spans="1:2" x14ac:dyDescent="0.2">
      <c r="A996" t="s">
        <v>2835</v>
      </c>
      <c r="B996"/>
    </row>
    <row r="997" spans="1:2" x14ac:dyDescent="0.2">
      <c r="A997" t="s">
        <v>2836</v>
      </c>
      <c r="B997" s="272" t="s">
        <v>2837</v>
      </c>
    </row>
    <row r="998" spans="1:2" x14ac:dyDescent="0.2">
      <c r="A998" t="s">
        <v>2838</v>
      </c>
      <c r="B998" s="272" t="s">
        <v>2837</v>
      </c>
    </row>
    <row r="999" spans="1:2" x14ac:dyDescent="0.2">
      <c r="A999" t="s">
        <v>2839</v>
      </c>
      <c r="B999" t="s">
        <v>2840</v>
      </c>
    </row>
    <row r="1000" spans="1:2" x14ac:dyDescent="0.2">
      <c r="A1000" t="s">
        <v>2841</v>
      </c>
      <c r="B1000"/>
    </row>
    <row r="1001" spans="1:2" x14ac:dyDescent="0.2">
      <c r="A1001" s="272" t="s">
        <v>3769</v>
      </c>
      <c r="B1001" s="272" t="s">
        <v>3770</v>
      </c>
    </row>
    <row r="1002" spans="1:2" x14ac:dyDescent="0.2">
      <c r="A1002" s="272" t="s">
        <v>3771</v>
      </c>
      <c r="B1002" s="272" t="s">
        <v>3770</v>
      </c>
    </row>
    <row r="1003" spans="1:2" x14ac:dyDescent="0.2">
      <c r="A1003" s="272" t="s">
        <v>3772</v>
      </c>
      <c r="B1003" s="272" t="s">
        <v>3770</v>
      </c>
    </row>
    <row r="1004" spans="1:2" x14ac:dyDescent="0.2">
      <c r="A1004" s="272" t="s">
        <v>3773</v>
      </c>
      <c r="B1004" s="272" t="s">
        <v>3770</v>
      </c>
    </row>
    <row r="1005" spans="1:2" x14ac:dyDescent="0.2">
      <c r="A1005" s="272" t="s">
        <v>3774</v>
      </c>
      <c r="B1005" s="272" t="s">
        <v>3770</v>
      </c>
    </row>
    <row r="1006" spans="1:2" x14ac:dyDescent="0.2">
      <c r="A1006" s="272" t="s">
        <v>3775</v>
      </c>
      <c r="B1006" s="272" t="s">
        <v>3776</v>
      </c>
    </row>
    <row r="1007" spans="1:2" x14ac:dyDescent="0.2">
      <c r="A1007" t="s">
        <v>2843</v>
      </c>
      <c r="B1007"/>
    </row>
    <row r="1008" spans="1:2" x14ac:dyDescent="0.2">
      <c r="A1008" t="s">
        <v>2844</v>
      </c>
      <c r="B1008" t="s">
        <v>2846</v>
      </c>
    </row>
    <row r="1009" spans="1:2" x14ac:dyDescent="0.2">
      <c r="A1009" s="1465" t="s">
        <v>2845</v>
      </c>
      <c r="B1009"/>
    </row>
    <row r="1010" spans="1:2" x14ac:dyDescent="0.2">
      <c r="A1010" t="s">
        <v>2847</v>
      </c>
      <c r="B1010"/>
    </row>
    <row r="1011" spans="1:2" x14ac:dyDescent="0.2">
      <c r="A1011" t="s">
        <v>2848</v>
      </c>
      <c r="B1011"/>
    </row>
    <row r="1012" spans="1:2" x14ac:dyDescent="0.2">
      <c r="A1012" t="s">
        <v>2849</v>
      </c>
      <c r="B1012"/>
    </row>
    <row r="1013" spans="1:2" x14ac:dyDescent="0.2">
      <c r="A1013" t="s">
        <v>2850</v>
      </c>
      <c r="B1013"/>
    </row>
    <row r="1014" spans="1:2" x14ac:dyDescent="0.2">
      <c r="A1014" t="s">
        <v>2851</v>
      </c>
      <c r="B1014" t="s">
        <v>2853</v>
      </c>
    </row>
    <row r="1015" spans="1:2" x14ac:dyDescent="0.2">
      <c r="A1015" t="s">
        <v>2852</v>
      </c>
      <c r="B1015" t="s">
        <v>2853</v>
      </c>
    </row>
    <row r="1016" spans="1:2" x14ac:dyDescent="0.2">
      <c r="A1016" t="s">
        <v>2854</v>
      </c>
      <c r="B1016" t="s">
        <v>2853</v>
      </c>
    </row>
    <row r="1017" spans="1:2" x14ac:dyDescent="0.2">
      <c r="A1017" t="s">
        <v>2855</v>
      </c>
      <c r="B1017" t="s">
        <v>2857</v>
      </c>
    </row>
    <row r="1018" spans="1:2" x14ac:dyDescent="0.2">
      <c r="A1018" t="s">
        <v>2856</v>
      </c>
      <c r="B1018"/>
    </row>
    <row r="1019" spans="1:2" x14ac:dyDescent="0.2">
      <c r="A1019" t="s">
        <v>2858</v>
      </c>
      <c r="B1019"/>
    </row>
    <row r="1020" spans="1:2" x14ac:dyDescent="0.2">
      <c r="A1020" t="s">
        <v>2859</v>
      </c>
      <c r="B1020"/>
    </row>
    <row r="1021" spans="1:2" x14ac:dyDescent="0.2">
      <c r="A1021" t="s">
        <v>2860</v>
      </c>
      <c r="B1021"/>
    </row>
    <row r="1022" spans="1:2" x14ac:dyDescent="0.2">
      <c r="A1022" t="s">
        <v>2861</v>
      </c>
      <c r="B1022"/>
    </row>
    <row r="1023" spans="1:2" x14ac:dyDescent="0.2">
      <c r="A1023" t="s">
        <v>2862</v>
      </c>
      <c r="B1023"/>
    </row>
    <row r="1024" spans="1:2" x14ac:dyDescent="0.2">
      <c r="A1024" t="s">
        <v>2863</v>
      </c>
      <c r="B1024"/>
    </row>
    <row r="1025" spans="1:3" x14ac:dyDescent="0.2">
      <c r="A1025" t="s">
        <v>2864</v>
      </c>
      <c r="B1025"/>
    </row>
    <row r="1026" spans="1:3" x14ac:dyDescent="0.2">
      <c r="A1026" t="s">
        <v>2865</v>
      </c>
      <c r="B1026" s="272" t="s">
        <v>2867</v>
      </c>
    </row>
    <row r="1027" spans="1:3" x14ac:dyDescent="0.2">
      <c r="A1027" t="s">
        <v>2866</v>
      </c>
      <c r="B1027" s="1612"/>
    </row>
    <row r="1028" spans="1:3" x14ac:dyDescent="0.2">
      <c r="A1028" t="s">
        <v>4260</v>
      </c>
      <c r="B1028" s="272" t="s">
        <v>4261</v>
      </c>
    </row>
    <row r="1029" spans="1:3" x14ac:dyDescent="0.2">
      <c r="A1029" t="s">
        <v>2868</v>
      </c>
      <c r="B1029"/>
    </row>
    <row r="1030" spans="1:3" x14ac:dyDescent="0.2">
      <c r="A1030" t="s">
        <v>2869</v>
      </c>
      <c r="B1030"/>
    </row>
    <row r="1031" spans="1:3" x14ac:dyDescent="0.2">
      <c r="A1031" s="1311" t="s">
        <v>2870</v>
      </c>
      <c r="B1031"/>
    </row>
    <row r="1032" spans="1:3" x14ac:dyDescent="0.2">
      <c r="A1032" s="1452" t="s">
        <v>394</v>
      </c>
      <c r="B1032"/>
    </row>
    <row r="1033" spans="1:3" x14ac:dyDescent="0.2">
      <c r="A1033" s="1458" t="s">
        <v>2871</v>
      </c>
      <c r="B1033" s="1541" t="s">
        <v>1969</v>
      </c>
      <c r="C1033" s="290">
        <v>2490</v>
      </c>
    </row>
    <row r="1034" spans="1:3" x14ac:dyDescent="0.2">
      <c r="A1034" t="s">
        <v>2872</v>
      </c>
      <c r="B1034"/>
    </row>
    <row r="1035" spans="1:3" x14ac:dyDescent="0.2">
      <c r="A1035" t="s">
        <v>2873</v>
      </c>
      <c r="B1035"/>
    </row>
    <row r="1036" spans="1:3" x14ac:dyDescent="0.2">
      <c r="A1036" t="s">
        <v>2874</v>
      </c>
      <c r="B1036"/>
    </row>
    <row r="1037" spans="1:3" x14ac:dyDescent="0.2">
      <c r="A1037" t="s">
        <v>2875</v>
      </c>
      <c r="B1037"/>
    </row>
    <row r="1038" spans="1:3" x14ac:dyDescent="0.2">
      <c r="A1038" t="s">
        <v>2876</v>
      </c>
      <c r="B1038" t="s">
        <v>2877</v>
      </c>
    </row>
    <row r="1039" spans="1:3" x14ac:dyDescent="0.2">
      <c r="A1039" t="s">
        <v>2878</v>
      </c>
      <c r="B1039"/>
    </row>
    <row r="1040" spans="1:3" x14ac:dyDescent="0.2">
      <c r="A1040" t="s">
        <v>2879</v>
      </c>
      <c r="B1040"/>
    </row>
    <row r="1041" spans="1:2" x14ac:dyDescent="0.2">
      <c r="A1041" t="s">
        <v>2880</v>
      </c>
      <c r="B1041"/>
    </row>
    <row r="1042" spans="1:2" x14ac:dyDescent="0.2">
      <c r="A1042" t="s">
        <v>2881</v>
      </c>
      <c r="B1042"/>
    </row>
    <row r="1043" spans="1:2" x14ac:dyDescent="0.2">
      <c r="A1043" t="s">
        <v>2882</v>
      </c>
      <c r="B1043"/>
    </row>
    <row r="1044" spans="1:2" x14ac:dyDescent="0.2">
      <c r="A1044" t="s">
        <v>2883</v>
      </c>
      <c r="B1044"/>
    </row>
    <row r="1045" spans="1:2" x14ac:dyDescent="0.2">
      <c r="A1045" t="s">
        <v>2884</v>
      </c>
      <c r="B1045"/>
    </row>
    <row r="1046" spans="1:2" x14ac:dyDescent="0.2">
      <c r="A1046" t="s">
        <v>2885</v>
      </c>
      <c r="B1046"/>
    </row>
    <row r="1047" spans="1:2" x14ac:dyDescent="0.2">
      <c r="A1047" t="s">
        <v>2886</v>
      </c>
      <c r="B1047"/>
    </row>
    <row r="1048" spans="1:2" x14ac:dyDescent="0.2">
      <c r="A1048" t="s">
        <v>2887</v>
      </c>
      <c r="B1048"/>
    </row>
    <row r="1049" spans="1:2" x14ac:dyDescent="0.2">
      <c r="A1049" t="s">
        <v>2888</v>
      </c>
      <c r="B1049"/>
    </row>
    <row r="1050" spans="1:2" x14ac:dyDescent="0.2">
      <c r="A1050" t="s">
        <v>2889</v>
      </c>
      <c r="B1050"/>
    </row>
    <row r="1051" spans="1:2" x14ac:dyDescent="0.2">
      <c r="A1051" t="s">
        <v>2890</v>
      </c>
      <c r="B1051"/>
    </row>
    <row r="1052" spans="1:2" x14ac:dyDescent="0.2">
      <c r="A1052" t="s">
        <v>2891</v>
      </c>
      <c r="B1052"/>
    </row>
    <row r="1053" spans="1:2" x14ac:dyDescent="0.2">
      <c r="A1053" t="s">
        <v>2892</v>
      </c>
      <c r="B1053"/>
    </row>
    <row r="1054" spans="1:2" x14ac:dyDescent="0.2">
      <c r="A1054" t="s">
        <v>2893</v>
      </c>
      <c r="B1054"/>
    </row>
    <row r="1055" spans="1:2" x14ac:dyDescent="0.2">
      <c r="A1055" t="s">
        <v>2894</v>
      </c>
      <c r="B1055"/>
    </row>
    <row r="1056" spans="1:2" x14ac:dyDescent="0.2">
      <c r="A1056" t="s">
        <v>2895</v>
      </c>
      <c r="B1056"/>
    </row>
    <row r="1057" spans="1:2" x14ac:dyDescent="0.2">
      <c r="A1057" t="s">
        <v>2896</v>
      </c>
      <c r="B1057"/>
    </row>
    <row r="1058" spans="1:2" x14ac:dyDescent="0.2">
      <c r="A1058" t="s">
        <v>2897</v>
      </c>
      <c r="B1058"/>
    </row>
    <row r="1059" spans="1:2" x14ac:dyDescent="0.2">
      <c r="A1059" t="s">
        <v>2898</v>
      </c>
      <c r="B1059" t="s">
        <v>2899</v>
      </c>
    </row>
    <row r="1060" spans="1:2" x14ac:dyDescent="0.2">
      <c r="A1060" t="s">
        <v>2900</v>
      </c>
      <c r="B1060" s="272" t="s">
        <v>2901</v>
      </c>
    </row>
    <row r="1061" spans="1:2" x14ac:dyDescent="0.2">
      <c r="A1061" t="s">
        <v>2902</v>
      </c>
      <c r="B1061"/>
    </row>
    <row r="1062" spans="1:2" x14ac:dyDescent="0.2">
      <c r="A1062" t="s">
        <v>2903</v>
      </c>
      <c r="B1062"/>
    </row>
    <row r="1063" spans="1:2" x14ac:dyDescent="0.2">
      <c r="A1063" t="s">
        <v>2904</v>
      </c>
      <c r="B1063"/>
    </row>
    <row r="1064" spans="1:2" x14ac:dyDescent="0.2">
      <c r="A1064" t="s">
        <v>2905</v>
      </c>
      <c r="B1064"/>
    </row>
    <row r="1065" spans="1:2" x14ac:dyDescent="0.2">
      <c r="A1065" t="s">
        <v>2906</v>
      </c>
      <c r="B1065"/>
    </row>
    <row r="1066" spans="1:2" x14ac:dyDescent="0.2">
      <c r="A1066" t="s">
        <v>2907</v>
      </c>
      <c r="B1066"/>
    </row>
    <row r="1067" spans="1:2" x14ac:dyDescent="0.2">
      <c r="A1067" t="s">
        <v>2908</v>
      </c>
      <c r="B1067"/>
    </row>
    <row r="1068" spans="1:2" x14ac:dyDescent="0.2">
      <c r="A1068" t="s">
        <v>2909</v>
      </c>
      <c r="B1068"/>
    </row>
    <row r="1069" spans="1:2" x14ac:dyDescent="0.2">
      <c r="A1069" t="s">
        <v>2910</v>
      </c>
      <c r="B1069"/>
    </row>
    <row r="1070" spans="1:2" x14ac:dyDescent="0.2">
      <c r="A1070" t="s">
        <v>2911</v>
      </c>
      <c r="B1070"/>
    </row>
    <row r="1071" spans="1:2" x14ac:dyDescent="0.2">
      <c r="A1071" t="s">
        <v>2912</v>
      </c>
      <c r="B1071"/>
    </row>
    <row r="1072" spans="1:2" x14ac:dyDescent="0.2">
      <c r="A1072" t="s">
        <v>2913</v>
      </c>
      <c r="B1072"/>
    </row>
    <row r="1073" spans="1:2" x14ac:dyDescent="0.2">
      <c r="A1073" s="1465" t="s">
        <v>2914</v>
      </c>
      <c r="B1073" t="s">
        <v>2915</v>
      </c>
    </row>
    <row r="1074" spans="1:2" x14ac:dyDescent="0.2">
      <c r="A1074" s="1465" t="s">
        <v>2916</v>
      </c>
      <c r="B1074" t="s">
        <v>2915</v>
      </c>
    </row>
    <row r="1075" spans="1:2" x14ac:dyDescent="0.2">
      <c r="A1075" s="1465" t="s">
        <v>2917</v>
      </c>
      <c r="B1075" t="s">
        <v>2915</v>
      </c>
    </row>
    <row r="1076" spans="1:2" x14ac:dyDescent="0.2">
      <c r="A1076" s="1465" t="s">
        <v>2918</v>
      </c>
      <c r="B1076" t="s">
        <v>2915</v>
      </c>
    </row>
    <row r="1077" spans="1:2" x14ac:dyDescent="0.2">
      <c r="A1077" t="s">
        <v>2919</v>
      </c>
      <c r="B1077"/>
    </row>
    <row r="1078" spans="1:2" x14ac:dyDescent="0.2">
      <c r="A1078" t="s">
        <v>2920</v>
      </c>
      <c r="B1078"/>
    </row>
    <row r="1079" spans="1:2" x14ac:dyDescent="0.2">
      <c r="A1079" t="s">
        <v>2921</v>
      </c>
      <c r="B1079"/>
    </row>
    <row r="1080" spans="1:2" x14ac:dyDescent="0.2">
      <c r="A1080" t="s">
        <v>2922</v>
      </c>
      <c r="B1080"/>
    </row>
    <row r="1081" spans="1:2" x14ac:dyDescent="0.2">
      <c r="A1081" t="s">
        <v>2923</v>
      </c>
      <c r="B1081"/>
    </row>
    <row r="1082" spans="1:2" x14ac:dyDescent="0.2">
      <c r="A1082" t="s">
        <v>2924</v>
      </c>
      <c r="B1082"/>
    </row>
    <row r="1083" spans="1:2" x14ac:dyDescent="0.2">
      <c r="A1083" t="s">
        <v>2925</v>
      </c>
      <c r="B1083"/>
    </row>
    <row r="1084" spans="1:2" x14ac:dyDescent="0.2">
      <c r="A1084" t="s">
        <v>2926</v>
      </c>
      <c r="B1084"/>
    </row>
    <row r="1085" spans="1:2" x14ac:dyDescent="0.2">
      <c r="A1085" t="s">
        <v>2927</v>
      </c>
      <c r="B1085"/>
    </row>
    <row r="1086" spans="1:2" x14ac:dyDescent="0.2">
      <c r="A1086" t="s">
        <v>2928</v>
      </c>
      <c r="B1086"/>
    </row>
    <row r="1087" spans="1:2" x14ac:dyDescent="0.2">
      <c r="A1087" t="s">
        <v>2929</v>
      </c>
      <c r="B1087"/>
    </row>
    <row r="1088" spans="1:2" x14ac:dyDescent="0.2">
      <c r="A1088" t="s">
        <v>2930</v>
      </c>
      <c r="B1088"/>
    </row>
    <row r="1089" spans="1:2" x14ac:dyDescent="0.2">
      <c r="A1089" t="s">
        <v>2931</v>
      </c>
      <c r="B1089"/>
    </row>
    <row r="1090" spans="1:2" x14ac:dyDescent="0.2">
      <c r="A1090" t="s">
        <v>2932</v>
      </c>
      <c r="B1090"/>
    </row>
    <row r="1091" spans="1:2" x14ac:dyDescent="0.2">
      <c r="A1091" t="s">
        <v>2933</v>
      </c>
      <c r="B1091"/>
    </row>
    <row r="1092" spans="1:2" x14ac:dyDescent="0.2">
      <c r="A1092" t="s">
        <v>2934</v>
      </c>
      <c r="B1092"/>
    </row>
    <row r="1093" spans="1:2" x14ac:dyDescent="0.2">
      <c r="A1093" t="s">
        <v>2935</v>
      </c>
      <c r="B1093"/>
    </row>
    <row r="1094" spans="1:2" x14ac:dyDescent="0.2">
      <c r="A1094" t="s">
        <v>2936</v>
      </c>
      <c r="B1094"/>
    </row>
    <row r="1095" spans="1:2" x14ac:dyDescent="0.2">
      <c r="A1095" t="s">
        <v>2937</v>
      </c>
      <c r="B1095"/>
    </row>
    <row r="1096" spans="1:2" x14ac:dyDescent="0.2">
      <c r="A1096" t="s">
        <v>2938</v>
      </c>
      <c r="B1096"/>
    </row>
    <row r="1097" spans="1:2" x14ac:dyDescent="0.2">
      <c r="A1097" t="s">
        <v>2939</v>
      </c>
      <c r="B1097"/>
    </row>
    <row r="1098" spans="1:2" x14ac:dyDescent="0.2">
      <c r="A1098" t="s">
        <v>2940</v>
      </c>
      <c r="B1098"/>
    </row>
    <row r="1099" spans="1:2" x14ac:dyDescent="0.2">
      <c r="A1099" t="s">
        <v>2941</v>
      </c>
      <c r="B1099"/>
    </row>
    <row r="1100" spans="1:2" x14ac:dyDescent="0.2">
      <c r="A1100" t="s">
        <v>2942</v>
      </c>
      <c r="B1100"/>
    </row>
    <row r="1101" spans="1:2" x14ac:dyDescent="0.2">
      <c r="A1101" t="s">
        <v>2943</v>
      </c>
      <c r="B1101"/>
    </row>
    <row r="1102" spans="1:2" x14ac:dyDescent="0.2">
      <c r="A1102" t="s">
        <v>2944</v>
      </c>
      <c r="B1102"/>
    </row>
    <row r="1103" spans="1:2" x14ac:dyDescent="0.2">
      <c r="A1103" t="s">
        <v>2945</v>
      </c>
      <c r="B1103"/>
    </row>
    <row r="1104" spans="1:2" x14ac:dyDescent="0.2">
      <c r="A1104" t="s">
        <v>2946</v>
      </c>
      <c r="B1104"/>
    </row>
    <row r="1105" spans="1:2" x14ac:dyDescent="0.2">
      <c r="A1105" t="s">
        <v>2947</v>
      </c>
      <c r="B1105"/>
    </row>
    <row r="1106" spans="1:2" x14ac:dyDescent="0.2">
      <c r="A1106" t="s">
        <v>2948</v>
      </c>
      <c r="B1106"/>
    </row>
    <row r="1107" spans="1:2" x14ac:dyDescent="0.2">
      <c r="A1107" t="s">
        <v>2949</v>
      </c>
      <c r="B1107"/>
    </row>
    <row r="1108" spans="1:2" x14ac:dyDescent="0.2">
      <c r="A1108" t="s">
        <v>2950</v>
      </c>
      <c r="B1108"/>
    </row>
    <row r="1109" spans="1:2" x14ac:dyDescent="0.2">
      <c r="A1109" t="s">
        <v>2951</v>
      </c>
      <c r="B1109"/>
    </row>
    <row r="1110" spans="1:2" x14ac:dyDescent="0.2">
      <c r="A1110" t="s">
        <v>2952</v>
      </c>
      <c r="B1110"/>
    </row>
    <row r="1111" spans="1:2" x14ac:dyDescent="0.2">
      <c r="A1111" t="s">
        <v>2953</v>
      </c>
      <c r="B1111"/>
    </row>
    <row r="1112" spans="1:2" x14ac:dyDescent="0.2">
      <c r="A1112" t="s">
        <v>2954</v>
      </c>
      <c r="B1112"/>
    </row>
    <row r="1113" spans="1:2" x14ac:dyDescent="0.2">
      <c r="A1113" t="s">
        <v>2955</v>
      </c>
      <c r="B1113"/>
    </row>
    <row r="1114" spans="1:2" x14ac:dyDescent="0.2">
      <c r="A1114" t="s">
        <v>2956</v>
      </c>
      <c r="B1114"/>
    </row>
    <row r="1115" spans="1:2" x14ac:dyDescent="0.2">
      <c r="A1115" t="s">
        <v>2957</v>
      </c>
      <c r="B1115"/>
    </row>
    <row r="1116" spans="1:2" x14ac:dyDescent="0.2">
      <c r="A1116" t="s">
        <v>2958</v>
      </c>
      <c r="B1116"/>
    </row>
    <row r="1117" spans="1:2" x14ac:dyDescent="0.2">
      <c r="A1117" t="s">
        <v>3299</v>
      </c>
      <c r="B1117" s="1869" t="s">
        <v>4255</v>
      </c>
    </row>
    <row r="1118" spans="1:2" x14ac:dyDescent="0.2">
      <c r="A1118" t="s">
        <v>2959</v>
      </c>
      <c r="B1118"/>
    </row>
    <row r="1119" spans="1:2" x14ac:dyDescent="0.2">
      <c r="A1119" t="s">
        <v>2960</v>
      </c>
      <c r="B1119"/>
    </row>
    <row r="1120" spans="1:2" x14ac:dyDescent="0.2">
      <c r="A1120" t="s">
        <v>2961</v>
      </c>
      <c r="B1120"/>
    </row>
    <row r="1121" spans="1:3" x14ac:dyDescent="0.2">
      <c r="A1121" t="s">
        <v>2962</v>
      </c>
      <c r="B1121"/>
    </row>
    <row r="1122" spans="1:3" x14ac:dyDescent="0.2">
      <c r="A1122" t="s">
        <v>2963</v>
      </c>
      <c r="B1122"/>
    </row>
    <row r="1123" spans="1:3" x14ac:dyDescent="0.2">
      <c r="A1123" t="s">
        <v>2964</v>
      </c>
      <c r="B1123"/>
    </row>
    <row r="1124" spans="1:3" x14ac:dyDescent="0.2">
      <c r="A1124" t="s">
        <v>2965</v>
      </c>
      <c r="B1124"/>
    </row>
    <row r="1125" spans="1:3" x14ac:dyDescent="0.2">
      <c r="A1125" t="s">
        <v>2966</v>
      </c>
      <c r="B1125"/>
    </row>
    <row r="1126" spans="1:3" x14ac:dyDescent="0.2">
      <c r="A1126" t="s">
        <v>2967</v>
      </c>
      <c r="B1126"/>
    </row>
    <row r="1127" spans="1:3" x14ac:dyDescent="0.2">
      <c r="A1127" t="s">
        <v>2968</v>
      </c>
      <c r="B1127"/>
    </row>
    <row r="1128" spans="1:3" x14ac:dyDescent="0.2">
      <c r="A1128" t="s">
        <v>2969</v>
      </c>
      <c r="B1128"/>
    </row>
    <row r="1129" spans="1:3" x14ac:dyDescent="0.2">
      <c r="A1129" t="s">
        <v>2970</v>
      </c>
      <c r="B1129"/>
    </row>
    <row r="1130" spans="1:3" x14ac:dyDescent="0.2">
      <c r="A1130" t="s">
        <v>4067</v>
      </c>
      <c r="B1130"/>
    </row>
    <row r="1131" spans="1:3" x14ac:dyDescent="0.2">
      <c r="A1131" s="1452" t="s">
        <v>2971</v>
      </c>
      <c r="B1131" s="1511" t="s">
        <v>1969</v>
      </c>
      <c r="C1131" s="290">
        <v>2490</v>
      </c>
    </row>
    <row r="1132" spans="1:3" x14ac:dyDescent="0.2">
      <c r="A1132" t="s">
        <v>2972</v>
      </c>
      <c r="B1132"/>
    </row>
    <row r="1133" spans="1:3" x14ac:dyDescent="0.2">
      <c r="A1133" t="s">
        <v>2973</v>
      </c>
      <c r="B1133"/>
    </row>
    <row r="1134" spans="1:3" x14ac:dyDescent="0.2">
      <c r="A1134" t="s">
        <v>2974</v>
      </c>
      <c r="B1134" t="s">
        <v>2975</v>
      </c>
    </row>
    <row r="1135" spans="1:3" x14ac:dyDescent="0.2">
      <c r="A1135" t="s">
        <v>2976</v>
      </c>
      <c r="B1135"/>
    </row>
    <row r="1136" spans="1:3" x14ac:dyDescent="0.2">
      <c r="A1136" t="s">
        <v>2977</v>
      </c>
      <c r="B1136"/>
    </row>
    <row r="1137" spans="1:2" x14ac:dyDescent="0.2">
      <c r="A1137" t="s">
        <v>2978</v>
      </c>
      <c r="B1137"/>
    </row>
    <row r="1138" spans="1:2" x14ac:dyDescent="0.2">
      <c r="A1138" t="s">
        <v>2979</v>
      </c>
      <c r="B1138" s="272" t="s">
        <v>2041</v>
      </c>
    </row>
    <row r="1139" spans="1:2" x14ac:dyDescent="0.2">
      <c r="A1139" t="s">
        <v>4068</v>
      </c>
      <c r="B1139" s="272" t="s">
        <v>4069</v>
      </c>
    </row>
    <row r="1140" spans="1:2" x14ac:dyDescent="0.2">
      <c r="A1140" s="272" t="s">
        <v>4070</v>
      </c>
      <c r="B1140" s="272"/>
    </row>
    <row r="1141" spans="1:2" x14ac:dyDescent="0.2">
      <c r="A1141" s="272" t="s">
        <v>4256</v>
      </c>
      <c r="B1141" s="272" t="s">
        <v>4257</v>
      </c>
    </row>
    <row r="1142" spans="1:2" x14ac:dyDescent="0.2">
      <c r="A1142" t="s">
        <v>2980</v>
      </c>
      <c r="B1142" s="272"/>
    </row>
    <row r="1143" spans="1:2" x14ac:dyDescent="0.2">
      <c r="A1143" t="s">
        <v>2981</v>
      </c>
      <c r="B1143" s="272"/>
    </row>
    <row r="1144" spans="1:2" x14ac:dyDescent="0.2">
      <c r="A1144" t="s">
        <v>2982</v>
      </c>
      <c r="B1144" s="272"/>
    </row>
    <row r="1145" spans="1:2" x14ac:dyDescent="0.2">
      <c r="A1145" t="s">
        <v>2983</v>
      </c>
      <c r="B1145" s="272"/>
    </row>
    <row r="1146" spans="1:2" x14ac:dyDescent="0.2">
      <c r="A1146" t="s">
        <v>2984</v>
      </c>
      <c r="B1146" s="272"/>
    </row>
    <row r="1147" spans="1:2" x14ac:dyDescent="0.2">
      <c r="A1147" t="s">
        <v>2985</v>
      </c>
      <c r="B1147" s="272"/>
    </row>
    <row r="1148" spans="1:2" x14ac:dyDescent="0.2">
      <c r="A1148" t="s">
        <v>2986</v>
      </c>
      <c r="B1148" s="272"/>
    </row>
    <row r="1149" spans="1:2" x14ac:dyDescent="0.2">
      <c r="A1149" t="s">
        <v>2987</v>
      </c>
      <c r="B1149" s="272"/>
    </row>
    <row r="1150" spans="1:2" x14ac:dyDescent="0.2">
      <c r="A1150" t="s">
        <v>2988</v>
      </c>
      <c r="B1150" s="272"/>
    </row>
    <row r="1151" spans="1:2" x14ac:dyDescent="0.2">
      <c r="A1151" t="s">
        <v>2989</v>
      </c>
      <c r="B1151" s="272"/>
    </row>
    <row r="1152" spans="1:2" x14ac:dyDescent="0.2">
      <c r="A1152" t="s">
        <v>2990</v>
      </c>
      <c r="B1152" s="272"/>
    </row>
    <row r="1153" spans="1:2" x14ac:dyDescent="0.2">
      <c r="A1153" t="s">
        <v>2991</v>
      </c>
      <c r="B1153" s="272"/>
    </row>
    <row r="1154" spans="1:2" x14ac:dyDescent="0.2">
      <c r="A1154" t="s">
        <v>2992</v>
      </c>
      <c r="B1154" s="272"/>
    </row>
    <row r="1155" spans="1:2" x14ac:dyDescent="0.2">
      <c r="A1155" t="s">
        <v>2993</v>
      </c>
      <c r="B1155" s="272"/>
    </row>
    <row r="1156" spans="1:2" x14ac:dyDescent="0.2">
      <c r="A1156" t="s">
        <v>2994</v>
      </c>
      <c r="B1156" s="272"/>
    </row>
    <row r="1157" spans="1:2" x14ac:dyDescent="0.2">
      <c r="A1157" s="356" t="s">
        <v>2995</v>
      </c>
      <c r="B1157" s="272"/>
    </row>
    <row r="1158" spans="1:2" x14ac:dyDescent="0.2">
      <c r="A1158" t="s">
        <v>2996</v>
      </c>
      <c r="B1158" s="272"/>
    </row>
    <row r="1159" spans="1:2" x14ac:dyDescent="0.2">
      <c r="A1159" s="272" t="s">
        <v>4071</v>
      </c>
      <c r="B1159" s="272" t="s">
        <v>4072</v>
      </c>
    </row>
    <row r="1160" spans="1:2" x14ac:dyDescent="0.2">
      <c r="A1160" s="272" t="s">
        <v>4073</v>
      </c>
      <c r="B1160" s="272" t="s">
        <v>4069</v>
      </c>
    </row>
    <row r="1161" spans="1:2" x14ac:dyDescent="0.2">
      <c r="A1161" s="272" t="s">
        <v>4074</v>
      </c>
      <c r="B1161" s="272" t="s">
        <v>4069</v>
      </c>
    </row>
    <row r="1162" spans="1:2" x14ac:dyDescent="0.2">
      <c r="A1162" s="272" t="s">
        <v>4075</v>
      </c>
      <c r="B1162" s="272" t="s">
        <v>4069</v>
      </c>
    </row>
    <row r="1163" spans="1:2" x14ac:dyDescent="0.2">
      <c r="A1163" t="s">
        <v>2997</v>
      </c>
      <c r="B1163" s="272"/>
    </row>
    <row r="1164" spans="1:2" x14ac:dyDescent="0.2">
      <c r="A1164" t="s">
        <v>2998</v>
      </c>
      <c r="B1164"/>
    </row>
    <row r="1165" spans="1:2" x14ac:dyDescent="0.2">
      <c r="A1165" t="s">
        <v>2999</v>
      </c>
      <c r="B1165"/>
    </row>
    <row r="1166" spans="1:2" x14ac:dyDescent="0.2">
      <c r="A1166" t="s">
        <v>3000</v>
      </c>
      <c r="B1166"/>
    </row>
    <row r="1167" spans="1:2" x14ac:dyDescent="0.2">
      <c r="A1167" t="s">
        <v>3002</v>
      </c>
      <c r="B1167" s="272"/>
    </row>
    <row r="1168" spans="1:2" x14ac:dyDescent="0.2">
      <c r="A1168" t="s">
        <v>3777</v>
      </c>
      <c r="B1168" s="272" t="s">
        <v>3778</v>
      </c>
    </row>
    <row r="1169" spans="1:2" x14ac:dyDescent="0.2">
      <c r="A1169" t="s">
        <v>3003</v>
      </c>
      <c r="B1169" s="272"/>
    </row>
    <row r="1170" spans="1:2" x14ac:dyDescent="0.2">
      <c r="A1170" t="s">
        <v>3004</v>
      </c>
      <c r="B1170" s="272" t="s">
        <v>2453</v>
      </c>
    </row>
    <row r="1171" spans="1:2" x14ac:dyDescent="0.2">
      <c r="A1171" t="s">
        <v>3005</v>
      </c>
      <c r="B1171" s="272" t="s">
        <v>2054</v>
      </c>
    </row>
    <row r="1172" spans="1:2" x14ac:dyDescent="0.2">
      <c r="A1172" t="s">
        <v>3006</v>
      </c>
      <c r="B1172" s="272" t="s">
        <v>2041</v>
      </c>
    </row>
    <row r="1173" spans="1:2" x14ac:dyDescent="0.2">
      <c r="A1173" t="s">
        <v>3779</v>
      </c>
      <c r="B1173" s="272" t="s">
        <v>3780</v>
      </c>
    </row>
    <row r="1174" spans="1:2" x14ac:dyDescent="0.2">
      <c r="A1174" t="s">
        <v>3007</v>
      </c>
      <c r="B1174" s="272"/>
    </row>
    <row r="1175" spans="1:2" x14ac:dyDescent="0.2">
      <c r="A1175" t="s">
        <v>3951</v>
      </c>
      <c r="B1175" s="272" t="s">
        <v>3952</v>
      </c>
    </row>
    <row r="1176" spans="1:2" x14ac:dyDescent="0.2">
      <c r="A1176" s="272" t="s">
        <v>4446</v>
      </c>
      <c r="B1176" s="272" t="s">
        <v>4447</v>
      </c>
    </row>
    <row r="1177" spans="1:2" x14ac:dyDescent="0.2">
      <c r="A1177" t="s">
        <v>3008</v>
      </c>
      <c r="B1177" s="272"/>
    </row>
    <row r="1178" spans="1:2" x14ac:dyDescent="0.2">
      <c r="A1178" t="s">
        <v>3009</v>
      </c>
      <c r="B1178"/>
    </row>
    <row r="1179" spans="1:2" x14ac:dyDescent="0.2">
      <c r="A1179" t="s">
        <v>3010</v>
      </c>
      <c r="B1179"/>
    </row>
    <row r="1180" spans="1:2" x14ac:dyDescent="0.2">
      <c r="A1180" t="s">
        <v>3011</v>
      </c>
      <c r="B1180"/>
    </row>
    <row r="1181" spans="1:2" x14ac:dyDescent="0.2">
      <c r="A1181" t="s">
        <v>3012</v>
      </c>
      <c r="B1181" t="s">
        <v>2877</v>
      </c>
    </row>
    <row r="1182" spans="1:2" x14ac:dyDescent="0.2">
      <c r="A1182" t="s">
        <v>3013</v>
      </c>
      <c r="B1182" t="s">
        <v>2877</v>
      </c>
    </row>
    <row r="1183" spans="1:2" x14ac:dyDescent="0.2">
      <c r="A1183" t="s">
        <v>3014</v>
      </c>
      <c r="B1183"/>
    </row>
    <row r="1184" spans="1:2" x14ac:dyDescent="0.2">
      <c r="A1184" t="s">
        <v>3015</v>
      </c>
      <c r="B1184"/>
    </row>
    <row r="1185" spans="1:2" x14ac:dyDescent="0.2">
      <c r="A1185" t="s">
        <v>3016</v>
      </c>
      <c r="B1185"/>
    </row>
    <row r="1186" spans="1:2" x14ac:dyDescent="0.2">
      <c r="A1186" t="s">
        <v>3017</v>
      </c>
      <c r="B1186"/>
    </row>
    <row r="1187" spans="1:2" x14ac:dyDescent="0.2">
      <c r="A1187" t="s">
        <v>3018</v>
      </c>
      <c r="B1187"/>
    </row>
    <row r="1188" spans="1:2" x14ac:dyDescent="0.2">
      <c r="A1188" t="s">
        <v>3019</v>
      </c>
      <c r="B1188"/>
    </row>
    <row r="1189" spans="1:2" x14ac:dyDescent="0.2">
      <c r="A1189" t="s">
        <v>3020</v>
      </c>
      <c r="B1189"/>
    </row>
    <row r="1190" spans="1:2" x14ac:dyDescent="0.2">
      <c r="A1190" t="s">
        <v>3021</v>
      </c>
      <c r="B1190" t="s">
        <v>2041</v>
      </c>
    </row>
    <row r="1191" spans="1:2" x14ac:dyDescent="0.2">
      <c r="A1191" t="s">
        <v>3022</v>
      </c>
      <c r="B1191" s="272" t="s">
        <v>3023</v>
      </c>
    </row>
    <row r="1192" spans="1:2" x14ac:dyDescent="0.2">
      <c r="A1192" t="s">
        <v>3024</v>
      </c>
      <c r="B1192" t="s">
        <v>3025</v>
      </c>
    </row>
    <row r="1193" spans="1:2" x14ac:dyDescent="0.2">
      <c r="A1193" t="s">
        <v>3026</v>
      </c>
      <c r="B1193"/>
    </row>
    <row r="1194" spans="1:2" x14ac:dyDescent="0.2">
      <c r="A1194" t="s">
        <v>3027</v>
      </c>
      <c r="B1194"/>
    </row>
    <row r="1195" spans="1:2" x14ac:dyDescent="0.2">
      <c r="A1195" t="s">
        <v>3028</v>
      </c>
      <c r="B1195"/>
    </row>
    <row r="1196" spans="1:2" x14ac:dyDescent="0.2">
      <c r="A1196" t="s">
        <v>3029</v>
      </c>
      <c r="B1196" t="s">
        <v>3030</v>
      </c>
    </row>
    <row r="1197" spans="1:2" x14ac:dyDescent="0.2">
      <c r="A1197" t="s">
        <v>3031</v>
      </c>
      <c r="B1197" t="s">
        <v>3030</v>
      </c>
    </row>
    <row r="1198" spans="1:2" x14ac:dyDescent="0.2">
      <c r="A1198" t="s">
        <v>3032</v>
      </c>
      <c r="B1198"/>
    </row>
    <row r="1199" spans="1:2" x14ac:dyDescent="0.2">
      <c r="A1199" t="s">
        <v>3033</v>
      </c>
      <c r="B1199"/>
    </row>
    <row r="1200" spans="1:2" x14ac:dyDescent="0.2">
      <c r="A1200" t="s">
        <v>3034</v>
      </c>
      <c r="B1200"/>
    </row>
    <row r="1201" spans="1:3" x14ac:dyDescent="0.2">
      <c r="A1201" s="1452" t="s">
        <v>3035</v>
      </c>
      <c r="B1201" s="1511" t="s">
        <v>1969</v>
      </c>
      <c r="C1201" s="290">
        <v>2490</v>
      </c>
    </row>
    <row r="1202" spans="1:3" x14ac:dyDescent="0.2">
      <c r="A1202" s="1457" t="s">
        <v>3036</v>
      </c>
      <c r="B1202" s="1542"/>
    </row>
    <row r="1203" spans="1:3" x14ac:dyDescent="0.2">
      <c r="A1203" s="1311" t="s">
        <v>395</v>
      </c>
      <c r="B1203" s="1511"/>
      <c r="C1203" s="290">
        <v>2510</v>
      </c>
    </row>
    <row r="1204" spans="1:3" x14ac:dyDescent="0.2">
      <c r="A1204" s="272" t="s">
        <v>3037</v>
      </c>
      <c r="B1204" s="1516"/>
    </row>
    <row r="1205" spans="1:3" ht="25.5" x14ac:dyDescent="0.2">
      <c r="A1205" s="1460" t="s">
        <v>3781</v>
      </c>
      <c r="B1205" s="1497" t="s">
        <v>3782</v>
      </c>
    </row>
    <row r="1206" spans="1:3" x14ac:dyDescent="0.2">
      <c r="A1206" s="1452" t="s">
        <v>396</v>
      </c>
      <c r="B1206" s="1543"/>
      <c r="C1206" s="290">
        <v>2520</v>
      </c>
    </row>
    <row r="1207" spans="1:3" x14ac:dyDescent="0.2">
      <c r="A1207" s="1452" t="s">
        <v>3038</v>
      </c>
      <c r="B1207" s="1511" t="s">
        <v>1969</v>
      </c>
      <c r="C1207" s="290">
        <v>2520</v>
      </c>
    </row>
    <row r="1208" spans="1:3" x14ac:dyDescent="0.2">
      <c r="A1208" t="s">
        <v>3039</v>
      </c>
      <c r="B1208"/>
    </row>
    <row r="1209" spans="1:3" x14ac:dyDescent="0.2">
      <c r="A1209" t="s">
        <v>3040</v>
      </c>
      <c r="B1209"/>
    </row>
    <row r="1210" spans="1:3" x14ac:dyDescent="0.2">
      <c r="A1210" s="272" t="s">
        <v>3041</v>
      </c>
      <c r="B1210"/>
    </row>
    <row r="1211" spans="1:3" x14ac:dyDescent="0.2">
      <c r="A1211" t="s">
        <v>3042</v>
      </c>
      <c r="B1211"/>
    </row>
    <row r="1212" spans="1:3" x14ac:dyDescent="0.2">
      <c r="A1212" t="s">
        <v>3043</v>
      </c>
      <c r="B1212"/>
    </row>
    <row r="1213" spans="1:3" x14ac:dyDescent="0.2">
      <c r="A1213" t="s">
        <v>3044</v>
      </c>
      <c r="B1213"/>
    </row>
    <row r="1214" spans="1:3" x14ac:dyDescent="0.2">
      <c r="A1214" s="272" t="s">
        <v>4076</v>
      </c>
      <c r="B1214" s="272" t="s">
        <v>4069</v>
      </c>
    </row>
    <row r="1215" spans="1:3" x14ac:dyDescent="0.2">
      <c r="A1215" s="272" t="s">
        <v>3783</v>
      </c>
      <c r="B1215" s="272" t="s">
        <v>3784</v>
      </c>
    </row>
    <row r="1216" spans="1:3" x14ac:dyDescent="0.2">
      <c r="A1216" t="s">
        <v>3045</v>
      </c>
      <c r="B1216" s="272" t="s">
        <v>3046</v>
      </c>
    </row>
    <row r="1217" spans="1:2" x14ac:dyDescent="0.2">
      <c r="A1217" t="s">
        <v>3047</v>
      </c>
      <c r="B1217" s="272" t="s">
        <v>3048</v>
      </c>
    </row>
    <row r="1218" spans="1:2" x14ac:dyDescent="0.2">
      <c r="A1218" t="s">
        <v>3049</v>
      </c>
      <c r="B1218" s="272" t="s">
        <v>3048</v>
      </c>
    </row>
    <row r="1219" spans="1:2" x14ac:dyDescent="0.2">
      <c r="A1219" t="s">
        <v>3050</v>
      </c>
      <c r="B1219" s="272" t="s">
        <v>3048</v>
      </c>
    </row>
    <row r="1220" spans="1:2" x14ac:dyDescent="0.2">
      <c r="A1220" s="272" t="s">
        <v>3785</v>
      </c>
      <c r="B1220" s="272" t="s">
        <v>4079</v>
      </c>
    </row>
    <row r="1221" spans="1:2" x14ac:dyDescent="0.2">
      <c r="A1221" t="s">
        <v>3051</v>
      </c>
      <c r="B1221" s="272" t="s">
        <v>3048</v>
      </c>
    </row>
    <row r="1222" spans="1:2" x14ac:dyDescent="0.2">
      <c r="A1222" t="s">
        <v>3052</v>
      </c>
      <c r="B1222" s="272"/>
    </row>
    <row r="1223" spans="1:2" x14ac:dyDescent="0.2">
      <c r="A1223" t="s">
        <v>3053</v>
      </c>
      <c r="B1223" s="272"/>
    </row>
    <row r="1224" spans="1:2" x14ac:dyDescent="0.2">
      <c r="A1224" s="272" t="s">
        <v>3786</v>
      </c>
      <c r="B1224" s="272" t="s">
        <v>3780</v>
      </c>
    </row>
    <row r="1225" spans="1:2" x14ac:dyDescent="0.2">
      <c r="A1225" s="272" t="s">
        <v>3787</v>
      </c>
      <c r="B1225" s="272" t="s">
        <v>3780</v>
      </c>
    </row>
    <row r="1226" spans="1:2" x14ac:dyDescent="0.2">
      <c r="A1226" t="s">
        <v>3054</v>
      </c>
      <c r="B1226"/>
    </row>
    <row r="1227" spans="1:2" x14ac:dyDescent="0.2">
      <c r="A1227" t="s">
        <v>3055</v>
      </c>
      <c r="B1227"/>
    </row>
    <row r="1228" spans="1:2" x14ac:dyDescent="0.2">
      <c r="A1228" t="s">
        <v>3056</v>
      </c>
      <c r="B1228"/>
    </row>
    <row r="1229" spans="1:2" x14ac:dyDescent="0.2">
      <c r="A1229" t="s">
        <v>3057</v>
      </c>
      <c r="B1229"/>
    </row>
    <row r="1230" spans="1:2" x14ac:dyDescent="0.2">
      <c r="A1230" t="s">
        <v>3058</v>
      </c>
      <c r="B1230"/>
    </row>
    <row r="1231" spans="1:2" x14ac:dyDescent="0.2">
      <c r="A1231" t="s">
        <v>3059</v>
      </c>
      <c r="B1231"/>
    </row>
    <row r="1232" spans="1:2" x14ac:dyDescent="0.2">
      <c r="A1232" t="s">
        <v>3060</v>
      </c>
      <c r="B1232"/>
    </row>
    <row r="1233" spans="1:2" x14ac:dyDescent="0.2">
      <c r="A1233" t="s">
        <v>3061</v>
      </c>
      <c r="B1233" s="272"/>
    </row>
    <row r="1234" spans="1:2" x14ac:dyDescent="0.2">
      <c r="A1234" t="s">
        <v>3062</v>
      </c>
      <c r="B1234" s="272"/>
    </row>
    <row r="1235" spans="1:2" x14ac:dyDescent="0.2">
      <c r="A1235" t="s">
        <v>3063</v>
      </c>
      <c r="B1235" s="272"/>
    </row>
    <row r="1236" spans="1:2" x14ac:dyDescent="0.2">
      <c r="A1236" t="s">
        <v>3147</v>
      </c>
      <c r="B1236" s="272" t="s">
        <v>3917</v>
      </c>
    </row>
    <row r="1237" spans="1:2" x14ac:dyDescent="0.2">
      <c r="A1237" t="s">
        <v>3062</v>
      </c>
      <c r="B1237" s="272"/>
    </row>
    <row r="1238" spans="1:2" x14ac:dyDescent="0.2">
      <c r="A1238" t="s">
        <v>3064</v>
      </c>
      <c r="B1238" s="272"/>
    </row>
    <row r="1239" spans="1:2" x14ac:dyDescent="0.2">
      <c r="A1239" t="s">
        <v>3065</v>
      </c>
      <c r="B1239" s="272"/>
    </row>
    <row r="1240" spans="1:2" x14ac:dyDescent="0.2">
      <c r="A1240" t="s">
        <v>3066</v>
      </c>
      <c r="B1240" s="272"/>
    </row>
    <row r="1241" spans="1:2" x14ac:dyDescent="0.2">
      <c r="A1241" t="s">
        <v>4077</v>
      </c>
      <c r="B1241" s="272" t="s">
        <v>4078</v>
      </c>
    </row>
    <row r="1242" spans="1:2" x14ac:dyDescent="0.2">
      <c r="A1242" t="s">
        <v>3067</v>
      </c>
      <c r="B1242" s="272"/>
    </row>
    <row r="1243" spans="1:2" x14ac:dyDescent="0.2">
      <c r="A1243" t="s">
        <v>3068</v>
      </c>
      <c r="B1243" s="272"/>
    </row>
    <row r="1244" spans="1:2" x14ac:dyDescent="0.2">
      <c r="A1244" t="s">
        <v>3069</v>
      </c>
      <c r="B1244"/>
    </row>
    <row r="1245" spans="1:2" x14ac:dyDescent="0.2">
      <c r="A1245" t="s">
        <v>3070</v>
      </c>
      <c r="B1245"/>
    </row>
    <row r="1246" spans="1:2" x14ac:dyDescent="0.2">
      <c r="A1246" t="s">
        <v>3071</v>
      </c>
      <c r="B1246" t="s">
        <v>3072</v>
      </c>
    </row>
    <row r="1247" spans="1:2" x14ac:dyDescent="0.2">
      <c r="A1247" s="1465" t="s">
        <v>3073</v>
      </c>
      <c r="B1247" t="s">
        <v>2054</v>
      </c>
    </row>
    <row r="1248" spans="1:2" x14ac:dyDescent="0.2">
      <c r="A1248" s="1465" t="s">
        <v>3074</v>
      </c>
      <c r="B1248" t="s">
        <v>2054</v>
      </c>
    </row>
    <row r="1249" spans="1:2" x14ac:dyDescent="0.2">
      <c r="A1249" t="s">
        <v>3075</v>
      </c>
      <c r="B1249" t="s">
        <v>3076</v>
      </c>
    </row>
    <row r="1250" spans="1:2" x14ac:dyDescent="0.2">
      <c r="A1250" t="s">
        <v>3077</v>
      </c>
      <c r="B1250"/>
    </row>
    <row r="1251" spans="1:2" x14ac:dyDescent="0.2">
      <c r="A1251" t="s">
        <v>3078</v>
      </c>
      <c r="B1251"/>
    </row>
    <row r="1252" spans="1:2" x14ac:dyDescent="0.2">
      <c r="A1252" t="s">
        <v>3079</v>
      </c>
      <c r="B1252"/>
    </row>
    <row r="1253" spans="1:2" x14ac:dyDescent="0.2">
      <c r="A1253" t="s">
        <v>3080</v>
      </c>
      <c r="B1253"/>
    </row>
    <row r="1254" spans="1:2" x14ac:dyDescent="0.2">
      <c r="A1254" t="s">
        <v>3081</v>
      </c>
      <c r="B1254"/>
    </row>
    <row r="1255" spans="1:2" x14ac:dyDescent="0.2">
      <c r="A1255" t="s">
        <v>3082</v>
      </c>
      <c r="B1255"/>
    </row>
    <row r="1256" spans="1:2" x14ac:dyDescent="0.2">
      <c r="A1256" t="s">
        <v>3083</v>
      </c>
      <c r="B1256"/>
    </row>
    <row r="1257" spans="1:2" x14ac:dyDescent="0.2">
      <c r="A1257" t="s">
        <v>3084</v>
      </c>
      <c r="B1257"/>
    </row>
    <row r="1258" spans="1:2" x14ac:dyDescent="0.2">
      <c r="A1258" t="s">
        <v>3085</v>
      </c>
      <c r="B1258"/>
    </row>
    <row r="1259" spans="1:2" x14ac:dyDescent="0.2">
      <c r="A1259" t="s">
        <v>3086</v>
      </c>
      <c r="B1259"/>
    </row>
    <row r="1260" spans="1:2" x14ac:dyDescent="0.2">
      <c r="A1260" t="s">
        <v>3087</v>
      </c>
      <c r="B1260"/>
    </row>
    <row r="1261" spans="1:2" x14ac:dyDescent="0.2">
      <c r="A1261" t="s">
        <v>3088</v>
      </c>
      <c r="B1261"/>
    </row>
    <row r="1262" spans="1:2" x14ac:dyDescent="0.2">
      <c r="A1262" t="s">
        <v>3089</v>
      </c>
      <c r="B1262"/>
    </row>
    <row r="1263" spans="1:2" x14ac:dyDescent="0.2">
      <c r="A1263" t="s">
        <v>3090</v>
      </c>
      <c r="B1263"/>
    </row>
    <row r="1264" spans="1:2" x14ac:dyDescent="0.2">
      <c r="A1264" t="s">
        <v>3091</v>
      </c>
      <c r="B1264"/>
    </row>
    <row r="1265" spans="1:3" x14ac:dyDescent="0.2">
      <c r="A1265" t="s">
        <v>3092</v>
      </c>
      <c r="B1265"/>
    </row>
    <row r="1266" spans="1:3" x14ac:dyDescent="0.2">
      <c r="A1266" t="s">
        <v>3093</v>
      </c>
      <c r="B1266"/>
    </row>
    <row r="1267" spans="1:3" x14ac:dyDescent="0.2">
      <c r="A1267" t="s">
        <v>3094</v>
      </c>
      <c r="B1267"/>
    </row>
    <row r="1268" spans="1:3" x14ac:dyDescent="0.2">
      <c r="A1268" t="s">
        <v>3095</v>
      </c>
      <c r="B1268"/>
    </row>
    <row r="1269" spans="1:3" x14ac:dyDescent="0.2">
      <c r="A1269" t="s">
        <v>3096</v>
      </c>
      <c r="B1269"/>
    </row>
    <row r="1270" spans="1:3" x14ac:dyDescent="0.2">
      <c r="A1270" t="s">
        <v>3097</v>
      </c>
      <c r="B1270"/>
    </row>
    <row r="1271" spans="1:3" x14ac:dyDescent="0.2">
      <c r="A1271" t="s">
        <v>3098</v>
      </c>
      <c r="B1271"/>
    </row>
    <row r="1272" spans="1:3" x14ac:dyDescent="0.2">
      <c r="A1272" s="1452" t="s">
        <v>3099</v>
      </c>
      <c r="B1272" s="1511" t="s">
        <v>1969</v>
      </c>
      <c r="C1272" s="290">
        <v>2520</v>
      </c>
    </row>
    <row r="1273" spans="1:3" x14ac:dyDescent="0.2">
      <c r="A1273" t="s">
        <v>3100</v>
      </c>
      <c r="B1273"/>
    </row>
    <row r="1274" spans="1:3" x14ac:dyDescent="0.2">
      <c r="A1274" t="s">
        <v>3101</v>
      </c>
      <c r="B1274"/>
    </row>
    <row r="1275" spans="1:3" x14ac:dyDescent="0.2">
      <c r="A1275" t="s">
        <v>3102</v>
      </c>
      <c r="B1275"/>
    </row>
    <row r="1276" spans="1:3" x14ac:dyDescent="0.2">
      <c r="A1276" t="s">
        <v>3103</v>
      </c>
      <c r="B1276"/>
    </row>
    <row r="1277" spans="1:3" x14ac:dyDescent="0.2">
      <c r="A1277" t="s">
        <v>3104</v>
      </c>
      <c r="B1277"/>
    </row>
    <row r="1278" spans="1:3" x14ac:dyDescent="0.2">
      <c r="A1278" t="s">
        <v>3105</v>
      </c>
      <c r="B1278"/>
    </row>
    <row r="1279" spans="1:3" x14ac:dyDescent="0.2">
      <c r="A1279" t="s">
        <v>3106</v>
      </c>
      <c r="B1279"/>
    </row>
    <row r="1280" spans="1:3" x14ac:dyDescent="0.2">
      <c r="A1280" t="s">
        <v>3107</v>
      </c>
      <c r="B1280"/>
    </row>
    <row r="1281" spans="1:3" x14ac:dyDescent="0.2">
      <c r="A1281" t="s">
        <v>3108</v>
      </c>
      <c r="B1281"/>
    </row>
    <row r="1282" spans="1:3" x14ac:dyDescent="0.2">
      <c r="A1282" s="1452" t="s">
        <v>3109</v>
      </c>
      <c r="B1282" s="1511" t="s">
        <v>1969</v>
      </c>
      <c r="C1282" s="290">
        <v>2520</v>
      </c>
    </row>
    <row r="1283" spans="1:3" x14ac:dyDescent="0.2">
      <c r="A1283" t="s">
        <v>3110</v>
      </c>
      <c r="B1283"/>
    </row>
    <row r="1284" spans="1:3" x14ac:dyDescent="0.2">
      <c r="A1284" t="s">
        <v>3111</v>
      </c>
      <c r="B1284"/>
    </row>
    <row r="1285" spans="1:3" x14ac:dyDescent="0.2">
      <c r="A1285" t="s">
        <v>3112</v>
      </c>
      <c r="B1285"/>
    </row>
    <row r="1286" spans="1:3" x14ac:dyDescent="0.2">
      <c r="A1286" t="s">
        <v>3113</v>
      </c>
      <c r="B1286"/>
    </row>
    <row r="1287" spans="1:3" x14ac:dyDescent="0.2">
      <c r="A1287" t="s">
        <v>3114</v>
      </c>
      <c r="B1287"/>
    </row>
    <row r="1288" spans="1:3" x14ac:dyDescent="0.2">
      <c r="A1288" t="s">
        <v>3115</v>
      </c>
      <c r="B1288"/>
    </row>
    <row r="1289" spans="1:3" x14ac:dyDescent="0.2">
      <c r="A1289" t="s">
        <v>3116</v>
      </c>
      <c r="B1289"/>
    </row>
    <row r="1290" spans="1:3" x14ac:dyDescent="0.2">
      <c r="A1290" t="s">
        <v>3117</v>
      </c>
      <c r="B1290"/>
    </row>
    <row r="1291" spans="1:3" x14ac:dyDescent="0.2">
      <c r="A1291" t="s">
        <v>3118</v>
      </c>
      <c r="B1291"/>
    </row>
    <row r="1292" spans="1:3" x14ac:dyDescent="0.2">
      <c r="A1292" t="s">
        <v>3119</v>
      </c>
      <c r="B1292"/>
    </row>
    <row r="1293" spans="1:3" x14ac:dyDescent="0.2">
      <c r="A1293" t="s">
        <v>3120</v>
      </c>
      <c r="B1293"/>
    </row>
    <row r="1294" spans="1:3" x14ac:dyDescent="0.2">
      <c r="A1294" t="s">
        <v>3121</v>
      </c>
      <c r="B1294"/>
    </row>
    <row r="1295" spans="1:3" x14ac:dyDescent="0.2">
      <c r="A1295" t="s">
        <v>3122</v>
      </c>
      <c r="B1295"/>
    </row>
    <row r="1296" spans="1:3" x14ac:dyDescent="0.2">
      <c r="A1296" t="s">
        <v>3123</v>
      </c>
      <c r="B1296"/>
    </row>
    <row r="1297" spans="1:3" x14ac:dyDescent="0.2">
      <c r="A1297" t="s">
        <v>3124</v>
      </c>
      <c r="B1297"/>
    </row>
    <row r="1298" spans="1:3" x14ac:dyDescent="0.2">
      <c r="A1298" t="s">
        <v>3125</v>
      </c>
      <c r="B1298"/>
    </row>
    <row r="1299" spans="1:3" x14ac:dyDescent="0.2">
      <c r="A1299" t="s">
        <v>3126</v>
      </c>
      <c r="B1299"/>
    </row>
    <row r="1300" spans="1:3" x14ac:dyDescent="0.2">
      <c r="A1300" t="s">
        <v>3127</v>
      </c>
      <c r="B1300"/>
    </row>
    <row r="1301" spans="1:3" x14ac:dyDescent="0.2">
      <c r="A1301" t="s">
        <v>3128</v>
      </c>
      <c r="B1301"/>
    </row>
    <row r="1302" spans="1:3" x14ac:dyDescent="0.2">
      <c r="A1302" t="s">
        <v>3129</v>
      </c>
      <c r="B1302"/>
    </row>
    <row r="1303" spans="1:3" x14ac:dyDescent="0.2">
      <c r="A1303" t="s">
        <v>3130</v>
      </c>
      <c r="B1303"/>
    </row>
    <row r="1304" spans="1:3" x14ac:dyDescent="0.2">
      <c r="A1304" s="1452" t="s">
        <v>3131</v>
      </c>
      <c r="B1304" s="1511" t="s">
        <v>1969</v>
      </c>
      <c r="C1304" s="290">
        <v>2520</v>
      </c>
    </row>
    <row r="1305" spans="1:3" x14ac:dyDescent="0.2">
      <c r="A1305" s="1465" t="s">
        <v>3132</v>
      </c>
      <c r="B1305" s="272" t="s">
        <v>3133</v>
      </c>
    </row>
    <row r="1306" spans="1:3" x14ac:dyDescent="0.2">
      <c r="A1306" t="s">
        <v>3134</v>
      </c>
      <c r="B1306"/>
    </row>
    <row r="1307" spans="1:3" x14ac:dyDescent="0.2">
      <c r="A1307" t="s">
        <v>3135</v>
      </c>
      <c r="B1307"/>
    </row>
    <row r="1308" spans="1:3" x14ac:dyDescent="0.2">
      <c r="A1308" t="s">
        <v>3136</v>
      </c>
      <c r="B1308"/>
    </row>
    <row r="1309" spans="1:3" x14ac:dyDescent="0.2">
      <c r="A1309" t="s">
        <v>3137</v>
      </c>
      <c r="B1309"/>
    </row>
    <row r="1310" spans="1:3" x14ac:dyDescent="0.2">
      <c r="A1310" t="s">
        <v>3138</v>
      </c>
      <c r="B1310"/>
    </row>
    <row r="1311" spans="1:3" x14ac:dyDescent="0.2">
      <c r="A1311" t="s">
        <v>3139</v>
      </c>
      <c r="B1311" t="s">
        <v>3046</v>
      </c>
    </row>
    <row r="1312" spans="1:3" x14ac:dyDescent="0.2">
      <c r="A1312" t="s">
        <v>3140</v>
      </c>
      <c r="B1312" t="s">
        <v>3046</v>
      </c>
    </row>
    <row r="1313" spans="1:3" x14ac:dyDescent="0.2">
      <c r="A1313" t="s">
        <v>3141</v>
      </c>
      <c r="B1313" t="s">
        <v>3048</v>
      </c>
    </row>
    <row r="1314" spans="1:3" x14ac:dyDescent="0.2">
      <c r="A1314" t="s">
        <v>3142</v>
      </c>
      <c r="B1314" t="s">
        <v>3048</v>
      </c>
    </row>
    <row r="1315" spans="1:3" x14ac:dyDescent="0.2">
      <c r="B1315"/>
    </row>
    <row r="1316" spans="1:3" x14ac:dyDescent="0.2">
      <c r="A1316" s="1452" t="s">
        <v>3143</v>
      </c>
      <c r="B1316" s="1511" t="s">
        <v>1969</v>
      </c>
      <c r="C1316" s="290">
        <v>2520</v>
      </c>
    </row>
    <row r="1317" spans="1:3" x14ac:dyDescent="0.2">
      <c r="A1317" t="s">
        <v>3144</v>
      </c>
      <c r="B1317"/>
    </row>
    <row r="1318" spans="1:3" x14ac:dyDescent="0.2">
      <c r="A1318" t="s">
        <v>3145</v>
      </c>
      <c r="B1318" s="272" t="s">
        <v>3048</v>
      </c>
    </row>
    <row r="1319" spans="1:3" x14ac:dyDescent="0.2">
      <c r="A1319" s="272" t="s">
        <v>3788</v>
      </c>
      <c r="B1319" s="272" t="s">
        <v>3780</v>
      </c>
    </row>
    <row r="1320" spans="1:3" x14ac:dyDescent="0.2">
      <c r="A1320" s="272" t="s">
        <v>3789</v>
      </c>
      <c r="B1320" s="272" t="s">
        <v>3780</v>
      </c>
    </row>
    <row r="1321" spans="1:3" x14ac:dyDescent="0.2">
      <c r="A1321" s="272" t="s">
        <v>3790</v>
      </c>
      <c r="B1321" s="272" t="s">
        <v>3780</v>
      </c>
    </row>
    <row r="1322" spans="1:3" x14ac:dyDescent="0.2">
      <c r="A1322" s="272" t="s">
        <v>3791</v>
      </c>
      <c r="B1322" s="272" t="s">
        <v>3780</v>
      </c>
    </row>
    <row r="1323" spans="1:3" x14ac:dyDescent="0.2">
      <c r="A1323" s="272" t="s">
        <v>3792</v>
      </c>
      <c r="B1323" s="272" t="s">
        <v>3780</v>
      </c>
    </row>
    <row r="1324" spans="1:3" x14ac:dyDescent="0.2">
      <c r="A1324" s="272" t="s">
        <v>3793</v>
      </c>
      <c r="B1324" s="272" t="s">
        <v>3780</v>
      </c>
    </row>
    <row r="1325" spans="1:3" x14ac:dyDescent="0.2">
      <c r="A1325" s="1452" t="s">
        <v>3146</v>
      </c>
      <c r="B1325" s="1511" t="s">
        <v>1969</v>
      </c>
      <c r="C1325" s="290">
        <v>2520</v>
      </c>
    </row>
    <row r="1326" spans="1:3" x14ac:dyDescent="0.2">
      <c r="A1326" t="s">
        <v>3147</v>
      </c>
      <c r="B1326"/>
    </row>
    <row r="1327" spans="1:3" x14ac:dyDescent="0.2">
      <c r="A1327" t="s">
        <v>3148</v>
      </c>
      <c r="B1327"/>
    </row>
    <row r="1328" spans="1:3" x14ac:dyDescent="0.2">
      <c r="A1328" t="s">
        <v>3149</v>
      </c>
      <c r="B1328"/>
    </row>
    <row r="1329" spans="1:2" x14ac:dyDescent="0.2">
      <c r="A1329" t="s">
        <v>3150</v>
      </c>
      <c r="B1329"/>
    </row>
    <row r="1330" spans="1:2" x14ac:dyDescent="0.2">
      <c r="A1330" t="s">
        <v>3151</v>
      </c>
      <c r="B1330"/>
    </row>
    <row r="1331" spans="1:2" x14ac:dyDescent="0.2">
      <c r="A1331" t="s">
        <v>3152</v>
      </c>
      <c r="B1331"/>
    </row>
    <row r="1332" spans="1:2" x14ac:dyDescent="0.2">
      <c r="A1332" t="s">
        <v>3153</v>
      </c>
      <c r="B1332" t="s">
        <v>3048</v>
      </c>
    </row>
    <row r="1333" spans="1:2" x14ac:dyDescent="0.2">
      <c r="A1333" t="s">
        <v>3154</v>
      </c>
      <c r="B1333" t="s">
        <v>3048</v>
      </c>
    </row>
    <row r="1334" spans="1:2" x14ac:dyDescent="0.2">
      <c r="A1334" t="s">
        <v>3155</v>
      </c>
      <c r="B1334" t="s">
        <v>3048</v>
      </c>
    </row>
    <row r="1335" spans="1:2" x14ac:dyDescent="0.2">
      <c r="A1335" t="s">
        <v>3156</v>
      </c>
      <c r="B1335" t="s">
        <v>3048</v>
      </c>
    </row>
    <row r="1336" spans="1:2" x14ac:dyDescent="0.2">
      <c r="A1336" t="s">
        <v>3157</v>
      </c>
      <c r="B1336" t="s">
        <v>3048</v>
      </c>
    </row>
    <row r="1337" spans="1:2" x14ac:dyDescent="0.2">
      <c r="A1337" t="s">
        <v>3158</v>
      </c>
      <c r="B1337"/>
    </row>
    <row r="1338" spans="1:2" x14ac:dyDescent="0.2">
      <c r="A1338" t="s">
        <v>3159</v>
      </c>
      <c r="B1338"/>
    </row>
    <row r="1339" spans="1:2" x14ac:dyDescent="0.2">
      <c r="A1339" t="s">
        <v>3160</v>
      </c>
      <c r="B1339"/>
    </row>
    <row r="1340" spans="1:2" x14ac:dyDescent="0.2">
      <c r="A1340" t="s">
        <v>3161</v>
      </c>
      <c r="B1340"/>
    </row>
    <row r="1341" spans="1:2" x14ac:dyDescent="0.2">
      <c r="A1341" t="s">
        <v>3162</v>
      </c>
      <c r="B1341"/>
    </row>
    <row r="1342" spans="1:2" x14ac:dyDescent="0.2">
      <c r="A1342" t="s">
        <v>3163</v>
      </c>
      <c r="B1342" s="272" t="s">
        <v>3164</v>
      </c>
    </row>
    <row r="1343" spans="1:2" x14ac:dyDescent="0.2">
      <c r="A1343" t="s">
        <v>3165</v>
      </c>
      <c r="B1343" s="272" t="s">
        <v>2765</v>
      </c>
    </row>
    <row r="1344" spans="1:2" x14ac:dyDescent="0.2">
      <c r="A1344" t="s">
        <v>3166</v>
      </c>
      <c r="B1344"/>
    </row>
    <row r="1345" spans="1:3" x14ac:dyDescent="0.2">
      <c r="A1345" t="s">
        <v>3167</v>
      </c>
      <c r="B1345"/>
    </row>
    <row r="1346" spans="1:3" x14ac:dyDescent="0.2">
      <c r="A1346" t="s">
        <v>3168</v>
      </c>
      <c r="B1346"/>
    </row>
    <row r="1347" spans="1:3" x14ac:dyDescent="0.2">
      <c r="A1347" t="s">
        <v>3169</v>
      </c>
      <c r="B1347"/>
    </row>
    <row r="1348" spans="1:3" x14ac:dyDescent="0.2">
      <c r="A1348" t="s">
        <v>3170</v>
      </c>
      <c r="B1348"/>
    </row>
    <row r="1349" spans="1:3" x14ac:dyDescent="0.2">
      <c r="A1349" t="s">
        <v>3171</v>
      </c>
      <c r="B1349"/>
    </row>
    <row r="1350" spans="1:3" x14ac:dyDescent="0.2">
      <c r="A1350" t="s">
        <v>3172</v>
      </c>
      <c r="B1350"/>
    </row>
    <row r="1351" spans="1:3" x14ac:dyDescent="0.2">
      <c r="A1351" t="s">
        <v>3173</v>
      </c>
      <c r="B1351"/>
    </row>
    <row r="1352" spans="1:3" x14ac:dyDescent="0.2">
      <c r="A1352" t="s">
        <v>3174</v>
      </c>
      <c r="B1352"/>
    </row>
    <row r="1353" spans="1:3" x14ac:dyDescent="0.2">
      <c r="A1353" s="1452" t="s">
        <v>3175</v>
      </c>
      <c r="B1353" s="1511" t="s">
        <v>3176</v>
      </c>
      <c r="C1353" s="357" t="s">
        <v>775</v>
      </c>
    </row>
    <row r="1354" spans="1:3" x14ac:dyDescent="0.2">
      <c r="A1354" s="272" t="s">
        <v>3177</v>
      </c>
      <c r="B1354" t="s">
        <v>2054</v>
      </c>
    </row>
    <row r="1355" spans="1:3" x14ac:dyDescent="0.2">
      <c r="A1355" s="1452" t="s">
        <v>3178</v>
      </c>
      <c r="B1355" s="1511" t="s">
        <v>1969</v>
      </c>
      <c r="C1355" s="290">
        <v>2540</v>
      </c>
    </row>
    <row r="1356" spans="1:3" x14ac:dyDescent="0.2">
      <c r="A1356" t="s">
        <v>3179</v>
      </c>
      <c r="B1356"/>
    </row>
    <row r="1357" spans="1:3" x14ac:dyDescent="0.2">
      <c r="A1357" t="s">
        <v>3180</v>
      </c>
      <c r="B1357"/>
    </row>
    <row r="1358" spans="1:3" x14ac:dyDescent="0.2">
      <c r="A1358" t="s">
        <v>3181</v>
      </c>
      <c r="B1358"/>
    </row>
    <row r="1359" spans="1:3" x14ac:dyDescent="0.2">
      <c r="A1359" t="s">
        <v>3182</v>
      </c>
      <c r="B1359"/>
    </row>
    <row r="1360" spans="1:3" x14ac:dyDescent="0.2">
      <c r="A1360" t="s">
        <v>3183</v>
      </c>
      <c r="B1360"/>
    </row>
    <row r="1361" spans="1:3" x14ac:dyDescent="0.2">
      <c r="A1361" t="s">
        <v>3184</v>
      </c>
      <c r="B1361"/>
    </row>
    <row r="1362" spans="1:3" x14ac:dyDescent="0.2">
      <c r="A1362" t="s">
        <v>3185</v>
      </c>
      <c r="B1362"/>
    </row>
    <row r="1363" spans="1:3" x14ac:dyDescent="0.2">
      <c r="A1363" t="s">
        <v>3186</v>
      </c>
      <c r="B1363"/>
    </row>
    <row r="1364" spans="1:3" x14ac:dyDescent="0.2">
      <c r="A1364" t="s">
        <v>3187</v>
      </c>
      <c r="B1364" t="s">
        <v>2041</v>
      </c>
    </row>
    <row r="1365" spans="1:3" x14ac:dyDescent="0.2">
      <c r="A1365" t="s">
        <v>3188</v>
      </c>
      <c r="B1365"/>
    </row>
    <row r="1366" spans="1:3" x14ac:dyDescent="0.2">
      <c r="A1366" t="s">
        <v>3189</v>
      </c>
      <c r="B1366"/>
    </row>
    <row r="1367" spans="1:3" x14ac:dyDescent="0.2">
      <c r="A1367" t="s">
        <v>3190</v>
      </c>
      <c r="B1367"/>
    </row>
    <row r="1368" spans="1:3" x14ac:dyDescent="0.2">
      <c r="A1368" t="s">
        <v>3191</v>
      </c>
      <c r="B1368"/>
    </row>
    <row r="1369" spans="1:3" x14ac:dyDescent="0.2">
      <c r="A1369" s="1452" t="s">
        <v>397</v>
      </c>
      <c r="B1369" s="1511" t="s">
        <v>1969</v>
      </c>
      <c r="C1369" s="290">
        <v>2550</v>
      </c>
    </row>
    <row r="1370" spans="1:3" x14ac:dyDescent="0.2">
      <c r="A1370" t="s">
        <v>3192</v>
      </c>
      <c r="B1370"/>
    </row>
    <row r="1371" spans="1:3" x14ac:dyDescent="0.2">
      <c r="A1371" s="1452" t="s">
        <v>379</v>
      </c>
      <c r="B1371" s="1511" t="s">
        <v>1969</v>
      </c>
      <c r="C1371" s="290">
        <v>2560</v>
      </c>
    </row>
    <row r="1372" spans="1:3" x14ac:dyDescent="0.2">
      <c r="A1372" t="s">
        <v>3193</v>
      </c>
      <c r="B1372"/>
    </row>
    <row r="1373" spans="1:3" x14ac:dyDescent="0.2">
      <c r="A1373" s="1452" t="s">
        <v>1183</v>
      </c>
      <c r="B1373" s="1511" t="s">
        <v>1969</v>
      </c>
      <c r="C1373" s="290">
        <v>2570</v>
      </c>
    </row>
    <row r="1374" spans="1:3" x14ac:dyDescent="0.2">
      <c r="A1374" t="s">
        <v>3194</v>
      </c>
      <c r="B1374"/>
    </row>
    <row r="1375" spans="1:3" x14ac:dyDescent="0.2">
      <c r="A1375" t="s">
        <v>3195</v>
      </c>
      <c r="B1375"/>
    </row>
    <row r="1376" spans="1:3" x14ac:dyDescent="0.2">
      <c r="A1376" t="s">
        <v>3196</v>
      </c>
      <c r="B1376"/>
    </row>
    <row r="1377" spans="1:3" x14ac:dyDescent="0.2">
      <c r="A1377" t="s">
        <v>3197</v>
      </c>
      <c r="B1377"/>
    </row>
    <row r="1378" spans="1:3" x14ac:dyDescent="0.2">
      <c r="A1378" t="s">
        <v>3198</v>
      </c>
      <c r="B1378"/>
    </row>
    <row r="1379" spans="1:3" x14ac:dyDescent="0.2">
      <c r="A1379" s="1452" t="s">
        <v>468</v>
      </c>
      <c r="B1379" s="1511" t="s">
        <v>1969</v>
      </c>
      <c r="C1379" s="357" t="s">
        <v>775</v>
      </c>
    </row>
    <row r="1380" spans="1:3" x14ac:dyDescent="0.2">
      <c r="A1380" t="s">
        <v>3199</v>
      </c>
      <c r="B1380"/>
    </row>
    <row r="1381" spans="1:3" x14ac:dyDescent="0.2">
      <c r="A1381" s="1452" t="s">
        <v>1428</v>
      </c>
      <c r="B1381" s="1511" t="s">
        <v>1969</v>
      </c>
      <c r="C1381" s="290">
        <v>2590</v>
      </c>
    </row>
    <row r="1382" spans="1:3" x14ac:dyDescent="0.2">
      <c r="A1382" t="s">
        <v>3200</v>
      </c>
      <c r="B1382"/>
    </row>
    <row r="1383" spans="1:3" x14ac:dyDescent="0.2">
      <c r="A1383" t="s">
        <v>3201</v>
      </c>
      <c r="B1383"/>
    </row>
    <row r="1384" spans="1:3" x14ac:dyDescent="0.2">
      <c r="A1384" t="s">
        <v>3202</v>
      </c>
      <c r="B1384"/>
    </row>
    <row r="1385" spans="1:3" x14ac:dyDescent="0.2">
      <c r="A1385" t="s">
        <v>3203</v>
      </c>
      <c r="B1385"/>
    </row>
    <row r="1386" spans="1:3" x14ac:dyDescent="0.2">
      <c r="A1386" t="s">
        <v>3204</v>
      </c>
      <c r="B1386"/>
    </row>
    <row r="1387" spans="1:3" x14ac:dyDescent="0.2">
      <c r="A1387" t="s">
        <v>3205</v>
      </c>
      <c r="B1387"/>
    </row>
    <row r="1388" spans="1:3" x14ac:dyDescent="0.2">
      <c r="A1388" t="s">
        <v>3206</v>
      </c>
      <c r="B1388"/>
    </row>
    <row r="1389" spans="1:3" x14ac:dyDescent="0.2">
      <c r="A1389" t="s">
        <v>3207</v>
      </c>
      <c r="B1389"/>
    </row>
    <row r="1390" spans="1:3" x14ac:dyDescent="0.2">
      <c r="A1390" t="s">
        <v>3208</v>
      </c>
      <c r="B1390"/>
    </row>
    <row r="1391" spans="1:3" x14ac:dyDescent="0.2">
      <c r="A1391" t="s">
        <v>3209</v>
      </c>
      <c r="B1391"/>
    </row>
    <row r="1392" spans="1:3" x14ac:dyDescent="0.2">
      <c r="A1392" t="s">
        <v>3210</v>
      </c>
      <c r="B1392"/>
    </row>
    <row r="1393" spans="1:3" x14ac:dyDescent="0.2">
      <c r="A1393" s="2" t="s">
        <v>3211</v>
      </c>
      <c r="B1393"/>
    </row>
    <row r="1394" spans="1:3" x14ac:dyDescent="0.2">
      <c r="A1394" s="1452" t="s">
        <v>3212</v>
      </c>
      <c r="B1394" s="1511" t="s">
        <v>1969</v>
      </c>
      <c r="C1394" s="290">
        <v>2610</v>
      </c>
    </row>
    <row r="1395" spans="1:3" x14ac:dyDescent="0.2">
      <c r="A1395" t="s">
        <v>3213</v>
      </c>
      <c r="B1395"/>
    </row>
    <row r="1396" spans="1:3" x14ac:dyDescent="0.2">
      <c r="A1396" t="s">
        <v>3214</v>
      </c>
      <c r="B1396"/>
    </row>
    <row r="1397" spans="1:3" x14ac:dyDescent="0.2">
      <c r="A1397" t="s">
        <v>3215</v>
      </c>
      <c r="B1397"/>
    </row>
    <row r="1398" spans="1:3" x14ac:dyDescent="0.2">
      <c r="A1398" t="s">
        <v>3216</v>
      </c>
      <c r="B1398"/>
    </row>
    <row r="1399" spans="1:3" x14ac:dyDescent="0.2">
      <c r="A1399" t="s">
        <v>3217</v>
      </c>
      <c r="B1399" t="s">
        <v>3218</v>
      </c>
    </row>
    <row r="1400" spans="1:3" x14ac:dyDescent="0.2">
      <c r="A1400" t="s">
        <v>3219</v>
      </c>
      <c r="B1400" t="s">
        <v>3218</v>
      </c>
    </row>
    <row r="1401" spans="1:3" x14ac:dyDescent="0.2">
      <c r="A1401" t="s">
        <v>3220</v>
      </c>
      <c r="B1401" t="s">
        <v>3218</v>
      </c>
    </row>
    <row r="1402" spans="1:3" x14ac:dyDescent="0.2">
      <c r="A1402" t="s">
        <v>3221</v>
      </c>
      <c r="B1402" t="s">
        <v>3218</v>
      </c>
    </row>
    <row r="1403" spans="1:3" x14ac:dyDescent="0.2">
      <c r="A1403" t="s">
        <v>3222</v>
      </c>
      <c r="B1403" t="s">
        <v>3223</v>
      </c>
    </row>
    <row r="1404" spans="1:3" x14ac:dyDescent="0.2">
      <c r="A1404" t="s">
        <v>3224</v>
      </c>
      <c r="B1404" t="s">
        <v>3223</v>
      </c>
    </row>
    <row r="1405" spans="1:3" x14ac:dyDescent="0.2">
      <c r="A1405" t="s">
        <v>3225</v>
      </c>
      <c r="B1405" t="s">
        <v>3223</v>
      </c>
    </row>
    <row r="1406" spans="1:3" x14ac:dyDescent="0.2">
      <c r="A1406" t="s">
        <v>3226</v>
      </c>
      <c r="B1406" t="s">
        <v>3223</v>
      </c>
    </row>
    <row r="1407" spans="1:3" x14ac:dyDescent="0.2">
      <c r="A1407" t="s">
        <v>3227</v>
      </c>
      <c r="B1407" t="s">
        <v>3223</v>
      </c>
    </row>
    <row r="1408" spans="1:3" x14ac:dyDescent="0.2">
      <c r="A1408" t="s">
        <v>3228</v>
      </c>
      <c r="B1408" t="s">
        <v>3223</v>
      </c>
    </row>
    <row r="1409" spans="1:3" x14ac:dyDescent="0.2">
      <c r="A1409" t="s">
        <v>3229</v>
      </c>
      <c r="B1409" t="s">
        <v>3223</v>
      </c>
    </row>
    <row r="1410" spans="1:3" x14ac:dyDescent="0.2">
      <c r="A1410" t="s">
        <v>3230</v>
      </c>
      <c r="B1410"/>
    </row>
    <row r="1411" spans="1:3" x14ac:dyDescent="0.2">
      <c r="A1411" t="s">
        <v>3231</v>
      </c>
      <c r="B1411"/>
    </row>
    <row r="1412" spans="1:3" x14ac:dyDescent="0.2">
      <c r="A1412" t="s">
        <v>3232</v>
      </c>
      <c r="B1412"/>
    </row>
    <row r="1413" spans="1:3" x14ac:dyDescent="0.2">
      <c r="A1413" t="s">
        <v>3233</v>
      </c>
      <c r="B1413"/>
    </row>
    <row r="1414" spans="1:3" x14ac:dyDescent="0.2">
      <c r="A1414" t="s">
        <v>3234</v>
      </c>
      <c r="B1414"/>
    </row>
    <row r="1415" spans="1:3" x14ac:dyDescent="0.2">
      <c r="A1415" t="s">
        <v>3235</v>
      </c>
      <c r="B1415"/>
    </row>
    <row r="1416" spans="1:3" x14ac:dyDescent="0.2">
      <c r="A1416" t="s">
        <v>3236</v>
      </c>
      <c r="B1416"/>
    </row>
    <row r="1417" spans="1:3" x14ac:dyDescent="0.2">
      <c r="A1417" t="s">
        <v>3237</v>
      </c>
      <c r="B1417"/>
    </row>
    <row r="1418" spans="1:3" x14ac:dyDescent="0.2">
      <c r="A1418" s="1452" t="s">
        <v>3238</v>
      </c>
      <c r="B1418" s="1511" t="s">
        <v>1969</v>
      </c>
      <c r="C1418" s="290">
        <v>2625</v>
      </c>
    </row>
    <row r="1419" spans="1:3" x14ac:dyDescent="0.2">
      <c r="A1419" s="1465" t="s">
        <v>3239</v>
      </c>
      <c r="B1419" s="272" t="s">
        <v>3240</v>
      </c>
    </row>
    <row r="1420" spans="1:3" x14ac:dyDescent="0.2">
      <c r="A1420" t="s">
        <v>3241</v>
      </c>
      <c r="B1420"/>
    </row>
    <row r="1421" spans="1:3" x14ac:dyDescent="0.2">
      <c r="A1421" t="s">
        <v>3242</v>
      </c>
      <c r="B1421"/>
    </row>
    <row r="1422" spans="1:3" x14ac:dyDescent="0.2">
      <c r="A1422" s="1452" t="s">
        <v>3243</v>
      </c>
      <c r="B1422" s="1511" t="s">
        <v>1969</v>
      </c>
      <c r="C1422" s="290">
        <v>2630</v>
      </c>
    </row>
    <row r="1423" spans="1:3" x14ac:dyDescent="0.2">
      <c r="A1423" t="s">
        <v>3244</v>
      </c>
      <c r="B1423"/>
    </row>
    <row r="1424" spans="1:3" x14ac:dyDescent="0.2">
      <c r="A1424" t="s">
        <v>3245</v>
      </c>
      <c r="B1424"/>
    </row>
    <row r="1425" spans="1:2" x14ac:dyDescent="0.2">
      <c r="A1425" t="s">
        <v>3246</v>
      </c>
      <c r="B1425"/>
    </row>
    <row r="1426" spans="1:2" x14ac:dyDescent="0.2">
      <c r="A1426" t="s">
        <v>3247</v>
      </c>
      <c r="B1426"/>
    </row>
    <row r="1427" spans="1:2" x14ac:dyDescent="0.2">
      <c r="A1427" t="s">
        <v>3248</v>
      </c>
      <c r="B1427"/>
    </row>
    <row r="1428" spans="1:2" x14ac:dyDescent="0.2">
      <c r="A1428" t="s">
        <v>3249</v>
      </c>
      <c r="B1428"/>
    </row>
    <row r="1429" spans="1:2" x14ac:dyDescent="0.2">
      <c r="A1429" t="s">
        <v>3250</v>
      </c>
      <c r="B1429"/>
    </row>
    <row r="1430" spans="1:2" x14ac:dyDescent="0.2">
      <c r="A1430" t="s">
        <v>3251</v>
      </c>
      <c r="B1430" t="s">
        <v>3046</v>
      </c>
    </row>
    <row r="1431" spans="1:2" x14ac:dyDescent="0.2">
      <c r="A1431" t="s">
        <v>3252</v>
      </c>
      <c r="B1431" t="s">
        <v>3046</v>
      </c>
    </row>
    <row r="1432" spans="1:2" x14ac:dyDescent="0.2">
      <c r="A1432" t="s">
        <v>3253</v>
      </c>
      <c r="B1432" t="s">
        <v>3046</v>
      </c>
    </row>
    <row r="1433" spans="1:2" x14ac:dyDescent="0.2">
      <c r="A1433" t="s">
        <v>3254</v>
      </c>
      <c r="B1433" t="s">
        <v>3048</v>
      </c>
    </row>
    <row r="1434" spans="1:2" x14ac:dyDescent="0.2">
      <c r="A1434" t="s">
        <v>3255</v>
      </c>
      <c r="B1434" t="s">
        <v>3048</v>
      </c>
    </row>
    <row r="1435" spans="1:2" x14ac:dyDescent="0.2">
      <c r="A1435" t="s">
        <v>3256</v>
      </c>
      <c r="B1435" t="s">
        <v>3048</v>
      </c>
    </row>
    <row r="1436" spans="1:2" x14ac:dyDescent="0.2">
      <c r="A1436" t="s">
        <v>3257</v>
      </c>
      <c r="B1436" t="s">
        <v>3048</v>
      </c>
    </row>
    <row r="1437" spans="1:2" x14ac:dyDescent="0.2">
      <c r="A1437" t="s">
        <v>3258</v>
      </c>
      <c r="B1437" t="s">
        <v>3048</v>
      </c>
    </row>
    <row r="1438" spans="1:2" x14ac:dyDescent="0.2">
      <c r="A1438" t="s">
        <v>3259</v>
      </c>
      <c r="B1438" t="s">
        <v>3048</v>
      </c>
    </row>
    <row r="1439" spans="1:2" x14ac:dyDescent="0.2">
      <c r="A1439" t="s">
        <v>3260</v>
      </c>
      <c r="B1439" t="s">
        <v>3048</v>
      </c>
    </row>
    <row r="1440" spans="1:2" x14ac:dyDescent="0.2">
      <c r="A1440" t="s">
        <v>3261</v>
      </c>
      <c r="B1440"/>
    </row>
    <row r="1441" spans="1:3" x14ac:dyDescent="0.2">
      <c r="A1441" s="272" t="s">
        <v>3262</v>
      </c>
      <c r="B1441" t="s">
        <v>3263</v>
      </c>
    </row>
    <row r="1442" spans="1:3" x14ac:dyDescent="0.2">
      <c r="A1442" t="s">
        <v>3264</v>
      </c>
      <c r="B1442"/>
    </row>
    <row r="1443" spans="1:3" x14ac:dyDescent="0.2">
      <c r="A1443" t="s">
        <v>3265</v>
      </c>
      <c r="B1443"/>
    </row>
    <row r="1444" spans="1:3" x14ac:dyDescent="0.2">
      <c r="A1444" t="s">
        <v>3266</v>
      </c>
      <c r="B1444"/>
    </row>
    <row r="1445" spans="1:3" x14ac:dyDescent="0.2">
      <c r="A1445" t="s">
        <v>3267</v>
      </c>
      <c r="B1445"/>
    </row>
    <row r="1446" spans="1:3" x14ac:dyDescent="0.2">
      <c r="A1446" t="s">
        <v>3268</v>
      </c>
      <c r="B1446"/>
    </row>
    <row r="1447" spans="1:3" x14ac:dyDescent="0.2">
      <c r="A1447" t="s">
        <v>4258</v>
      </c>
      <c r="B1447" s="272" t="s">
        <v>4259</v>
      </c>
    </row>
    <row r="1448" spans="1:3" x14ac:dyDescent="0.2">
      <c r="A1448" t="s">
        <v>3269</v>
      </c>
      <c r="B1448"/>
    </row>
    <row r="1449" spans="1:3" x14ac:dyDescent="0.2">
      <c r="A1449" t="s">
        <v>3270</v>
      </c>
      <c r="B1449"/>
    </row>
    <row r="1450" spans="1:3" x14ac:dyDescent="0.2">
      <c r="A1450" s="1311" t="s">
        <v>3271</v>
      </c>
      <c r="B1450" s="1511" t="s">
        <v>1969</v>
      </c>
      <c r="C1450" s="357" t="s">
        <v>775</v>
      </c>
    </row>
    <row r="1451" spans="1:3" x14ac:dyDescent="0.2">
      <c r="B1451"/>
    </row>
    <row r="1452" spans="1:3" x14ac:dyDescent="0.2">
      <c r="A1452" s="1311" t="s">
        <v>3272</v>
      </c>
      <c r="B1452" s="1613" t="s">
        <v>1969</v>
      </c>
      <c r="C1452" s="357" t="s">
        <v>775</v>
      </c>
    </row>
    <row r="1453" spans="1:3" x14ac:dyDescent="0.2">
      <c r="A1453" s="272" t="s">
        <v>3273</v>
      </c>
      <c r="B1453" s="1094" t="s">
        <v>3274</v>
      </c>
    </row>
    <row r="1454" spans="1:3" x14ac:dyDescent="0.2">
      <c r="A1454" t="s">
        <v>3275</v>
      </c>
      <c r="B1454" t="s">
        <v>3276</v>
      </c>
    </row>
    <row r="1455" spans="1:3" s="2663" customFormat="1" x14ac:dyDescent="0.2">
      <c r="A1455" s="2666" t="s">
        <v>5749</v>
      </c>
      <c r="B1455" s="1610" t="s">
        <v>5726</v>
      </c>
      <c r="C1455" s="2665"/>
    </row>
    <row r="1456" spans="1:3" s="2663" customFormat="1" x14ac:dyDescent="0.2">
      <c r="A1456" s="2666" t="s">
        <v>5750</v>
      </c>
      <c r="B1456" s="1610" t="s">
        <v>5726</v>
      </c>
      <c r="C1456" s="2665"/>
    </row>
    <row r="1457" spans="1:3" s="2663" customFormat="1" x14ac:dyDescent="0.2">
      <c r="A1457" s="2666" t="s">
        <v>5751</v>
      </c>
      <c r="B1457" s="1610" t="s">
        <v>5726</v>
      </c>
      <c r="C1457" s="2665"/>
    </row>
    <row r="1458" spans="1:3" s="2663" customFormat="1" x14ac:dyDescent="0.2">
      <c r="A1458" s="2038" t="s">
        <v>5752</v>
      </c>
      <c r="B1458" s="1610" t="s">
        <v>5726</v>
      </c>
      <c r="C1458" s="2665"/>
    </row>
    <row r="1459" spans="1:3" x14ac:dyDescent="0.2">
      <c r="A1459" t="s">
        <v>3277</v>
      </c>
      <c r="B1459" t="s">
        <v>2302</v>
      </c>
    </row>
    <row r="1460" spans="1:3" x14ac:dyDescent="0.2">
      <c r="A1460" t="s">
        <v>3278</v>
      </c>
      <c r="B1460" t="s">
        <v>2302</v>
      </c>
    </row>
    <row r="1461" spans="1:3" x14ac:dyDescent="0.2">
      <c r="A1461" t="s">
        <v>3279</v>
      </c>
      <c r="B1461" t="s">
        <v>2302</v>
      </c>
    </row>
    <row r="1462" spans="1:3" x14ac:dyDescent="0.2">
      <c r="A1462" s="2664" t="s">
        <v>5748</v>
      </c>
      <c r="B1462" s="2664" t="s">
        <v>5753</v>
      </c>
    </row>
    <row r="1463" spans="1:3" x14ac:dyDescent="0.2">
      <c r="A1463" t="s">
        <v>3280</v>
      </c>
      <c r="B1463" t="s">
        <v>2302</v>
      </c>
    </row>
    <row r="1464" spans="1:3" x14ac:dyDescent="0.2">
      <c r="A1464" t="s">
        <v>3281</v>
      </c>
      <c r="B1464" t="s">
        <v>2302</v>
      </c>
    </row>
    <row r="1465" spans="1:3" x14ac:dyDescent="0.2">
      <c r="A1465" s="272" t="s">
        <v>3282</v>
      </c>
      <c r="B1465"/>
    </row>
    <row r="1466" spans="1:3" x14ac:dyDescent="0.2">
      <c r="A1466" s="1465" t="s">
        <v>3283</v>
      </c>
      <c r="B1466" t="s">
        <v>2302</v>
      </c>
    </row>
    <row r="1467" spans="1:3" x14ac:dyDescent="0.2">
      <c r="A1467" t="s">
        <v>3284</v>
      </c>
      <c r="B1467" t="s">
        <v>3285</v>
      </c>
    </row>
    <row r="1468" spans="1:3" x14ac:dyDescent="0.2">
      <c r="A1468" s="1465" t="s">
        <v>3286</v>
      </c>
      <c r="B1468" t="s">
        <v>2302</v>
      </c>
    </row>
    <row r="1469" spans="1:3" x14ac:dyDescent="0.2">
      <c r="A1469" t="s">
        <v>3287</v>
      </c>
      <c r="B1469" t="s">
        <v>3288</v>
      </c>
    </row>
    <row r="1470" spans="1:3" x14ac:dyDescent="0.2">
      <c r="A1470" s="1465" t="s">
        <v>3289</v>
      </c>
      <c r="B1470" t="s">
        <v>2808</v>
      </c>
    </row>
    <row r="1471" spans="1:3" ht="12" customHeight="1" x14ac:dyDescent="0.2">
      <c r="A1471" t="s">
        <v>3290</v>
      </c>
      <c r="B1471" t="s">
        <v>2808</v>
      </c>
    </row>
    <row r="1472" spans="1:3" x14ac:dyDescent="0.2">
      <c r="A1472" t="s">
        <v>3291</v>
      </c>
      <c r="B1472" t="s">
        <v>2302</v>
      </c>
    </row>
    <row r="1473" spans="1:3" x14ac:dyDescent="0.2">
      <c r="A1473" t="s">
        <v>3292</v>
      </c>
      <c r="B1473" t="s">
        <v>2302</v>
      </c>
    </row>
    <row r="1474" spans="1:3" x14ac:dyDescent="0.2">
      <c r="A1474" t="s">
        <v>3293</v>
      </c>
      <c r="B1474" t="s">
        <v>2302</v>
      </c>
    </row>
    <row r="1475" spans="1:3" x14ac:dyDescent="0.2">
      <c r="A1475" t="s">
        <v>3294</v>
      </c>
      <c r="B1475" t="s">
        <v>3295</v>
      </c>
    </row>
    <row r="1476" spans="1:3" x14ac:dyDescent="0.2">
      <c r="A1476" s="272" t="s">
        <v>3296</v>
      </c>
      <c r="B1476" s="272" t="s">
        <v>2813</v>
      </c>
    </row>
    <row r="1477" spans="1:3" x14ac:dyDescent="0.2">
      <c r="A1477" s="1311" t="s">
        <v>3297</v>
      </c>
      <c r="B1477" s="1511" t="s">
        <v>3298</v>
      </c>
      <c r="C1477" s="357" t="s">
        <v>775</v>
      </c>
    </row>
    <row r="1478" spans="1:3" x14ac:dyDescent="0.2">
      <c r="A1478" t="s">
        <v>3001</v>
      </c>
      <c r="B1478"/>
    </row>
    <row r="1479" spans="1:3" x14ac:dyDescent="0.2">
      <c r="A1479" t="s">
        <v>3918</v>
      </c>
      <c r="B1479" t="s">
        <v>3919</v>
      </c>
    </row>
    <row r="1480" spans="1:3" x14ac:dyDescent="0.2">
      <c r="A1480" t="s">
        <v>3300</v>
      </c>
      <c r="B1480" s="272" t="s">
        <v>3301</v>
      </c>
    </row>
    <row r="1481" spans="1:3" x14ac:dyDescent="0.2">
      <c r="A1481" t="s">
        <v>3302</v>
      </c>
      <c r="B1481" t="s">
        <v>3303</v>
      </c>
    </row>
    <row r="1482" spans="1:3" x14ac:dyDescent="0.2">
      <c r="A1482" t="s">
        <v>3304</v>
      </c>
      <c r="B1482" t="s">
        <v>3303</v>
      </c>
    </row>
    <row r="1483" spans="1:3" x14ac:dyDescent="0.2">
      <c r="A1483" s="272" t="s">
        <v>3305</v>
      </c>
      <c r="B1483" s="1544"/>
    </row>
    <row r="1484" spans="1:3" x14ac:dyDescent="0.2">
      <c r="A1484" s="272" t="s">
        <v>3306</v>
      </c>
      <c r="B1484" s="1544"/>
    </row>
    <row r="1485" spans="1:3" x14ac:dyDescent="0.2">
      <c r="A1485" t="s">
        <v>3307</v>
      </c>
      <c r="B1485" t="s">
        <v>3303</v>
      </c>
    </row>
    <row r="1486" spans="1:3" x14ac:dyDescent="0.2">
      <c r="A1486" t="s">
        <v>3308</v>
      </c>
      <c r="B1486" t="s">
        <v>3303</v>
      </c>
    </row>
    <row r="1487" spans="1:3" x14ac:dyDescent="0.2">
      <c r="A1487" t="s">
        <v>3309</v>
      </c>
      <c r="B1487" t="s">
        <v>3310</v>
      </c>
    </row>
    <row r="1488" spans="1:3" x14ac:dyDescent="0.2">
      <c r="A1488" t="s">
        <v>3311</v>
      </c>
      <c r="B1488"/>
    </row>
    <row r="1489" spans="1:3" x14ac:dyDescent="0.2">
      <c r="A1489" t="s">
        <v>3312</v>
      </c>
      <c r="B1489" s="272" t="s">
        <v>3313</v>
      </c>
    </row>
    <row r="1490" spans="1:3" x14ac:dyDescent="0.2">
      <c r="A1490" t="s">
        <v>3314</v>
      </c>
      <c r="B1490" t="s">
        <v>3315</v>
      </c>
    </row>
    <row r="1491" spans="1:3" x14ac:dyDescent="0.2">
      <c r="A1491" t="s">
        <v>3316</v>
      </c>
      <c r="B1491" t="s">
        <v>3315</v>
      </c>
    </row>
    <row r="1492" spans="1:3" x14ac:dyDescent="0.2">
      <c r="A1492" t="s">
        <v>3317</v>
      </c>
      <c r="B1492"/>
    </row>
    <row r="1493" spans="1:3" x14ac:dyDescent="0.2">
      <c r="A1493" t="s">
        <v>3318</v>
      </c>
      <c r="B1493" t="s">
        <v>3319</v>
      </c>
    </row>
    <row r="1494" spans="1:3" x14ac:dyDescent="0.2">
      <c r="A1494" t="s">
        <v>3320</v>
      </c>
      <c r="B1494"/>
    </row>
    <row r="1495" spans="1:3" x14ac:dyDescent="0.2">
      <c r="A1495" t="s">
        <v>3321</v>
      </c>
      <c r="B1495"/>
    </row>
    <row r="1496" spans="1:3" x14ac:dyDescent="0.2">
      <c r="A1496" t="s">
        <v>3322</v>
      </c>
      <c r="B1496"/>
    </row>
    <row r="1497" spans="1:3" x14ac:dyDescent="0.2">
      <c r="A1497" t="s">
        <v>3323</v>
      </c>
      <c r="B1497"/>
    </row>
    <row r="1498" spans="1:3" x14ac:dyDescent="0.2">
      <c r="A1498" t="s">
        <v>3324</v>
      </c>
      <c r="B1498"/>
    </row>
    <row r="1499" spans="1:3" x14ac:dyDescent="0.2">
      <c r="A1499" t="s">
        <v>3325</v>
      </c>
      <c r="B1499"/>
    </row>
    <row r="1500" spans="1:3" s="2004" customFormat="1" x14ac:dyDescent="0.2">
      <c r="A1500" s="2005" t="s">
        <v>4668</v>
      </c>
      <c r="C1500" s="2008"/>
    </row>
    <row r="1501" spans="1:3" x14ac:dyDescent="0.2">
      <c r="A1501" t="s">
        <v>3326</v>
      </c>
      <c r="B1501"/>
    </row>
    <row r="1502" spans="1:3" x14ac:dyDescent="0.2">
      <c r="A1502" t="s">
        <v>3327</v>
      </c>
      <c r="B1502"/>
    </row>
    <row r="1503" spans="1:3" x14ac:dyDescent="0.2">
      <c r="A1503" s="272" t="s">
        <v>3328</v>
      </c>
      <c r="B1503" s="272" t="s">
        <v>4954</v>
      </c>
    </row>
    <row r="1504" spans="1:3" x14ac:dyDescent="0.2">
      <c r="A1504" s="272" t="s">
        <v>3329</v>
      </c>
      <c r="B1504" s="1544"/>
    </row>
    <row r="1505" spans="1:3" x14ac:dyDescent="0.2">
      <c r="A1505" s="1311" t="s">
        <v>3330</v>
      </c>
      <c r="B1505"/>
    </row>
    <row r="1506" spans="1:3" x14ac:dyDescent="0.2">
      <c r="A1506" s="1311" t="s">
        <v>898</v>
      </c>
      <c r="B1506" s="1511" t="s">
        <v>2620</v>
      </c>
      <c r="C1506" s="290">
        <v>2690</v>
      </c>
    </row>
    <row r="1507" spans="1:3" x14ac:dyDescent="0.2">
      <c r="A1507" s="272" t="s">
        <v>3331</v>
      </c>
      <c r="B1507" s="1545"/>
    </row>
    <row r="1508" spans="1:3" x14ac:dyDescent="0.2">
      <c r="A1508" s="272" t="s">
        <v>3332</v>
      </c>
      <c r="B1508" s="1546"/>
    </row>
    <row r="1509" spans="1:3" x14ac:dyDescent="0.2">
      <c r="A1509" s="1311" t="s">
        <v>3333</v>
      </c>
      <c r="B1509" s="1511" t="s">
        <v>2620</v>
      </c>
      <c r="C1509" s="290">
        <v>2691</v>
      </c>
    </row>
    <row r="1510" spans="1:3" x14ac:dyDescent="0.2">
      <c r="A1510" s="272" t="s">
        <v>3334</v>
      </c>
      <c r="B1510" s="1547"/>
    </row>
    <row r="1511" spans="1:3" x14ac:dyDescent="0.2">
      <c r="A1511" s="1311" t="s">
        <v>3335</v>
      </c>
      <c r="B1511" s="1511" t="s">
        <v>2620</v>
      </c>
      <c r="C1511" s="290">
        <v>2692</v>
      </c>
    </row>
    <row r="1512" spans="1:3" x14ac:dyDescent="0.2">
      <c r="A1512" s="272" t="s">
        <v>3336</v>
      </c>
      <c r="B1512" s="1547"/>
    </row>
    <row r="1513" spans="1:3" x14ac:dyDescent="0.2">
      <c r="A1513" s="272" t="s">
        <v>3337</v>
      </c>
      <c r="B1513" s="1547"/>
    </row>
    <row r="1514" spans="1:3" s="2151" customFormat="1" x14ac:dyDescent="0.2">
      <c r="A1514" s="1311" t="s">
        <v>5328</v>
      </c>
      <c r="B1514" s="2671" t="s">
        <v>5757</v>
      </c>
      <c r="C1514" s="2155"/>
    </row>
    <row r="1515" spans="1:3" s="2151" customFormat="1" x14ac:dyDescent="0.2">
      <c r="A1515" s="2152" t="s">
        <v>5329</v>
      </c>
      <c r="B1515" s="1547"/>
      <c r="C1515" s="2155"/>
    </row>
    <row r="1516" spans="1:3" x14ac:dyDescent="0.2">
      <c r="A1516" s="1311" t="s">
        <v>3338</v>
      </c>
      <c r="B1516" s="1511" t="s">
        <v>2620</v>
      </c>
      <c r="C1516" s="290">
        <v>2700</v>
      </c>
    </row>
    <row r="1517" spans="1:3" x14ac:dyDescent="0.2">
      <c r="A1517" s="1461" t="s">
        <v>3339</v>
      </c>
      <c r="B1517" s="2"/>
    </row>
    <row r="1518" spans="1:3" x14ac:dyDescent="0.2">
      <c r="A1518" s="1397" t="s">
        <v>3340</v>
      </c>
      <c r="B1518" s="1548" t="s">
        <v>3341</v>
      </c>
      <c r="C1518" s="290">
        <v>2700</v>
      </c>
    </row>
    <row r="1519" spans="1:3" x14ac:dyDescent="0.2">
      <c r="A1519" s="1514"/>
      <c r="B1519" s="1541" t="s">
        <v>3342</v>
      </c>
    </row>
    <row r="1520" spans="1:3" x14ac:dyDescent="0.2">
      <c r="A1520" s="1311" t="s">
        <v>1187</v>
      </c>
      <c r="B1520" s="1549" t="s">
        <v>2620</v>
      </c>
      <c r="C1520" s="290">
        <v>2710</v>
      </c>
    </row>
    <row r="1521" spans="1:3" x14ac:dyDescent="0.2">
      <c r="A1521" t="s">
        <v>3343</v>
      </c>
      <c r="B1521"/>
    </row>
    <row r="1522" spans="1:3" x14ac:dyDescent="0.2">
      <c r="A1522" t="s">
        <v>3344</v>
      </c>
      <c r="B1522"/>
    </row>
    <row r="1523" spans="1:3" s="2452" customFormat="1" x14ac:dyDescent="0.2">
      <c r="A1523" s="1311" t="s">
        <v>5327</v>
      </c>
      <c r="B1523" s="2670" t="s">
        <v>5756</v>
      </c>
      <c r="C1523" s="2453">
        <v>2711</v>
      </c>
    </row>
    <row r="1524" spans="1:3" s="2452" customFormat="1" x14ac:dyDescent="0.2">
      <c r="A1524" s="2455" t="s">
        <v>5331</v>
      </c>
      <c r="B1524" s="2456"/>
      <c r="C1524" s="2453"/>
    </row>
    <row r="1525" spans="1:3" s="2663" customFormat="1" x14ac:dyDescent="0.2">
      <c r="A1525" s="2669" t="s">
        <v>5527</v>
      </c>
      <c r="B1525" s="1610"/>
      <c r="C1525" s="2665"/>
    </row>
    <row r="1526" spans="1:3" s="2663" customFormat="1" x14ac:dyDescent="0.2">
      <c r="A1526" s="2666" t="s">
        <v>5754</v>
      </c>
      <c r="B1526" s="1610" t="s">
        <v>5726</v>
      </c>
      <c r="C1526" s="2665"/>
    </row>
    <row r="1527" spans="1:3" x14ac:dyDescent="0.2">
      <c r="A1527" s="1311" t="s">
        <v>3345</v>
      </c>
      <c r="B1527"/>
      <c r="C1527" s="290">
        <v>2720</v>
      </c>
    </row>
    <row r="1528" spans="1:3" x14ac:dyDescent="0.2">
      <c r="A1528" s="1452" t="s">
        <v>3346</v>
      </c>
      <c r="B1528" s="1549" t="s">
        <v>2620</v>
      </c>
      <c r="C1528" s="290">
        <v>2720</v>
      </c>
    </row>
    <row r="1529" spans="1:3" x14ac:dyDescent="0.2">
      <c r="A1529" t="s">
        <v>3347</v>
      </c>
      <c r="B1529"/>
    </row>
    <row r="1530" spans="1:3" x14ac:dyDescent="0.2">
      <c r="A1530" t="s">
        <v>3348</v>
      </c>
      <c r="B1530"/>
    </row>
    <row r="1531" spans="1:3" x14ac:dyDescent="0.2">
      <c r="A1531" s="2664" t="s">
        <v>5755</v>
      </c>
      <c r="B1531" s="1610" t="s">
        <v>5726</v>
      </c>
    </row>
    <row r="1532" spans="1:3" x14ac:dyDescent="0.2">
      <c r="A1532" t="s">
        <v>3349</v>
      </c>
      <c r="B1532"/>
    </row>
    <row r="1533" spans="1:3" x14ac:dyDescent="0.2">
      <c r="A1533" t="s">
        <v>3350</v>
      </c>
      <c r="B1533"/>
    </row>
    <row r="1534" spans="1:3" x14ac:dyDescent="0.2">
      <c r="A1534" s="272" t="s">
        <v>3351</v>
      </c>
      <c r="B1534" s="272" t="s">
        <v>3352</v>
      </c>
    </row>
    <row r="1535" spans="1:3" x14ac:dyDescent="0.2">
      <c r="A1535" s="1452" t="s">
        <v>3353</v>
      </c>
      <c r="B1535" s="1511" t="s">
        <v>1969</v>
      </c>
      <c r="C1535" s="290">
        <v>2720</v>
      </c>
    </row>
    <row r="1536" spans="1:3" x14ac:dyDescent="0.2">
      <c r="A1536" t="s">
        <v>3354</v>
      </c>
      <c r="B1536"/>
    </row>
    <row r="1537" spans="1:3" x14ac:dyDescent="0.2">
      <c r="A1537" t="s">
        <v>3355</v>
      </c>
      <c r="B1537"/>
    </row>
    <row r="1538" spans="1:3" x14ac:dyDescent="0.2">
      <c r="A1538" s="1452" t="s">
        <v>3356</v>
      </c>
      <c r="B1538" s="1511" t="s">
        <v>3357</v>
      </c>
      <c r="C1538" s="290" t="s">
        <v>4165</v>
      </c>
    </row>
    <row r="1539" spans="1:3" x14ac:dyDescent="0.2">
      <c r="A1539" s="1452" t="s">
        <v>3358</v>
      </c>
      <c r="B1539" s="1511" t="s">
        <v>1969</v>
      </c>
      <c r="C1539" s="290" t="s">
        <v>4165</v>
      </c>
    </row>
    <row r="1540" spans="1:3" x14ac:dyDescent="0.2">
      <c r="A1540" s="1462" t="s">
        <v>3359</v>
      </c>
      <c r="B1540" s="272" t="s">
        <v>3352</v>
      </c>
    </row>
    <row r="1541" spans="1:3" x14ac:dyDescent="0.2">
      <c r="A1541" s="1847" t="s">
        <v>4443</v>
      </c>
      <c r="B1541" s="1511" t="s">
        <v>1969</v>
      </c>
      <c r="C1541" s="1870">
        <v>2755</v>
      </c>
    </row>
    <row r="1542" spans="1:3" x14ac:dyDescent="0.2">
      <c r="A1542" s="1462" t="s">
        <v>4444</v>
      </c>
      <c r="B1542" s="2090" t="s">
        <v>4427</v>
      </c>
    </row>
    <row r="1543" spans="1:3" x14ac:dyDescent="0.2">
      <c r="A1543" s="1452" t="s">
        <v>3360</v>
      </c>
      <c r="B1543" s="1511" t="s">
        <v>1969</v>
      </c>
      <c r="C1543" s="290">
        <v>2760</v>
      </c>
    </row>
    <row r="1544" spans="1:3" x14ac:dyDescent="0.2">
      <c r="A1544" t="s">
        <v>3361</v>
      </c>
      <c r="B1544"/>
    </row>
    <row r="1545" spans="1:3" x14ac:dyDescent="0.2">
      <c r="A1545" t="s">
        <v>3362</v>
      </c>
      <c r="B1545"/>
    </row>
    <row r="1546" spans="1:3" s="2004" customFormat="1" x14ac:dyDescent="0.2">
      <c r="A1546" s="2005" t="s">
        <v>4669</v>
      </c>
      <c r="C1546" s="2008"/>
    </row>
    <row r="1547" spans="1:3" x14ac:dyDescent="0.2">
      <c r="A1547" t="s">
        <v>3363</v>
      </c>
      <c r="B1547"/>
    </row>
    <row r="1548" spans="1:3" x14ac:dyDescent="0.2">
      <c r="A1548" s="272" t="s">
        <v>4419</v>
      </c>
      <c r="B1548" s="272" t="s">
        <v>4418</v>
      </c>
    </row>
    <row r="1549" spans="1:3" x14ac:dyDescent="0.2">
      <c r="A1549" t="s">
        <v>3364</v>
      </c>
      <c r="B1549"/>
    </row>
    <row r="1550" spans="1:3" x14ac:dyDescent="0.2">
      <c r="A1550" t="s">
        <v>3365</v>
      </c>
      <c r="B1550"/>
    </row>
    <row r="1551" spans="1:3" x14ac:dyDescent="0.2">
      <c r="A1551" t="s">
        <v>3366</v>
      </c>
      <c r="B1551"/>
    </row>
    <row r="1552" spans="1:3" x14ac:dyDescent="0.2">
      <c r="A1552" t="s">
        <v>3367</v>
      </c>
      <c r="B1552"/>
    </row>
    <row r="1553" spans="1:3" ht="13.5" customHeight="1" x14ac:dyDescent="0.2">
      <c r="A1553" t="s">
        <v>3368</v>
      </c>
      <c r="B1553"/>
    </row>
    <row r="1554" spans="1:3" x14ac:dyDescent="0.2">
      <c r="A1554" t="s">
        <v>3369</v>
      </c>
      <c r="B1554"/>
    </row>
    <row r="1555" spans="1:3" x14ac:dyDescent="0.2">
      <c r="A1555" t="s">
        <v>3370</v>
      </c>
      <c r="B1555"/>
    </row>
    <row r="1556" spans="1:3" x14ac:dyDescent="0.2">
      <c r="A1556" t="s">
        <v>3371</v>
      </c>
      <c r="B1556"/>
    </row>
    <row r="1557" spans="1:3" x14ac:dyDescent="0.2">
      <c r="A1557" s="1452" t="s">
        <v>1076</v>
      </c>
      <c r="B1557" s="1511" t="s">
        <v>1969</v>
      </c>
      <c r="C1557" s="290">
        <v>2770</v>
      </c>
    </row>
    <row r="1558" spans="1:3" x14ac:dyDescent="0.2">
      <c r="A1558" t="s">
        <v>3372</v>
      </c>
      <c r="B1558"/>
    </row>
    <row r="1559" spans="1:3" x14ac:dyDescent="0.2">
      <c r="A1559" s="1311" t="s">
        <v>3373</v>
      </c>
      <c r="B1559" s="1511" t="s">
        <v>1969</v>
      </c>
      <c r="C1559" s="290">
        <v>2780</v>
      </c>
    </row>
    <row r="1560" spans="1:3" x14ac:dyDescent="0.2">
      <c r="A1560" s="1465" t="s">
        <v>3374</v>
      </c>
      <c r="B1560" s="272" t="s">
        <v>3240</v>
      </c>
    </row>
    <row r="1561" spans="1:3" x14ac:dyDescent="0.2">
      <c r="A1561" s="272" t="s">
        <v>3375</v>
      </c>
      <c r="B1561" s="272" t="s">
        <v>2813</v>
      </c>
    </row>
    <row r="1562" spans="1:3" x14ac:dyDescent="0.2">
      <c r="A1562" s="272" t="s">
        <v>3376</v>
      </c>
      <c r="B1562"/>
    </row>
    <row r="1563" spans="1:3" ht="38.25" x14ac:dyDescent="0.2">
      <c r="A1563" s="1466" t="s">
        <v>3377</v>
      </c>
      <c r="B1563" s="267"/>
    </row>
    <row r="1564" spans="1:3" x14ac:dyDescent="0.2">
      <c r="A1564" s="1311" t="s">
        <v>3378</v>
      </c>
      <c r="B1564" s="1511" t="s">
        <v>1969</v>
      </c>
      <c r="C1564" s="290">
        <v>2785</v>
      </c>
    </row>
    <row r="1565" spans="1:3" x14ac:dyDescent="0.2">
      <c r="A1565" s="1457" t="s">
        <v>3379</v>
      </c>
      <c r="B1565" s="272" t="s">
        <v>2813</v>
      </c>
    </row>
    <row r="1566" spans="1:3" x14ac:dyDescent="0.2">
      <c r="A1566" s="1517" t="s">
        <v>4448</v>
      </c>
      <c r="B1566" s="1511" t="s">
        <v>1969</v>
      </c>
      <c r="C1566" s="1870">
        <v>2755</v>
      </c>
    </row>
    <row r="1567" spans="1:3" x14ac:dyDescent="0.2">
      <c r="A1567" s="1457" t="s">
        <v>4449</v>
      </c>
      <c r="B1567" s="2090" t="s">
        <v>4427</v>
      </c>
    </row>
    <row r="1568" spans="1:3" x14ac:dyDescent="0.2">
      <c r="A1568" s="1452" t="s">
        <v>3380</v>
      </c>
      <c r="B1568" s="1511" t="s">
        <v>1969</v>
      </c>
    </row>
    <row r="1569" spans="1:3" x14ac:dyDescent="0.2">
      <c r="A1569" s="1452" t="s">
        <v>3381</v>
      </c>
      <c r="B1569"/>
      <c r="C1569" s="290">
        <v>2800</v>
      </c>
    </row>
    <row r="1570" spans="1:3" x14ac:dyDescent="0.2">
      <c r="A1570" t="s">
        <v>3382</v>
      </c>
      <c r="B1570"/>
    </row>
    <row r="1571" spans="1:3" x14ac:dyDescent="0.2">
      <c r="A1571" s="272" t="s">
        <v>4445</v>
      </c>
      <c r="B1571" s="2090" t="s">
        <v>4427</v>
      </c>
    </row>
    <row r="1572" spans="1:3" x14ac:dyDescent="0.2">
      <c r="A1572" t="s">
        <v>3383</v>
      </c>
      <c r="B1572"/>
    </row>
    <row r="1573" spans="1:3" x14ac:dyDescent="0.2">
      <c r="A1573" s="272" t="s">
        <v>3384</v>
      </c>
      <c r="B1573" s="272" t="s">
        <v>3385</v>
      </c>
    </row>
    <row r="1574" spans="1:3" x14ac:dyDescent="0.2">
      <c r="A1574" s="272" t="s">
        <v>3920</v>
      </c>
      <c r="B1574" s="272" t="s">
        <v>3921</v>
      </c>
    </row>
    <row r="1575" spans="1:3" x14ac:dyDescent="0.2">
      <c r="A1575" s="272" t="s">
        <v>3386</v>
      </c>
      <c r="B1575" s="272" t="s">
        <v>3387</v>
      </c>
    </row>
    <row r="1576" spans="1:3" x14ac:dyDescent="0.2">
      <c r="A1576" s="1452" t="s">
        <v>3388</v>
      </c>
      <c r="B1576" s="1511" t="s">
        <v>1969</v>
      </c>
      <c r="C1576" s="290">
        <v>2810</v>
      </c>
    </row>
    <row r="1577" spans="1:3" x14ac:dyDescent="0.2">
      <c r="A1577" t="s">
        <v>3389</v>
      </c>
      <c r="B1577" s="272" t="s">
        <v>3390</v>
      </c>
    </row>
    <row r="1578" spans="1:3" x14ac:dyDescent="0.2">
      <c r="A1578" t="s">
        <v>3391</v>
      </c>
      <c r="B1578" s="272" t="s">
        <v>3392</v>
      </c>
    </row>
    <row r="1579" spans="1:3" x14ac:dyDescent="0.2">
      <c r="A1579" t="s">
        <v>3393</v>
      </c>
      <c r="B1579" s="272"/>
    </row>
    <row r="1580" spans="1:3" x14ac:dyDescent="0.2">
      <c r="A1580" s="272" t="s">
        <v>3394</v>
      </c>
      <c r="B1580" s="272" t="s">
        <v>3395</v>
      </c>
    </row>
    <row r="1581" spans="1:3" x14ac:dyDescent="0.2">
      <c r="A1581" t="s">
        <v>3396</v>
      </c>
      <c r="B1581"/>
    </row>
    <row r="1582" spans="1:3" x14ac:dyDescent="0.2">
      <c r="A1582" t="s">
        <v>3397</v>
      </c>
      <c r="B1582"/>
    </row>
    <row r="1583" spans="1:3" x14ac:dyDescent="0.2">
      <c r="A1583" t="s">
        <v>3398</v>
      </c>
      <c r="B1583" s="272" t="s">
        <v>3395</v>
      </c>
    </row>
    <row r="1584" spans="1:3" x14ac:dyDescent="0.2">
      <c r="A1584" s="1311" t="s">
        <v>3399</v>
      </c>
      <c r="B1584" s="1511" t="s">
        <v>1969</v>
      </c>
    </row>
    <row r="1585" spans="1:3" x14ac:dyDescent="0.2">
      <c r="A1585" s="1311" t="s">
        <v>3400</v>
      </c>
      <c r="B1585"/>
    </row>
    <row r="1586" spans="1:3" ht="25.5" x14ac:dyDescent="0.2">
      <c r="A1586" s="1456" t="s">
        <v>3401</v>
      </c>
      <c r="B1586" s="1550" t="s">
        <v>4262</v>
      </c>
      <c r="C1586" s="290">
        <v>2870</v>
      </c>
    </row>
    <row r="1587" spans="1:3" x14ac:dyDescent="0.2">
      <c r="A1587" s="1397" t="s">
        <v>3402</v>
      </c>
      <c r="B1587" s="1548" t="s">
        <v>3403</v>
      </c>
      <c r="C1587" s="290">
        <v>2880</v>
      </c>
    </row>
    <row r="1588" spans="1:3" x14ac:dyDescent="0.2">
      <c r="A1588" s="1467"/>
      <c r="B1588" s="1541" t="s">
        <v>5759</v>
      </c>
    </row>
    <row r="1589" spans="1:3" x14ac:dyDescent="0.2">
      <c r="A1589" s="1463" t="s">
        <v>3404</v>
      </c>
      <c r="B1589" s="1511" t="s">
        <v>3405</v>
      </c>
      <c r="C1589" s="290">
        <v>2890</v>
      </c>
    </row>
    <row r="1590" spans="1:3" x14ac:dyDescent="0.2">
      <c r="A1590" s="1452" t="s">
        <v>1432</v>
      </c>
      <c r="B1590" s="1511" t="s">
        <v>1969</v>
      </c>
      <c r="C1590" s="290">
        <v>2900</v>
      </c>
    </row>
    <row r="1591" spans="1:3" x14ac:dyDescent="0.2">
      <c r="A1591" s="1464" t="s">
        <v>3406</v>
      </c>
      <c r="B1591" s="1516"/>
    </row>
    <row r="1592" spans="1:3" x14ac:dyDescent="0.2">
      <c r="A1592" s="1337" t="s">
        <v>3407</v>
      </c>
      <c r="B1592" s="1515"/>
    </row>
    <row r="1593" spans="1:3" x14ac:dyDescent="0.2">
      <c r="A1593" s="1452" t="s">
        <v>1112</v>
      </c>
      <c r="B1593" s="1511" t="s">
        <v>1969</v>
      </c>
      <c r="C1593" s="357" t="s">
        <v>775</v>
      </c>
    </row>
    <row r="1594" spans="1:3" ht="25.5" x14ac:dyDescent="0.2">
      <c r="A1594" s="270" t="s">
        <v>3408</v>
      </c>
      <c r="B1594" s="1551" t="s">
        <v>3409</v>
      </c>
    </row>
    <row r="1595" spans="1:3" x14ac:dyDescent="0.2">
      <c r="A1595" t="s">
        <v>3410</v>
      </c>
      <c r="B1595"/>
    </row>
    <row r="1596" spans="1:3" x14ac:dyDescent="0.2">
      <c r="A1596" t="s">
        <v>3411</v>
      </c>
      <c r="B1596"/>
    </row>
    <row r="1597" spans="1:3" x14ac:dyDescent="0.2">
      <c r="A1597" s="1452" t="s">
        <v>1113</v>
      </c>
      <c r="B1597" s="1511" t="s">
        <v>1969</v>
      </c>
      <c r="C1597" s="357" t="s">
        <v>775</v>
      </c>
    </row>
    <row r="1598" spans="1:3" ht="51" x14ac:dyDescent="0.2">
      <c r="A1598" s="270" t="s">
        <v>3412</v>
      </c>
      <c r="B1598" s="1466" t="s">
        <v>3413</v>
      </c>
    </row>
    <row r="1599" spans="1:3" x14ac:dyDescent="0.2">
      <c r="A1599" s="272" t="s">
        <v>3414</v>
      </c>
      <c r="B1599"/>
    </row>
    <row r="1600" spans="1:3" x14ac:dyDescent="0.2">
      <c r="A1600" s="272" t="s">
        <v>3415</v>
      </c>
      <c r="B1600"/>
    </row>
    <row r="1601" spans="1:3" x14ac:dyDescent="0.2">
      <c r="A1601" s="1452" t="s">
        <v>1433</v>
      </c>
      <c r="B1601" s="1511" t="s">
        <v>1969</v>
      </c>
      <c r="C1601" s="290">
        <v>2940</v>
      </c>
    </row>
    <row r="1602" spans="1:3" x14ac:dyDescent="0.2">
      <c r="A1602" s="356" t="s">
        <v>3416</v>
      </c>
      <c r="B1602"/>
    </row>
    <row r="1603" spans="1:3" x14ac:dyDescent="0.2">
      <c r="A1603" s="356" t="s">
        <v>3417</v>
      </c>
      <c r="B1603"/>
    </row>
    <row r="1604" spans="1:3" x14ac:dyDescent="0.2">
      <c r="A1604" s="356" t="s">
        <v>3418</v>
      </c>
      <c r="B1604"/>
    </row>
    <row r="1605" spans="1:3" x14ac:dyDescent="0.2">
      <c r="A1605" s="356" t="s">
        <v>3419</v>
      </c>
      <c r="B1605"/>
    </row>
    <row r="1606" spans="1:3" x14ac:dyDescent="0.2">
      <c r="A1606" s="356" t="s">
        <v>3420</v>
      </c>
      <c r="B1606"/>
    </row>
    <row r="1607" spans="1:3" x14ac:dyDescent="0.2">
      <c r="A1607" s="356" t="s">
        <v>3421</v>
      </c>
      <c r="B1607"/>
    </row>
    <row r="1608" spans="1:3" x14ac:dyDescent="0.2">
      <c r="A1608" s="1452" t="s">
        <v>243</v>
      </c>
      <c r="B1608" s="1511" t="s">
        <v>3422</v>
      </c>
      <c r="C1608" s="290">
        <v>2950</v>
      </c>
    </row>
    <row r="1609" spans="1:3" x14ac:dyDescent="0.2">
      <c r="A1609" s="2" t="s">
        <v>3423</v>
      </c>
      <c r="B1609"/>
      <c r="C1609" s="290">
        <v>2960</v>
      </c>
    </row>
    <row r="1610" spans="1:3" x14ac:dyDescent="0.2">
      <c r="A1610" s="1452" t="s">
        <v>3424</v>
      </c>
      <c r="B1610" s="1511" t="s">
        <v>1969</v>
      </c>
      <c r="C1610" s="290">
        <v>2960</v>
      </c>
    </row>
    <row r="1611" spans="1:3" x14ac:dyDescent="0.2">
      <c r="A1611" t="s">
        <v>3425</v>
      </c>
      <c r="B1611"/>
    </row>
    <row r="1612" spans="1:3" x14ac:dyDescent="0.2">
      <c r="A1612" s="1452" t="s">
        <v>3426</v>
      </c>
      <c r="B1612" s="1511" t="s">
        <v>1969</v>
      </c>
      <c r="C1612" s="290">
        <v>2960</v>
      </c>
    </row>
    <row r="1613" spans="1:3" x14ac:dyDescent="0.2">
      <c r="A1613" t="s">
        <v>3427</v>
      </c>
      <c r="B1613"/>
    </row>
    <row r="1614" spans="1:3" x14ac:dyDescent="0.2">
      <c r="A1614" s="1452" t="s">
        <v>1054</v>
      </c>
      <c r="B1614" s="1511" t="s">
        <v>3428</v>
      </c>
      <c r="C1614" s="290">
        <v>2990</v>
      </c>
    </row>
    <row r="1615" spans="1:3" x14ac:dyDescent="0.2">
      <c r="B1615"/>
    </row>
    <row r="1616" spans="1:3" x14ac:dyDescent="0.2">
      <c r="A1616" s="272" t="s">
        <v>2712</v>
      </c>
      <c r="B1616"/>
    </row>
    <row r="1617" spans="1:2" x14ac:dyDescent="0.2">
      <c r="A1617" s="1532" t="s">
        <v>2713</v>
      </c>
      <c r="B1617"/>
    </row>
    <row r="1618" spans="1:2" x14ac:dyDescent="0.2">
      <c r="A1618" s="272" t="s">
        <v>2714</v>
      </c>
      <c r="B1618"/>
    </row>
  </sheetData>
  <sheetProtection algorithmName="SHA-512" hashValue="lsMYSazk9sZ8bbz6Mm8oneCValKjNBKybncUm0zZpZsjF0YaQGsN7XYKNaiusB+v1cSEL2ejJIRP6Rfzfvj86g==" saltValue="wzE8memULyIgOgsMdxg7zg==" spinCount="100000" sheet="1" objects="1" scenarios="1" autoFilter="0"/>
  <customSheetViews>
    <customSheetView guid="{B08879A4-635B-4C39-9937-AC7883D562FC}">
      <pane ySplit="1" topLeftCell="A242" activePane="bottomLeft" state="frozen"/>
      <selection pane="bottomLeft" activeCell="B12" sqref="B12"/>
      <pageMargins left="0.5" right="0.5" top="0.25" bottom="0.5" header="0" footer="0.25"/>
      <pageSetup scale="80" orientation="portrait" r:id="rId1"/>
      <headerFooter alignWithMargins="0">
        <oddFooter>&amp;L&amp;D &amp;T&amp;C&amp;F&amp;Rpg.&amp;P of &amp;N</oddFooter>
      </headerFooter>
    </customSheetView>
    <customSheetView guid="{9FCFC836-1CA5-48BF-958D-24D2EA94B219}">
      <pane ySplit="1" topLeftCell="A242" activePane="bottomLeft" state="frozen"/>
      <selection pane="bottomLeft" activeCell="B12" sqref="B12"/>
      <pageMargins left="0.5" right="0.5" top="0.25" bottom="0.5" header="0" footer="0.25"/>
      <pageSetup scale="80" orientation="portrait" r:id="rId2"/>
      <headerFooter alignWithMargins="0">
        <oddFooter>&amp;L&amp;D &amp;T&amp;C&amp;F&amp;Rpg.&amp;P of &amp;N</oddFooter>
      </headerFooter>
    </customSheetView>
  </customSheetViews>
  <hyperlinks>
    <hyperlink ref="A873" r:id="rId3" xr:uid="{00000000-0004-0000-4B00-000000000000}"/>
    <hyperlink ref="A1617" r:id="rId4" xr:uid="{00000000-0004-0000-4B00-000001000000}"/>
  </hyperlinks>
  <pageMargins left="0.5" right="0.5" top="0.5" bottom="0.5" header="0.5" footer="0.25"/>
  <pageSetup scale="70" orientation="portrait" r:id="rId5"/>
  <headerFooter alignWithMargins="0">
    <oddFooter xml:space="preserve">&amp;L&amp;D &amp;T&amp;CPage &amp;P of &amp;N&amp;R&amp;A </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Z273"/>
  <sheetViews>
    <sheetView zoomScaleNormal="100" zoomScaleSheetLayoutView="100" workbookViewId="0">
      <pane xSplit="6" ySplit="9" topLeftCell="S10" activePane="bottomRight" state="frozen"/>
      <selection sqref="A1:E1"/>
      <selection pane="topRight" sqref="A1:E1"/>
      <selection pane="bottomLeft" sqref="A1:E1"/>
      <selection pane="bottomRight" activeCell="U8" sqref="U8"/>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649" customWidth="1"/>
    <col min="7" max="7" width="3.42578125" customWidth="1"/>
    <col min="8" max="8" width="16.5703125" customWidth="1"/>
    <col min="9" max="9" width="17" bestFit="1" customWidth="1"/>
    <col min="10" max="10" width="16.5703125" customWidth="1"/>
    <col min="11" max="11" width="15.42578125" customWidth="1"/>
    <col min="12" max="12" width="15.42578125" bestFit="1" customWidth="1"/>
    <col min="13" max="16" width="16.42578125" customWidth="1"/>
    <col min="17" max="17" width="16.42578125" hidden="1" customWidth="1"/>
    <col min="18" max="19" width="16.42578125" customWidth="1"/>
    <col min="21" max="21" width="24" style="2369" bestFit="1" customWidth="1"/>
    <col min="22" max="23" width="9.140625" style="2358"/>
    <col min="24" max="24" width="11" style="2358" customWidth="1"/>
    <col min="25" max="25" width="9.140625" style="2358"/>
    <col min="26" max="26" width="9.140625" style="2292"/>
  </cols>
  <sheetData>
    <row r="1" spans="1:26" ht="15.75" x14ac:dyDescent="0.25">
      <c r="A1" s="2767" t="str">
        <f>+Index!$A$1</f>
        <v xml:space="preserve">                                                               Office of the State Controller                                                                </v>
      </c>
      <c r="B1" s="2767"/>
      <c r="C1" s="2767"/>
      <c r="D1" s="2767"/>
      <c r="E1" s="2767"/>
      <c r="F1" s="2767"/>
      <c r="G1" s="2767"/>
      <c r="H1" s="1075" t="str">
        <f>IF(Index!$B$103="na", "NA", "")</f>
        <v/>
      </c>
      <c r="I1" s="622"/>
      <c r="J1" s="622"/>
      <c r="K1" s="622"/>
      <c r="L1" s="622"/>
      <c r="M1" s="622"/>
      <c r="N1" s="622"/>
      <c r="O1" s="622"/>
      <c r="P1" s="622"/>
      <c r="Q1" s="622"/>
      <c r="R1" s="622"/>
      <c r="S1" s="622"/>
      <c r="T1" s="622"/>
      <c r="U1" s="2353"/>
      <c r="V1" s="2295"/>
      <c r="W1" s="2295"/>
      <c r="X1" s="2295"/>
    </row>
    <row r="2" spans="1:26" ht="16.5" x14ac:dyDescent="0.3">
      <c r="A2" s="2749" t="str">
        <f>+Index!$A$2</f>
        <v>2022 ACFR Worksheets</v>
      </c>
      <c r="B2" s="2749"/>
      <c r="C2" s="2749"/>
      <c r="D2" s="2749"/>
      <c r="E2" s="2749"/>
      <c r="F2" s="2749"/>
      <c r="G2" s="2749"/>
      <c r="H2" s="623"/>
      <c r="I2" s="623"/>
      <c r="J2" s="623"/>
      <c r="K2" s="632"/>
      <c r="L2" s="632"/>
      <c r="M2" s="632"/>
      <c r="N2" s="632"/>
      <c r="O2" s="632"/>
      <c r="P2" s="632"/>
      <c r="Q2" s="632"/>
      <c r="R2" s="632"/>
      <c r="S2" s="632"/>
      <c r="T2" s="632"/>
      <c r="U2" s="2368"/>
      <c r="V2" s="2356"/>
      <c r="W2" s="2356"/>
      <c r="X2" s="2356"/>
    </row>
    <row r="3" spans="1:26" ht="54" customHeight="1" x14ac:dyDescent="0.3">
      <c r="A3" s="3317" t="s">
        <v>3587</v>
      </c>
      <c r="B3" s="3317"/>
      <c r="C3" s="3317"/>
      <c r="D3" s="3317"/>
      <c r="E3" s="3317"/>
      <c r="F3" s="3317"/>
      <c r="G3" s="3317"/>
      <c r="H3" s="1074"/>
      <c r="I3" s="1074"/>
      <c r="J3" s="1074"/>
      <c r="K3" s="1074"/>
      <c r="L3" s="632"/>
      <c r="M3" s="632"/>
      <c r="N3" s="632"/>
      <c r="O3" s="632"/>
      <c r="P3" s="632"/>
      <c r="Q3" s="632"/>
      <c r="R3" s="632"/>
      <c r="S3" s="632"/>
      <c r="T3" s="632"/>
      <c r="U3" s="2368"/>
      <c r="V3" s="2356"/>
      <c r="W3" s="2356"/>
      <c r="X3" s="2356"/>
    </row>
    <row r="4" spans="1:26" ht="17.25" customHeight="1" x14ac:dyDescent="0.2">
      <c r="A4" s="3262"/>
      <c r="B4" s="3262"/>
      <c r="C4" s="3262"/>
      <c r="D4" s="3262"/>
      <c r="E4" s="3262"/>
      <c r="F4" s="3262"/>
      <c r="G4" s="3262"/>
    </row>
    <row r="5" spans="1:26" s="200" customFormat="1" ht="21.75" customHeight="1" x14ac:dyDescent="0.25">
      <c r="A5" s="200" t="s">
        <v>327</v>
      </c>
      <c r="C5" s="636" t="str">
        <f>+Index!$E$10</f>
        <v>01</v>
      </c>
      <c r="D5" s="1488"/>
      <c r="E5" s="1076" t="s">
        <v>972</v>
      </c>
      <c r="F5" s="3311" t="str">
        <f>+CONCATENATE(Index!$E$12," ",Index!$E$14)</f>
        <v xml:space="preserve"> </v>
      </c>
      <c r="G5" s="3311"/>
      <c r="K5" s="633"/>
      <c r="T5" s="1852"/>
      <c r="U5" s="2370"/>
      <c r="V5" s="2360"/>
      <c r="W5" s="2360"/>
      <c r="X5" s="2360"/>
      <c r="Y5" s="2371"/>
    </row>
    <row r="6" spans="1:26" s="200" customFormat="1" ht="15" customHeight="1" x14ac:dyDescent="0.2">
      <c r="A6" s="200" t="s">
        <v>1154</v>
      </c>
      <c r="C6" s="3305" t="str">
        <f>+Index!$E$11</f>
        <v>North Carolina General Assembly</v>
      </c>
      <c r="D6" s="3305"/>
      <c r="E6" s="800" t="s">
        <v>348</v>
      </c>
      <c r="F6" s="3312">
        <f>+Index!$E$13</f>
        <v>0</v>
      </c>
      <c r="G6" s="3312"/>
      <c r="K6" s="634"/>
      <c r="L6" s="634"/>
      <c r="M6" s="634"/>
      <c r="N6" s="634"/>
      <c r="O6" s="634"/>
      <c r="P6" s="634"/>
      <c r="Q6" s="634"/>
      <c r="R6" s="634"/>
      <c r="S6" s="634"/>
      <c r="T6" s="634"/>
      <c r="U6" s="2372"/>
      <c r="V6" s="2362"/>
      <c r="W6" s="2362"/>
      <c r="X6" s="2373"/>
      <c r="Y6" s="2371"/>
    </row>
    <row r="7" spans="1:26" s="200" customFormat="1" ht="15" customHeight="1" x14ac:dyDescent="0.2">
      <c r="A7" s="200" t="s">
        <v>477</v>
      </c>
      <c r="C7" s="1069" t="e">
        <f>INDEX(NetAssetsData,MATCH('905Hosp'!$C$5,NetAssetsDataRow,0),4)</f>
        <v>#N/A</v>
      </c>
      <c r="F7" s="801"/>
      <c r="T7" s="803" t="s">
        <v>1517</v>
      </c>
      <c r="U7" s="2370"/>
      <c r="V7" s="2360"/>
      <c r="W7" s="2360"/>
      <c r="X7" s="2360"/>
      <c r="Y7" s="2371"/>
    </row>
    <row r="8" spans="1:26" s="200" customFormat="1" ht="81" customHeight="1" x14ac:dyDescent="0.2">
      <c r="A8" s="3313" t="s">
        <v>4958</v>
      </c>
      <c r="B8" s="3318"/>
      <c r="C8" s="3318"/>
      <c r="D8" s="3318"/>
      <c r="E8" s="3318"/>
      <c r="F8" s="3319"/>
      <c r="G8" s="1605"/>
      <c r="H8" s="1605"/>
      <c r="I8" s="1605"/>
      <c r="Q8" s="2087" t="s">
        <v>4709</v>
      </c>
      <c r="T8" s="803"/>
      <c r="U8" s="2370"/>
      <c r="V8" s="2360"/>
      <c r="W8" s="2360"/>
      <c r="X8" s="2360"/>
      <c r="Y8" s="2371"/>
    </row>
    <row r="9" spans="1:26" s="124" customFormat="1" ht="12" customHeight="1" thickBot="1" x14ac:dyDescent="0.3">
      <c r="A9" s="3206" t="s">
        <v>1481</v>
      </c>
      <c r="B9" s="3206"/>
      <c r="C9" s="3206"/>
      <c r="D9" s="3206"/>
      <c r="E9" s="129"/>
      <c r="F9" s="1067" t="s">
        <v>1461</v>
      </c>
      <c r="G9" s="1068"/>
      <c r="H9" s="1073" t="s">
        <v>4501</v>
      </c>
      <c r="I9" s="1073" t="s">
        <v>1473</v>
      </c>
      <c r="J9" s="1068" t="s">
        <v>896</v>
      </c>
      <c r="K9" s="1068" t="s">
        <v>169</v>
      </c>
      <c r="L9" s="1068" t="s">
        <v>168</v>
      </c>
      <c r="M9" s="1068" t="s">
        <v>1304</v>
      </c>
      <c r="N9" s="1067" t="s">
        <v>1399</v>
      </c>
      <c r="O9" s="1067" t="s">
        <v>4590</v>
      </c>
      <c r="P9" s="1067" t="s">
        <v>3525</v>
      </c>
      <c r="Q9" s="1067" t="s">
        <v>3524</v>
      </c>
      <c r="R9" s="1067"/>
      <c r="S9" s="1067"/>
      <c r="T9" s="983" t="s">
        <v>1518</v>
      </c>
      <c r="U9" s="2374"/>
      <c r="V9" s="2364"/>
      <c r="W9" s="2364"/>
      <c r="X9" s="2354" t="s">
        <v>5117</v>
      </c>
      <c r="Y9" s="2354" t="s">
        <v>1461</v>
      </c>
      <c r="Z9" s="38"/>
    </row>
    <row r="10" spans="1:26" ht="15" x14ac:dyDescent="0.25">
      <c r="A10" s="3206" t="s">
        <v>3586</v>
      </c>
      <c r="B10" s="3206"/>
      <c r="C10" s="3206"/>
      <c r="D10" s="3206"/>
      <c r="F10" s="803" t="s">
        <v>1462</v>
      </c>
      <c r="H10" s="1898" t="s">
        <v>1462</v>
      </c>
      <c r="I10" s="803" t="s">
        <v>1474</v>
      </c>
      <c r="J10" s="803">
        <v>2635</v>
      </c>
      <c r="K10" s="803">
        <v>2632</v>
      </c>
      <c r="L10" s="803">
        <v>2637</v>
      </c>
      <c r="M10" s="803">
        <v>2638</v>
      </c>
      <c r="N10" s="803">
        <v>2639</v>
      </c>
      <c r="O10" s="803" t="s">
        <v>1462</v>
      </c>
      <c r="P10" s="803" t="s">
        <v>1462</v>
      </c>
      <c r="Q10" s="803" t="s">
        <v>1917</v>
      </c>
      <c r="R10" s="803" t="s">
        <v>1917</v>
      </c>
      <c r="S10" s="803" t="s">
        <v>1917</v>
      </c>
      <c r="X10" s="2354" t="s">
        <v>5119</v>
      </c>
      <c r="Y10" s="2375">
        <v>4800</v>
      </c>
    </row>
    <row r="11" spans="1:26" x14ac:dyDescent="0.2">
      <c r="B11" s="3303" t="s">
        <v>1891</v>
      </c>
      <c r="C11" s="3303"/>
      <c r="D11" s="3303"/>
      <c r="E11" s="3303"/>
      <c r="F11" s="803" t="s">
        <v>1480</v>
      </c>
      <c r="G11" s="803"/>
      <c r="H11" s="1899" t="s">
        <v>4502</v>
      </c>
      <c r="I11" s="649"/>
      <c r="J11" s="803" t="s">
        <v>1434</v>
      </c>
      <c r="K11" s="803" t="s">
        <v>1435</v>
      </c>
      <c r="L11" s="803" t="s">
        <v>1477</v>
      </c>
      <c r="M11" s="803" t="s">
        <v>3799</v>
      </c>
      <c r="N11" s="803" t="s">
        <v>1143</v>
      </c>
      <c r="O11" s="803" t="s">
        <v>4591</v>
      </c>
      <c r="P11" s="803" t="s">
        <v>3697</v>
      </c>
      <c r="Q11" s="803" t="s">
        <v>3695</v>
      </c>
      <c r="R11" s="803"/>
      <c r="S11" s="803"/>
    </row>
    <row r="12" spans="1:26" x14ac:dyDescent="0.2">
      <c r="B12" s="783"/>
      <c r="C12" s="783"/>
      <c r="F12" s="983" t="s">
        <v>1482</v>
      </c>
      <c r="G12" s="802"/>
      <c r="H12" s="1900" t="s">
        <v>4501</v>
      </c>
      <c r="I12" s="983" t="s">
        <v>678</v>
      </c>
      <c r="J12" s="983" t="s">
        <v>1476</v>
      </c>
      <c r="K12" s="983" t="s">
        <v>1436</v>
      </c>
      <c r="L12" s="983" t="s">
        <v>1478</v>
      </c>
      <c r="M12" s="983" t="s">
        <v>1479</v>
      </c>
      <c r="N12" s="983" t="s">
        <v>3800</v>
      </c>
      <c r="O12" s="983" t="s">
        <v>4592</v>
      </c>
      <c r="P12" s="983" t="s">
        <v>3698</v>
      </c>
      <c r="Q12" s="983" t="s">
        <v>1479</v>
      </c>
      <c r="R12" s="983"/>
      <c r="S12" s="983"/>
    </row>
    <row r="13" spans="1:26" x14ac:dyDescent="0.2">
      <c r="A13" s="2" t="s">
        <v>3588</v>
      </c>
      <c r="B13" s="784" t="s">
        <v>629</v>
      </c>
      <c r="C13" s="784"/>
      <c r="G13" s="820"/>
    </row>
    <row r="14" spans="1:26" x14ac:dyDescent="0.2">
      <c r="A14" s="335">
        <v>1000</v>
      </c>
      <c r="B14" s="3206" t="s">
        <v>630</v>
      </c>
      <c r="C14" s="3206"/>
      <c r="D14" s="3206"/>
      <c r="E14" s="3206"/>
      <c r="F14" s="650">
        <f>SUM(H14:S14)</f>
        <v>0</v>
      </c>
      <c r="G14" s="14"/>
      <c r="H14" s="659">
        <v>0</v>
      </c>
      <c r="I14" s="659">
        <v>0</v>
      </c>
      <c r="J14" s="659">
        <v>0</v>
      </c>
      <c r="K14" s="659">
        <v>0</v>
      </c>
      <c r="L14" s="659">
        <v>0</v>
      </c>
      <c r="M14" s="659">
        <v>0</v>
      </c>
      <c r="N14" s="659">
        <v>0</v>
      </c>
      <c r="O14" s="659">
        <v>0</v>
      </c>
      <c r="P14" s="659">
        <v>0</v>
      </c>
      <c r="Q14" s="659">
        <v>0</v>
      </c>
      <c r="R14" s="659">
        <v>0</v>
      </c>
      <c r="S14" s="659">
        <v>0</v>
      </c>
      <c r="U14" s="2376">
        <v>11111000</v>
      </c>
    </row>
    <row r="15" spans="1:26" x14ac:dyDescent="0.2">
      <c r="A15" s="335">
        <v>1010</v>
      </c>
      <c r="B15" s="3206" t="s">
        <v>1419</v>
      </c>
      <c r="C15" s="3206"/>
      <c r="D15" s="3206"/>
      <c r="E15" s="3206"/>
      <c r="F15" s="649">
        <f>SUM(H15:S15)</f>
        <v>0</v>
      </c>
      <c r="H15" s="659">
        <v>0</v>
      </c>
      <c r="I15" s="659">
        <v>0</v>
      </c>
      <c r="J15" s="659">
        <v>0</v>
      </c>
      <c r="K15" s="659">
        <v>0</v>
      </c>
      <c r="L15" s="659">
        <v>0</v>
      </c>
      <c r="M15" s="659">
        <v>0</v>
      </c>
      <c r="N15" s="659">
        <v>0</v>
      </c>
      <c r="O15" s="659">
        <v>0</v>
      </c>
      <c r="P15" s="659">
        <v>0</v>
      </c>
      <c r="Q15" s="659">
        <v>0</v>
      </c>
      <c r="R15" s="659">
        <v>0</v>
      </c>
      <c r="S15" s="659">
        <v>0</v>
      </c>
      <c r="U15" s="2377">
        <v>11121000</v>
      </c>
    </row>
    <row r="16" spans="1:26" x14ac:dyDescent="0.2">
      <c r="A16" s="335">
        <v>1050</v>
      </c>
      <c r="B16" s="3206" t="s">
        <v>425</v>
      </c>
      <c r="C16" s="3206"/>
      <c r="D16" s="3206"/>
      <c r="E16" s="3206"/>
      <c r="F16" s="649">
        <f t="shared" ref="F16:F24" si="0">SUM(H16:S16)</f>
        <v>0</v>
      </c>
      <c r="G16" s="14"/>
      <c r="H16" s="659">
        <v>0</v>
      </c>
      <c r="I16" s="659">
        <v>0</v>
      </c>
      <c r="J16" s="659">
        <v>0</v>
      </c>
      <c r="K16" s="659">
        <v>0</v>
      </c>
      <c r="L16" s="659">
        <v>0</v>
      </c>
      <c r="M16" s="659">
        <v>0</v>
      </c>
      <c r="N16" s="659">
        <v>0</v>
      </c>
      <c r="O16" s="659">
        <v>0</v>
      </c>
      <c r="P16" s="659">
        <v>0</v>
      </c>
      <c r="Q16" s="659">
        <v>0</v>
      </c>
      <c r="R16" s="659">
        <v>0</v>
      </c>
      <c r="S16" s="659">
        <v>0</v>
      </c>
      <c r="U16" s="2377">
        <v>11210100</v>
      </c>
    </row>
    <row r="17" spans="1:26" x14ac:dyDescent="0.2">
      <c r="A17" s="335">
        <v>1060</v>
      </c>
      <c r="B17" s="3206" t="s">
        <v>1223</v>
      </c>
      <c r="C17" s="3206"/>
      <c r="D17" s="3206"/>
      <c r="E17" s="3206"/>
      <c r="F17" s="649">
        <f t="shared" si="0"/>
        <v>0</v>
      </c>
      <c r="G17" s="821"/>
      <c r="H17" s="659">
        <v>0</v>
      </c>
      <c r="I17" s="659">
        <v>0</v>
      </c>
      <c r="J17" s="659">
        <v>0</v>
      </c>
      <c r="K17" s="659">
        <v>0</v>
      </c>
      <c r="L17" s="659">
        <v>0</v>
      </c>
      <c r="M17" s="659">
        <v>0</v>
      </c>
      <c r="N17" s="659">
        <v>0</v>
      </c>
      <c r="O17" s="659">
        <v>0</v>
      </c>
      <c r="P17" s="659">
        <v>0</v>
      </c>
      <c r="Q17" s="659">
        <v>0</v>
      </c>
      <c r="R17" s="659">
        <v>0</v>
      </c>
      <c r="S17" s="659">
        <v>0</v>
      </c>
      <c r="U17" s="2377">
        <v>11221000</v>
      </c>
    </row>
    <row r="18" spans="1:26" x14ac:dyDescent="0.2">
      <c r="A18" s="335">
        <v>1090</v>
      </c>
      <c r="B18" s="3206" t="s">
        <v>1421</v>
      </c>
      <c r="C18" s="3206"/>
      <c r="D18" s="3206"/>
      <c r="E18" s="3206"/>
      <c r="F18" s="649">
        <f t="shared" si="0"/>
        <v>0</v>
      </c>
      <c r="G18" s="864"/>
      <c r="H18" s="659">
        <v>0</v>
      </c>
      <c r="I18" s="659">
        <v>0</v>
      </c>
      <c r="J18" s="659">
        <v>0</v>
      </c>
      <c r="K18" s="659">
        <v>0</v>
      </c>
      <c r="L18" s="659">
        <v>0</v>
      </c>
      <c r="M18" s="659">
        <v>0</v>
      </c>
      <c r="N18" s="659">
        <v>0</v>
      </c>
      <c r="O18" s="659">
        <v>0</v>
      </c>
      <c r="P18" s="659">
        <v>0</v>
      </c>
      <c r="Q18" s="659">
        <v>0</v>
      </c>
      <c r="R18" s="659">
        <v>0</v>
      </c>
      <c r="S18" s="659">
        <v>0</v>
      </c>
      <c r="U18" s="2377">
        <v>11230000</v>
      </c>
    </row>
    <row r="19" spans="1:26" x14ac:dyDescent="0.2">
      <c r="A19" s="335"/>
      <c r="B19" s="335" t="s">
        <v>198</v>
      </c>
      <c r="C19" s="335"/>
      <c r="H19" s="393"/>
      <c r="I19" s="649"/>
      <c r="J19" s="649"/>
      <c r="K19" s="649"/>
      <c r="L19" s="649"/>
      <c r="M19" s="649"/>
      <c r="N19" s="649"/>
      <c r="O19" s="649"/>
      <c r="P19" s="649"/>
      <c r="Q19" s="649"/>
      <c r="R19" s="649"/>
      <c r="S19" s="649"/>
      <c r="U19" s="2377"/>
    </row>
    <row r="20" spans="1:26" x14ac:dyDescent="0.2">
      <c r="A20" s="335">
        <v>1110</v>
      </c>
      <c r="B20" s="3300" t="s">
        <v>199</v>
      </c>
      <c r="C20" s="3300"/>
      <c r="D20" s="3300"/>
      <c r="E20" s="3300"/>
      <c r="F20" s="649">
        <f t="shared" si="0"/>
        <v>0</v>
      </c>
      <c r="H20" s="659">
        <v>0</v>
      </c>
      <c r="I20" s="659">
        <v>0</v>
      </c>
      <c r="J20" s="659">
        <v>0</v>
      </c>
      <c r="K20" s="659">
        <v>0</v>
      </c>
      <c r="L20" s="659">
        <v>0</v>
      </c>
      <c r="M20" s="659">
        <v>0</v>
      </c>
      <c r="N20" s="659">
        <v>0</v>
      </c>
      <c r="O20" s="659">
        <v>0</v>
      </c>
      <c r="P20" s="659">
        <v>0</v>
      </c>
      <c r="Q20" s="659">
        <v>0</v>
      </c>
      <c r="R20" s="659">
        <v>0</v>
      </c>
      <c r="S20" s="659">
        <v>0</v>
      </c>
      <c r="U20" s="2377">
        <v>11320000</v>
      </c>
    </row>
    <row r="21" spans="1:26" x14ac:dyDescent="0.2">
      <c r="A21" s="335">
        <v>1120</v>
      </c>
      <c r="B21" s="3300" t="s">
        <v>312</v>
      </c>
      <c r="C21" s="3300"/>
      <c r="D21" s="3300"/>
      <c r="E21" s="3300"/>
      <c r="F21" s="649">
        <f t="shared" si="0"/>
        <v>0</v>
      </c>
      <c r="H21" s="659">
        <v>0</v>
      </c>
      <c r="I21" s="659">
        <v>0</v>
      </c>
      <c r="J21" s="659">
        <v>0</v>
      </c>
      <c r="K21" s="659">
        <v>0</v>
      </c>
      <c r="L21" s="659">
        <v>0</v>
      </c>
      <c r="M21" s="659">
        <v>0</v>
      </c>
      <c r="N21" s="659">
        <v>0</v>
      </c>
      <c r="O21" s="659">
        <v>0</v>
      </c>
      <c r="P21" s="659">
        <v>0</v>
      </c>
      <c r="Q21" s="659">
        <v>0</v>
      </c>
      <c r="R21" s="659">
        <v>0</v>
      </c>
      <c r="S21" s="659">
        <v>0</v>
      </c>
      <c r="U21" s="2377">
        <v>11341000</v>
      </c>
    </row>
    <row r="22" spans="1:26" x14ac:dyDescent="0.2">
      <c r="A22" s="335">
        <v>1130</v>
      </c>
      <c r="B22" s="3300" t="s">
        <v>200</v>
      </c>
      <c r="C22" s="3300"/>
      <c r="D22" s="3300"/>
      <c r="E22" s="3300"/>
      <c r="F22" s="649">
        <f t="shared" si="0"/>
        <v>0</v>
      </c>
      <c r="H22" s="659">
        <v>0</v>
      </c>
      <c r="I22" s="659">
        <v>0</v>
      </c>
      <c r="J22" s="659">
        <v>0</v>
      </c>
      <c r="K22" s="659">
        <v>0</v>
      </c>
      <c r="L22" s="659">
        <v>0</v>
      </c>
      <c r="M22" s="659">
        <v>0</v>
      </c>
      <c r="N22" s="659">
        <v>0</v>
      </c>
      <c r="O22" s="659">
        <v>0</v>
      </c>
      <c r="P22" s="659">
        <v>0</v>
      </c>
      <c r="Q22" s="659">
        <v>0</v>
      </c>
      <c r="R22" s="659">
        <v>0</v>
      </c>
      <c r="S22" s="659">
        <v>0</v>
      </c>
      <c r="U22" s="2377">
        <v>11351000</v>
      </c>
    </row>
    <row r="23" spans="1:26" x14ac:dyDescent="0.2">
      <c r="A23" s="335">
        <v>1160</v>
      </c>
      <c r="B23" s="3300" t="s">
        <v>637</v>
      </c>
      <c r="C23" s="3300"/>
      <c r="D23" s="3300"/>
      <c r="E23" s="3300"/>
      <c r="F23" s="649">
        <f t="shared" si="0"/>
        <v>0</v>
      </c>
      <c r="H23" s="659">
        <v>0</v>
      </c>
      <c r="I23" s="659">
        <v>0</v>
      </c>
      <c r="J23" s="659">
        <v>0</v>
      </c>
      <c r="K23" s="659">
        <v>0</v>
      </c>
      <c r="L23" s="659">
        <v>0</v>
      </c>
      <c r="M23" s="659">
        <v>0</v>
      </c>
      <c r="N23" s="659">
        <v>0</v>
      </c>
      <c r="O23" s="659">
        <v>0</v>
      </c>
      <c r="P23" s="659">
        <v>0</v>
      </c>
      <c r="Q23" s="659">
        <v>0</v>
      </c>
      <c r="R23" s="659">
        <v>0</v>
      </c>
      <c r="S23" s="659">
        <v>0</v>
      </c>
      <c r="U23" s="2377">
        <v>11336000</v>
      </c>
    </row>
    <row r="24" spans="1:26" s="2209" customFormat="1" x14ac:dyDescent="0.2">
      <c r="A24" s="2080">
        <v>1175</v>
      </c>
      <c r="B24" s="3306" t="s">
        <v>4978</v>
      </c>
      <c r="C24" s="3306"/>
      <c r="D24" s="3306"/>
      <c r="E24" s="3306"/>
      <c r="F24" s="1036">
        <f t="shared" si="0"/>
        <v>0</v>
      </c>
      <c r="H24" s="1079">
        <v>0</v>
      </c>
      <c r="I24" s="1079">
        <v>0</v>
      </c>
      <c r="J24" s="1079">
        <v>0</v>
      </c>
      <c r="K24" s="1079">
        <v>0</v>
      </c>
      <c r="L24" s="1079">
        <v>0</v>
      </c>
      <c r="M24" s="1079">
        <v>0</v>
      </c>
      <c r="N24" s="1079">
        <v>0</v>
      </c>
      <c r="O24" s="1079">
        <v>0</v>
      </c>
      <c r="P24" s="1079">
        <v>0</v>
      </c>
      <c r="Q24" s="1079"/>
      <c r="R24" s="1079">
        <v>0</v>
      </c>
      <c r="S24" s="1079">
        <v>0</v>
      </c>
      <c r="U24" s="2402">
        <v>11450100</v>
      </c>
      <c r="V24" s="2358"/>
      <c r="W24" s="2358"/>
      <c r="X24" s="2358"/>
      <c r="Y24" s="2358"/>
      <c r="Z24" s="2292"/>
    </row>
    <row r="25" spans="1:26" x14ac:dyDescent="0.2">
      <c r="A25" s="1129">
        <v>1190</v>
      </c>
      <c r="B25" s="3294" t="s">
        <v>1484</v>
      </c>
      <c r="C25" s="3294"/>
      <c r="D25" s="3294"/>
      <c r="E25" s="3294"/>
      <c r="F25" s="1036">
        <f>'525'!H24</f>
        <v>0</v>
      </c>
      <c r="H25" s="1079">
        <v>0</v>
      </c>
      <c r="I25" s="1079">
        <v>0</v>
      </c>
      <c r="J25" s="1079">
        <v>0</v>
      </c>
      <c r="K25" s="1079">
        <v>0</v>
      </c>
      <c r="L25" s="1079">
        <v>0</v>
      </c>
      <c r="M25" s="1079">
        <v>0</v>
      </c>
      <c r="N25" s="1079">
        <v>0</v>
      </c>
      <c r="O25" s="1079">
        <v>0</v>
      </c>
      <c r="P25" s="1079">
        <v>0</v>
      </c>
      <c r="Q25" s="1079">
        <v>0</v>
      </c>
      <c r="R25" s="1079">
        <v>0</v>
      </c>
      <c r="S25" s="1079">
        <v>0</v>
      </c>
      <c r="T25" t="str">
        <f>IF(SUM(H25:S25)=F25,"OK ","Problem: sum of amts keyed for each agency in col H through S must tie to total on combined worksheet")</f>
        <v xml:space="preserve">OK </v>
      </c>
      <c r="U25" s="2378">
        <v>11470000</v>
      </c>
    </row>
    <row r="26" spans="1:26" x14ac:dyDescent="0.2">
      <c r="A26" s="1129">
        <v>1195</v>
      </c>
      <c r="B26" s="3294" t="s">
        <v>4270</v>
      </c>
      <c r="C26" s="3294"/>
      <c r="D26" s="3294"/>
      <c r="E26" s="3294"/>
      <c r="F26" s="1036">
        <f>'616'!D30</f>
        <v>0</v>
      </c>
      <c r="H26" s="1079">
        <v>0</v>
      </c>
      <c r="I26" s="1079">
        <v>0</v>
      </c>
      <c r="J26" s="1079">
        <v>0</v>
      </c>
      <c r="K26" s="1079">
        <v>0</v>
      </c>
      <c r="L26" s="1079">
        <v>0</v>
      </c>
      <c r="M26" s="1079">
        <v>0</v>
      </c>
      <c r="N26" s="1079">
        <v>0</v>
      </c>
      <c r="O26" s="1079">
        <v>0</v>
      </c>
      <c r="P26" s="1079">
        <v>0</v>
      </c>
      <c r="Q26" s="1079">
        <v>0</v>
      </c>
      <c r="R26" s="1079">
        <v>0</v>
      </c>
      <c r="S26" s="1079">
        <v>0</v>
      </c>
      <c r="T26" t="str">
        <f>IF(SUM(H26:S26)=F26,"OK ","Problem: sum of amts keyed for each agency in col H through S must tie to total on combined worksheet")</f>
        <v xml:space="preserve">OK </v>
      </c>
      <c r="U26" s="2377">
        <v>11480000</v>
      </c>
    </row>
    <row r="27" spans="1:26" x14ac:dyDescent="0.2">
      <c r="A27" s="1129">
        <v>1200</v>
      </c>
      <c r="B27" s="3294" t="s">
        <v>1485</v>
      </c>
      <c r="C27" s="3294"/>
      <c r="D27" s="3294"/>
      <c r="E27" s="3294"/>
      <c r="F27" s="1036">
        <f>'515'!H25</f>
        <v>0</v>
      </c>
      <c r="H27" s="1079">
        <v>0</v>
      </c>
      <c r="I27" s="1079">
        <v>0</v>
      </c>
      <c r="J27" s="1079">
        <v>0</v>
      </c>
      <c r="K27" s="1079">
        <v>0</v>
      </c>
      <c r="L27" s="1079">
        <v>0</v>
      </c>
      <c r="M27" s="1079">
        <v>0</v>
      </c>
      <c r="N27" s="1079">
        <v>0</v>
      </c>
      <c r="O27" s="1079">
        <v>0</v>
      </c>
      <c r="P27" s="1079">
        <v>0</v>
      </c>
      <c r="Q27" s="1079">
        <v>0</v>
      </c>
      <c r="R27" s="1079">
        <v>0</v>
      </c>
      <c r="S27" s="1079">
        <v>0</v>
      </c>
      <c r="T27" t="str">
        <f>IF(SUM(H27:S27)=F27,"OK ","Problem: sum of amts keyed for each agency in col H through S must tie to total on combined worksheet")</f>
        <v xml:space="preserve">OK </v>
      </c>
      <c r="U27" s="2378">
        <v>11460000</v>
      </c>
    </row>
    <row r="28" spans="1:26" x14ac:dyDescent="0.2">
      <c r="A28" s="335">
        <v>1220</v>
      </c>
      <c r="B28" s="3299" t="s">
        <v>931</v>
      </c>
      <c r="C28" s="3299"/>
      <c r="D28" s="3299"/>
      <c r="E28" s="3299"/>
      <c r="F28" s="649">
        <f>SUM(H28:S28)</f>
        <v>0</v>
      </c>
      <c r="H28" s="659">
        <v>0</v>
      </c>
      <c r="I28" s="659">
        <v>0</v>
      </c>
      <c r="J28" s="659">
        <v>0</v>
      </c>
      <c r="K28" s="659">
        <v>0</v>
      </c>
      <c r="L28" s="659">
        <v>0</v>
      </c>
      <c r="M28" s="659">
        <v>0</v>
      </c>
      <c r="N28" s="659">
        <v>0</v>
      </c>
      <c r="O28" s="659">
        <v>0</v>
      </c>
      <c r="P28" s="659">
        <v>0</v>
      </c>
      <c r="Q28" s="659">
        <v>0</v>
      </c>
      <c r="R28" s="659">
        <v>0</v>
      </c>
      <c r="S28" s="659">
        <v>0</v>
      </c>
      <c r="U28" s="2377">
        <v>11611000</v>
      </c>
    </row>
    <row r="29" spans="1:26" x14ac:dyDescent="0.2">
      <c r="A29" s="335">
        <v>1230</v>
      </c>
      <c r="B29" s="3206" t="s">
        <v>631</v>
      </c>
      <c r="C29" s="3206"/>
      <c r="D29" s="3206"/>
      <c r="E29" s="3206"/>
      <c r="F29" s="649">
        <f t="shared" ref="F29:F37" si="1">SUM(H29:S29)</f>
        <v>0</v>
      </c>
      <c r="H29" s="659">
        <v>0</v>
      </c>
      <c r="I29" s="659">
        <v>0</v>
      </c>
      <c r="J29" s="659">
        <v>0</v>
      </c>
      <c r="K29" s="659">
        <v>0</v>
      </c>
      <c r="L29" s="659">
        <v>0</v>
      </c>
      <c r="M29" s="659">
        <v>0</v>
      </c>
      <c r="N29" s="659">
        <v>0</v>
      </c>
      <c r="O29" s="659">
        <v>0</v>
      </c>
      <c r="P29" s="659">
        <v>0</v>
      </c>
      <c r="Q29" s="659">
        <v>0</v>
      </c>
      <c r="R29" s="659">
        <v>0</v>
      </c>
      <c r="S29" s="659">
        <v>0</v>
      </c>
      <c r="U29" s="2377">
        <v>11910000</v>
      </c>
    </row>
    <row r="30" spans="1:26" x14ac:dyDescent="0.2">
      <c r="A30" s="335">
        <v>1210</v>
      </c>
      <c r="B30" s="3206" t="s">
        <v>549</v>
      </c>
      <c r="C30" s="3206"/>
      <c r="D30" s="3206"/>
      <c r="E30" s="3206"/>
      <c r="F30" s="649">
        <f t="shared" si="1"/>
        <v>0</v>
      </c>
      <c r="H30" s="659">
        <v>0</v>
      </c>
      <c r="I30" s="659">
        <v>0</v>
      </c>
      <c r="J30" s="659">
        <v>0</v>
      </c>
      <c r="K30" s="659">
        <v>0</v>
      </c>
      <c r="L30" s="659">
        <v>0</v>
      </c>
      <c r="M30" s="659">
        <v>0</v>
      </c>
      <c r="N30" s="659">
        <v>0</v>
      </c>
      <c r="O30" s="659">
        <v>0</v>
      </c>
      <c r="P30" s="659">
        <v>0</v>
      </c>
      <c r="Q30" s="659">
        <v>0</v>
      </c>
      <c r="R30" s="659">
        <v>0</v>
      </c>
      <c r="S30" s="659">
        <v>0</v>
      </c>
      <c r="U30" s="2377">
        <v>11510000</v>
      </c>
    </row>
    <row r="31" spans="1:26" s="2515" customFormat="1" x14ac:dyDescent="0.2">
      <c r="A31" s="2516">
        <v>1211</v>
      </c>
      <c r="B31" s="3307" t="s">
        <v>5531</v>
      </c>
      <c r="C31" s="3307"/>
      <c r="D31" s="3307"/>
      <c r="E31" s="3307"/>
      <c r="F31" s="649">
        <f t="shared" si="1"/>
        <v>0</v>
      </c>
      <c r="H31" s="659">
        <v>0</v>
      </c>
      <c r="I31" s="659">
        <v>0</v>
      </c>
      <c r="J31" s="659">
        <v>0</v>
      </c>
      <c r="K31" s="659">
        <v>0</v>
      </c>
      <c r="L31" s="659">
        <v>0</v>
      </c>
      <c r="M31" s="659">
        <v>0</v>
      </c>
      <c r="N31" s="659">
        <v>0</v>
      </c>
      <c r="O31" s="659">
        <v>0</v>
      </c>
      <c r="P31" s="659">
        <v>0</v>
      </c>
      <c r="Q31" s="659"/>
      <c r="R31" s="659"/>
      <c r="S31" s="659"/>
      <c r="U31" s="2620">
        <v>11530000</v>
      </c>
      <c r="V31" s="2517"/>
      <c r="W31" s="2517"/>
      <c r="X31" s="2517"/>
      <c r="Y31" s="2517"/>
    </row>
    <row r="32" spans="1:26" x14ac:dyDescent="0.2">
      <c r="A32" s="335">
        <v>1020</v>
      </c>
      <c r="B32" s="3206" t="s">
        <v>641</v>
      </c>
      <c r="C32" s="3206"/>
      <c r="D32" s="3206"/>
      <c r="E32" s="3206"/>
      <c r="F32" s="649">
        <f t="shared" si="1"/>
        <v>0</v>
      </c>
      <c r="H32" s="659">
        <v>0</v>
      </c>
      <c r="I32" s="659">
        <v>0</v>
      </c>
      <c r="J32" s="659">
        <v>0</v>
      </c>
      <c r="K32" s="659">
        <v>0</v>
      </c>
      <c r="L32" s="659">
        <v>0</v>
      </c>
      <c r="M32" s="659">
        <v>0</v>
      </c>
      <c r="N32" s="659">
        <v>0</v>
      </c>
      <c r="O32" s="659">
        <v>0</v>
      </c>
      <c r="P32" s="659">
        <v>0</v>
      </c>
      <c r="Q32" s="659">
        <v>0</v>
      </c>
      <c r="R32" s="659">
        <v>0</v>
      </c>
      <c r="S32" s="659">
        <v>0</v>
      </c>
      <c r="U32" s="2377" t="s">
        <v>5121</v>
      </c>
    </row>
    <row r="33" spans="1:21" x14ac:dyDescent="0.2">
      <c r="A33" s="335">
        <v>1030</v>
      </c>
      <c r="B33" s="3206" t="s">
        <v>1420</v>
      </c>
      <c r="C33" s="3206"/>
      <c r="D33" s="3206"/>
      <c r="E33" s="3206"/>
      <c r="F33" s="649">
        <f t="shared" si="1"/>
        <v>0</v>
      </c>
      <c r="H33" s="659">
        <v>0</v>
      </c>
      <c r="I33" s="659">
        <v>0</v>
      </c>
      <c r="J33" s="659">
        <v>0</v>
      </c>
      <c r="K33" s="659">
        <v>0</v>
      </c>
      <c r="L33" s="659">
        <v>0</v>
      </c>
      <c r="M33" s="659">
        <v>0</v>
      </c>
      <c r="N33" s="659">
        <v>0</v>
      </c>
      <c r="O33" s="659">
        <v>0</v>
      </c>
      <c r="P33" s="659">
        <v>0</v>
      </c>
      <c r="Q33" s="659">
        <v>0</v>
      </c>
      <c r="R33" s="659">
        <v>0</v>
      </c>
      <c r="S33" s="659">
        <v>0</v>
      </c>
      <c r="U33" s="2377" t="s">
        <v>5122</v>
      </c>
    </row>
    <row r="34" spans="1:21" x14ac:dyDescent="0.2">
      <c r="A34" s="335">
        <v>1070</v>
      </c>
      <c r="B34" s="3206" t="s">
        <v>426</v>
      </c>
      <c r="C34" s="3206"/>
      <c r="D34" s="3206"/>
      <c r="E34" s="3206"/>
      <c r="F34" s="649">
        <f t="shared" si="1"/>
        <v>0</v>
      </c>
      <c r="H34" s="659">
        <v>0</v>
      </c>
      <c r="I34" s="659">
        <v>0</v>
      </c>
      <c r="J34" s="659">
        <v>0</v>
      </c>
      <c r="K34" s="659">
        <v>0</v>
      </c>
      <c r="L34" s="659">
        <v>0</v>
      </c>
      <c r="M34" s="659">
        <v>0</v>
      </c>
      <c r="N34" s="659">
        <v>0</v>
      </c>
      <c r="O34" s="659">
        <v>0</v>
      </c>
      <c r="P34" s="659">
        <v>0</v>
      </c>
      <c r="Q34" s="659">
        <v>0</v>
      </c>
      <c r="R34" s="659">
        <v>0</v>
      </c>
      <c r="S34" s="659">
        <v>0</v>
      </c>
      <c r="U34" s="2377">
        <v>11212500</v>
      </c>
    </row>
    <row r="35" spans="1:21" x14ac:dyDescent="0.2">
      <c r="A35" s="335">
        <v>1232</v>
      </c>
      <c r="B35" s="3206" t="s">
        <v>1346</v>
      </c>
      <c r="C35" s="3206"/>
      <c r="D35" s="3206"/>
      <c r="E35" s="3206"/>
      <c r="F35" s="649">
        <f>SUM(H35:S35)</f>
        <v>0</v>
      </c>
      <c r="H35" s="659">
        <v>0</v>
      </c>
      <c r="I35" s="659">
        <v>0</v>
      </c>
      <c r="J35" s="659">
        <v>0</v>
      </c>
      <c r="K35" s="659">
        <v>0</v>
      </c>
      <c r="L35" s="659">
        <v>0</v>
      </c>
      <c r="M35" s="659">
        <v>0</v>
      </c>
      <c r="N35" s="659">
        <v>0</v>
      </c>
      <c r="O35" s="659">
        <v>0</v>
      </c>
      <c r="P35" s="659">
        <v>0</v>
      </c>
      <c r="Q35" s="659">
        <v>0</v>
      </c>
      <c r="R35" s="659">
        <v>0</v>
      </c>
      <c r="S35" s="659">
        <v>0</v>
      </c>
      <c r="U35" s="2377">
        <v>11970000</v>
      </c>
    </row>
    <row r="36" spans="1:21" x14ac:dyDescent="0.2">
      <c r="A36" s="1871">
        <v>1235</v>
      </c>
      <c r="B36" s="3206" t="s">
        <v>4454</v>
      </c>
      <c r="C36" s="3206"/>
      <c r="D36" s="3206"/>
      <c r="E36" s="3206"/>
      <c r="F36" s="649">
        <f>SUM(H36:S36)</f>
        <v>0</v>
      </c>
      <c r="H36" s="659">
        <v>0</v>
      </c>
      <c r="I36" s="659">
        <v>0</v>
      </c>
      <c r="J36" s="659">
        <v>0</v>
      </c>
      <c r="K36" s="659">
        <v>0</v>
      </c>
      <c r="L36" s="659">
        <v>0</v>
      </c>
      <c r="M36" s="659">
        <v>0</v>
      </c>
      <c r="N36" s="659">
        <v>0</v>
      </c>
      <c r="O36" s="659">
        <v>0</v>
      </c>
      <c r="P36" s="659">
        <v>0</v>
      </c>
      <c r="Q36" s="659">
        <v>0</v>
      </c>
      <c r="R36" s="659">
        <v>0</v>
      </c>
      <c r="S36" s="659">
        <v>0</v>
      </c>
      <c r="U36" s="2377">
        <v>11491000</v>
      </c>
    </row>
    <row r="37" spans="1:21" x14ac:dyDescent="0.2">
      <c r="A37" s="1871">
        <v>1233</v>
      </c>
      <c r="B37" s="3206" t="s">
        <v>4450</v>
      </c>
      <c r="C37" s="3206"/>
      <c r="D37" s="3206"/>
      <c r="E37" s="3206"/>
      <c r="F37" s="649">
        <f t="shared" si="1"/>
        <v>0</v>
      </c>
      <c r="H37" s="659">
        <v>0</v>
      </c>
      <c r="I37" s="659">
        <v>0</v>
      </c>
      <c r="J37" s="659">
        <v>0</v>
      </c>
      <c r="K37" s="659">
        <v>0</v>
      </c>
      <c r="L37" s="659">
        <v>0</v>
      </c>
      <c r="M37" s="659">
        <v>0</v>
      </c>
      <c r="N37" s="659">
        <v>0</v>
      </c>
      <c r="O37" s="659">
        <v>0</v>
      </c>
      <c r="P37" s="659">
        <v>0</v>
      </c>
      <c r="Q37" s="659">
        <v>0</v>
      </c>
      <c r="R37" s="659">
        <v>0</v>
      </c>
      <c r="S37" s="659">
        <v>0</v>
      </c>
      <c r="U37" s="2377">
        <v>11978000</v>
      </c>
    </row>
    <row r="38" spans="1:21" x14ac:dyDescent="0.2">
      <c r="B38" s="3206" t="s">
        <v>424</v>
      </c>
      <c r="C38" s="3206"/>
      <c r="D38" s="3206"/>
      <c r="E38" s="3206"/>
      <c r="F38" s="661">
        <f>SUM(F13:F37)</f>
        <v>0</v>
      </c>
      <c r="H38" s="661">
        <f t="shared" ref="H38:S38" si="2">SUM(H13:H37)</f>
        <v>0</v>
      </c>
      <c r="I38" s="661">
        <f t="shared" si="2"/>
        <v>0</v>
      </c>
      <c r="J38" s="661">
        <f t="shared" si="2"/>
        <v>0</v>
      </c>
      <c r="K38" s="661">
        <f t="shared" si="2"/>
        <v>0</v>
      </c>
      <c r="L38" s="661">
        <f t="shared" si="2"/>
        <v>0</v>
      </c>
      <c r="M38" s="661">
        <f t="shared" si="2"/>
        <v>0</v>
      </c>
      <c r="N38" s="661">
        <f t="shared" si="2"/>
        <v>0</v>
      </c>
      <c r="O38" s="661">
        <f t="shared" si="2"/>
        <v>0</v>
      </c>
      <c r="P38" s="661">
        <f t="shared" si="2"/>
        <v>0</v>
      </c>
      <c r="Q38" s="661">
        <f t="shared" si="2"/>
        <v>0</v>
      </c>
      <c r="R38" s="661">
        <f t="shared" si="2"/>
        <v>0</v>
      </c>
      <c r="S38" s="661">
        <f t="shared" si="2"/>
        <v>0</v>
      </c>
      <c r="T38" t="str">
        <f>IF(SUM(H38:S38)=F38,"OK ","Crossfoot error: sum of Col H thru s must equal total in Col F")</f>
        <v xml:space="preserve">OK </v>
      </c>
      <c r="U38" s="2377"/>
    </row>
    <row r="39" spans="1:21" x14ac:dyDescent="0.2">
      <c r="U39" s="2377"/>
    </row>
    <row r="40" spans="1:21" x14ac:dyDescent="0.2">
      <c r="B40" s="784" t="s">
        <v>640</v>
      </c>
      <c r="U40" s="2377"/>
    </row>
    <row r="41" spans="1:21" x14ac:dyDescent="0.2">
      <c r="A41" s="335">
        <v>1300</v>
      </c>
      <c r="B41" s="3206" t="s">
        <v>425</v>
      </c>
      <c r="C41" s="3206"/>
      <c r="D41" s="3206"/>
      <c r="E41" s="3206"/>
      <c r="F41" s="649">
        <f>SUM(H41:S41)</f>
        <v>0</v>
      </c>
      <c r="H41" s="659">
        <v>0</v>
      </c>
      <c r="I41" s="659">
        <v>0</v>
      </c>
      <c r="J41" s="659">
        <v>0</v>
      </c>
      <c r="K41" s="659">
        <v>0</v>
      </c>
      <c r="L41" s="659">
        <v>0</v>
      </c>
      <c r="M41" s="659">
        <v>0</v>
      </c>
      <c r="N41" s="659">
        <v>0</v>
      </c>
      <c r="O41" s="659">
        <v>0</v>
      </c>
      <c r="P41" s="659">
        <v>0</v>
      </c>
      <c r="Q41" s="659">
        <v>0</v>
      </c>
      <c r="R41" s="659">
        <v>0</v>
      </c>
      <c r="S41" s="659">
        <v>0</v>
      </c>
      <c r="U41" s="2377">
        <v>12210100</v>
      </c>
    </row>
    <row r="42" spans="1:21" x14ac:dyDescent="0.2">
      <c r="A42" s="335">
        <v>1310</v>
      </c>
      <c r="B42" s="3206" t="s">
        <v>1223</v>
      </c>
      <c r="C42" s="3206"/>
      <c r="D42" s="3206"/>
      <c r="E42" s="3206"/>
      <c r="F42" s="649">
        <f>SUM(H42:S42)</f>
        <v>0</v>
      </c>
      <c r="G42" s="335"/>
      <c r="H42" s="659">
        <v>0</v>
      </c>
      <c r="I42" s="659">
        <v>0</v>
      </c>
      <c r="J42" s="659">
        <v>0</v>
      </c>
      <c r="K42" s="659">
        <v>0</v>
      </c>
      <c r="L42" s="659">
        <v>0</v>
      </c>
      <c r="M42" s="659">
        <v>0</v>
      </c>
      <c r="N42" s="659">
        <v>0</v>
      </c>
      <c r="O42" s="659">
        <v>0</v>
      </c>
      <c r="P42" s="659">
        <v>0</v>
      </c>
      <c r="Q42" s="659">
        <v>0</v>
      </c>
      <c r="R42" s="659">
        <v>0</v>
      </c>
      <c r="S42" s="659">
        <v>0</v>
      </c>
      <c r="U42" s="2377">
        <v>12212200</v>
      </c>
    </row>
    <row r="43" spans="1:21" x14ac:dyDescent="0.2">
      <c r="A43" s="335"/>
      <c r="B43" s="335" t="s">
        <v>198</v>
      </c>
      <c r="C43" s="335"/>
      <c r="H43" s="649"/>
      <c r="I43" s="649"/>
      <c r="J43" s="649"/>
      <c r="K43" s="649"/>
      <c r="L43" s="649"/>
      <c r="M43" s="649"/>
      <c r="N43" s="649"/>
      <c r="O43" s="649"/>
      <c r="P43" s="649"/>
      <c r="Q43" s="649"/>
      <c r="R43" s="649"/>
      <c r="S43" s="649"/>
      <c r="U43" s="2377"/>
    </row>
    <row r="44" spans="1:21" x14ac:dyDescent="0.2">
      <c r="A44" s="335">
        <v>1340</v>
      </c>
      <c r="B44" s="3300" t="s">
        <v>199</v>
      </c>
      <c r="C44" s="3300"/>
      <c r="D44" s="3300"/>
      <c r="E44" s="3300"/>
      <c r="F44" s="649">
        <f t="shared" ref="F44:F55" si="3">SUM(H44:S44)</f>
        <v>0</v>
      </c>
      <c r="H44" s="659">
        <v>0</v>
      </c>
      <c r="I44" s="659">
        <v>0</v>
      </c>
      <c r="J44" s="659">
        <v>0</v>
      </c>
      <c r="K44" s="659">
        <v>0</v>
      </c>
      <c r="L44" s="659">
        <v>0</v>
      </c>
      <c r="M44" s="659">
        <v>0</v>
      </c>
      <c r="N44" s="659">
        <v>0</v>
      </c>
      <c r="O44" s="659">
        <v>0</v>
      </c>
      <c r="P44" s="659">
        <v>0</v>
      </c>
      <c r="Q44" s="659">
        <v>0</v>
      </c>
      <c r="R44" s="659">
        <v>0</v>
      </c>
      <c r="S44" s="659">
        <v>0</v>
      </c>
      <c r="U44" s="2377">
        <v>12320000</v>
      </c>
    </row>
    <row r="45" spans="1:21" hidden="1" x14ac:dyDescent="0.2">
      <c r="A45" s="335">
        <v>1345</v>
      </c>
      <c r="B45" s="3300" t="s">
        <v>312</v>
      </c>
      <c r="C45" s="3300"/>
      <c r="D45" s="3300"/>
      <c r="E45" s="3300"/>
      <c r="F45" s="649">
        <f t="shared" si="3"/>
        <v>0</v>
      </c>
      <c r="G45" s="821"/>
      <c r="H45" s="659">
        <v>0</v>
      </c>
      <c r="I45" s="659">
        <v>0</v>
      </c>
      <c r="J45" s="659">
        <v>0</v>
      </c>
      <c r="K45" s="659">
        <v>0</v>
      </c>
      <c r="L45" s="659">
        <v>0</v>
      </c>
      <c r="M45" s="659">
        <v>0</v>
      </c>
      <c r="N45" s="659">
        <v>0</v>
      </c>
      <c r="O45" s="659">
        <v>0</v>
      </c>
      <c r="P45" s="659">
        <v>0</v>
      </c>
      <c r="Q45" s="659">
        <v>0</v>
      </c>
      <c r="R45" s="659">
        <v>0</v>
      </c>
      <c r="S45" s="659">
        <v>0</v>
      </c>
      <c r="U45" s="2379"/>
    </row>
    <row r="46" spans="1:21" x14ac:dyDescent="0.2">
      <c r="A46" s="335">
        <v>1350</v>
      </c>
      <c r="B46" s="3300" t="s">
        <v>200</v>
      </c>
      <c r="C46" s="3300"/>
      <c r="D46" s="3300"/>
      <c r="E46" s="3300"/>
      <c r="F46" s="649">
        <f t="shared" si="3"/>
        <v>0</v>
      </c>
      <c r="H46" s="659">
        <v>0</v>
      </c>
      <c r="I46" s="659">
        <v>0</v>
      </c>
      <c r="J46" s="659">
        <v>0</v>
      </c>
      <c r="K46" s="659">
        <v>0</v>
      </c>
      <c r="L46" s="659">
        <v>0</v>
      </c>
      <c r="M46" s="659">
        <v>0</v>
      </c>
      <c r="N46" s="659">
        <v>0</v>
      </c>
      <c r="O46" s="659">
        <v>0</v>
      </c>
      <c r="P46" s="659">
        <v>0</v>
      </c>
      <c r="Q46" s="659">
        <v>0</v>
      </c>
      <c r="R46" s="659">
        <v>0</v>
      </c>
      <c r="S46" s="659">
        <v>0</v>
      </c>
      <c r="U46" s="2377">
        <v>12351000</v>
      </c>
    </row>
    <row r="47" spans="1:21" x14ac:dyDescent="0.2">
      <c r="A47" s="335">
        <v>1370</v>
      </c>
      <c r="B47" s="3300" t="s">
        <v>637</v>
      </c>
      <c r="C47" s="3300"/>
      <c r="D47" s="3300"/>
      <c r="E47" s="3300"/>
      <c r="F47" s="649">
        <f t="shared" si="3"/>
        <v>0</v>
      </c>
      <c r="H47" s="659">
        <v>0</v>
      </c>
      <c r="I47" s="659">
        <v>0</v>
      </c>
      <c r="J47" s="659">
        <v>0</v>
      </c>
      <c r="K47" s="659">
        <v>0</v>
      </c>
      <c r="L47" s="659">
        <v>0</v>
      </c>
      <c r="M47" s="659">
        <v>0</v>
      </c>
      <c r="N47" s="659">
        <v>0</v>
      </c>
      <c r="O47" s="659">
        <v>0</v>
      </c>
      <c r="P47" s="659">
        <v>0</v>
      </c>
      <c r="Q47" s="659">
        <v>0</v>
      </c>
      <c r="R47" s="659">
        <v>0</v>
      </c>
      <c r="S47" s="659">
        <v>0</v>
      </c>
      <c r="U47" s="2377">
        <v>12336000</v>
      </c>
    </row>
    <row r="48" spans="1:21" x14ac:dyDescent="0.2">
      <c r="A48" s="335">
        <v>1400</v>
      </c>
      <c r="B48" s="3206" t="s">
        <v>549</v>
      </c>
      <c r="C48" s="3206"/>
      <c r="D48" s="3206"/>
      <c r="E48" s="3206"/>
      <c r="F48" s="649">
        <f t="shared" si="3"/>
        <v>0</v>
      </c>
      <c r="H48" s="659">
        <v>0</v>
      </c>
      <c r="I48" s="659">
        <v>0</v>
      </c>
      <c r="J48" s="659">
        <v>0</v>
      </c>
      <c r="K48" s="659">
        <v>0</v>
      </c>
      <c r="L48" s="659">
        <v>0</v>
      </c>
      <c r="M48" s="659">
        <v>0</v>
      </c>
      <c r="N48" s="659">
        <v>0</v>
      </c>
      <c r="O48" s="659">
        <v>0</v>
      </c>
      <c r="P48" s="659">
        <v>0</v>
      </c>
      <c r="Q48" s="659">
        <v>0</v>
      </c>
      <c r="R48" s="659">
        <v>0</v>
      </c>
      <c r="S48" s="659">
        <v>0</v>
      </c>
      <c r="U48" s="2377">
        <v>12510000</v>
      </c>
    </row>
    <row r="49" spans="1:25" s="2515" customFormat="1" x14ac:dyDescent="0.2">
      <c r="A49" s="2516">
        <v>1401</v>
      </c>
      <c r="B49" s="3307" t="s">
        <v>5531</v>
      </c>
      <c r="C49" s="3307"/>
      <c r="D49" s="3307"/>
      <c r="E49" s="3307"/>
      <c r="F49" s="649">
        <f t="shared" si="3"/>
        <v>0</v>
      </c>
      <c r="H49" s="659">
        <v>0</v>
      </c>
      <c r="I49" s="659">
        <v>0</v>
      </c>
      <c r="J49" s="659">
        <v>0</v>
      </c>
      <c r="K49" s="659">
        <v>0</v>
      </c>
      <c r="L49" s="659">
        <v>0</v>
      </c>
      <c r="M49" s="659">
        <v>0</v>
      </c>
      <c r="N49" s="659">
        <v>0</v>
      </c>
      <c r="O49" s="659">
        <v>0</v>
      </c>
      <c r="P49" s="659">
        <v>0</v>
      </c>
      <c r="Q49" s="659">
        <v>0</v>
      </c>
      <c r="R49" s="659"/>
      <c r="S49" s="659"/>
      <c r="U49" s="2536">
        <v>12530000</v>
      </c>
      <c r="V49" s="2517"/>
      <c r="W49" s="2517"/>
      <c r="X49" s="2517"/>
      <c r="Y49" s="2517"/>
    </row>
    <row r="50" spans="1:25" x14ac:dyDescent="0.2">
      <c r="A50" s="335">
        <v>1415</v>
      </c>
      <c r="B50" s="3206" t="s">
        <v>1417</v>
      </c>
      <c r="C50" s="3206"/>
      <c r="D50" s="3206"/>
      <c r="E50" s="3206"/>
      <c r="F50" s="649">
        <f t="shared" si="3"/>
        <v>0</v>
      </c>
      <c r="G50" s="1033"/>
      <c r="H50" s="659">
        <v>0</v>
      </c>
      <c r="I50" s="659">
        <v>0</v>
      </c>
      <c r="J50" s="659">
        <v>0</v>
      </c>
      <c r="K50" s="659">
        <v>0</v>
      </c>
      <c r="L50" s="659">
        <v>0</v>
      </c>
      <c r="M50" s="659">
        <v>0</v>
      </c>
      <c r="N50" s="659">
        <v>0</v>
      </c>
      <c r="O50" s="659">
        <v>0</v>
      </c>
      <c r="P50" s="659">
        <v>0</v>
      </c>
      <c r="Q50" s="659">
        <v>0</v>
      </c>
      <c r="R50" s="659">
        <v>0</v>
      </c>
      <c r="S50" s="659">
        <v>0</v>
      </c>
      <c r="U50" s="2377">
        <v>12950000</v>
      </c>
    </row>
    <row r="51" spans="1:25" x14ac:dyDescent="0.2">
      <c r="A51" s="335">
        <v>1420</v>
      </c>
      <c r="B51" s="3206" t="s">
        <v>631</v>
      </c>
      <c r="C51" s="3206"/>
      <c r="D51" s="3206"/>
      <c r="E51" s="3206"/>
      <c r="F51" s="649">
        <f t="shared" si="3"/>
        <v>0</v>
      </c>
      <c r="H51" s="659">
        <v>0</v>
      </c>
      <c r="I51" s="659">
        <v>0</v>
      </c>
      <c r="J51" s="659">
        <v>0</v>
      </c>
      <c r="K51" s="659">
        <v>0</v>
      </c>
      <c r="L51" s="659">
        <v>0</v>
      </c>
      <c r="M51" s="659">
        <v>0</v>
      </c>
      <c r="N51" s="659">
        <v>0</v>
      </c>
      <c r="O51" s="659">
        <v>0</v>
      </c>
      <c r="P51" s="659">
        <v>0</v>
      </c>
      <c r="Q51" s="659">
        <v>0</v>
      </c>
      <c r="R51" s="659">
        <v>0</v>
      </c>
      <c r="S51" s="659">
        <v>0</v>
      </c>
      <c r="U51" s="2377">
        <v>12910000</v>
      </c>
    </row>
    <row r="52" spans="1:25" x14ac:dyDescent="0.2">
      <c r="A52" s="335">
        <v>1270</v>
      </c>
      <c r="B52" s="3206" t="s">
        <v>641</v>
      </c>
      <c r="C52" s="3206"/>
      <c r="D52" s="3206"/>
      <c r="E52" s="3206"/>
      <c r="F52" s="649">
        <f t="shared" si="3"/>
        <v>0</v>
      </c>
      <c r="H52" s="659">
        <v>0</v>
      </c>
      <c r="I52" s="659">
        <v>0</v>
      </c>
      <c r="J52" s="659">
        <v>0</v>
      </c>
      <c r="K52" s="659">
        <v>0</v>
      </c>
      <c r="L52" s="659">
        <v>0</v>
      </c>
      <c r="M52" s="659">
        <v>0</v>
      </c>
      <c r="N52" s="659">
        <v>0</v>
      </c>
      <c r="O52" s="659">
        <v>0</v>
      </c>
      <c r="P52" s="659">
        <v>0</v>
      </c>
      <c r="Q52" s="659">
        <v>0</v>
      </c>
      <c r="R52" s="659">
        <v>0</v>
      </c>
      <c r="S52" s="659">
        <v>0</v>
      </c>
      <c r="U52" s="2377">
        <v>12111000</v>
      </c>
    </row>
    <row r="53" spans="1:25" x14ac:dyDescent="0.2">
      <c r="A53" s="335">
        <v>1280</v>
      </c>
      <c r="B53" s="3206" t="s">
        <v>1422</v>
      </c>
      <c r="C53" s="3206"/>
      <c r="D53" s="3206"/>
      <c r="E53" s="3206"/>
      <c r="F53" s="649">
        <f t="shared" si="3"/>
        <v>0</v>
      </c>
      <c r="G53" s="1032"/>
      <c r="H53" s="659">
        <v>0</v>
      </c>
      <c r="I53" s="659">
        <v>0</v>
      </c>
      <c r="J53" s="659">
        <v>0</v>
      </c>
      <c r="K53" s="659">
        <v>0</v>
      </c>
      <c r="L53" s="659">
        <v>0</v>
      </c>
      <c r="M53" s="659">
        <v>0</v>
      </c>
      <c r="N53" s="659">
        <v>0</v>
      </c>
      <c r="O53" s="659">
        <v>0</v>
      </c>
      <c r="P53" s="659">
        <v>0</v>
      </c>
      <c r="Q53" s="659">
        <v>0</v>
      </c>
      <c r="R53" s="659">
        <v>0</v>
      </c>
      <c r="S53" s="659">
        <v>0</v>
      </c>
      <c r="U53" s="2377">
        <v>12122000</v>
      </c>
    </row>
    <row r="54" spans="1:25" x14ac:dyDescent="0.2">
      <c r="A54" s="335">
        <v>1410</v>
      </c>
      <c r="B54" s="3206" t="s">
        <v>426</v>
      </c>
      <c r="C54" s="3206"/>
      <c r="D54" s="3206"/>
      <c r="E54" s="3206"/>
      <c r="F54" s="649">
        <f t="shared" si="3"/>
        <v>0</v>
      </c>
      <c r="H54" s="659">
        <v>0</v>
      </c>
      <c r="I54" s="659">
        <v>0</v>
      </c>
      <c r="J54" s="659">
        <v>0</v>
      </c>
      <c r="K54" s="659">
        <v>0</v>
      </c>
      <c r="L54" s="659">
        <v>0</v>
      </c>
      <c r="M54" s="659">
        <v>0</v>
      </c>
      <c r="N54" s="659">
        <v>0</v>
      </c>
      <c r="O54" s="659">
        <v>0</v>
      </c>
      <c r="P54" s="659">
        <v>0</v>
      </c>
      <c r="Q54" s="659">
        <v>0</v>
      </c>
      <c r="R54" s="659">
        <v>0</v>
      </c>
      <c r="S54" s="659">
        <v>0</v>
      </c>
      <c r="U54" s="2377">
        <v>12212500</v>
      </c>
    </row>
    <row r="55" spans="1:25" hidden="1" x14ac:dyDescent="0.2">
      <c r="A55" s="335"/>
      <c r="B55" s="3206" t="s">
        <v>1296</v>
      </c>
      <c r="C55" s="3206"/>
      <c r="D55" s="3206"/>
      <c r="E55" s="3206"/>
      <c r="F55" s="649">
        <f t="shared" si="3"/>
        <v>0</v>
      </c>
      <c r="G55" s="821"/>
      <c r="H55" s="659">
        <v>0</v>
      </c>
      <c r="I55" s="659">
        <v>0</v>
      </c>
      <c r="J55" s="659">
        <v>0</v>
      </c>
      <c r="K55" s="659">
        <v>0</v>
      </c>
      <c r="L55" s="659">
        <v>0</v>
      </c>
      <c r="M55" s="659">
        <v>0</v>
      </c>
      <c r="N55" s="659">
        <v>0</v>
      </c>
      <c r="O55" s="659">
        <v>0</v>
      </c>
      <c r="P55" s="659">
        <v>0</v>
      </c>
      <c r="Q55" s="659">
        <v>0</v>
      </c>
      <c r="R55" s="659">
        <v>0</v>
      </c>
      <c r="S55" s="659">
        <v>0</v>
      </c>
      <c r="U55" s="2379"/>
    </row>
    <row r="56" spans="1:25" x14ac:dyDescent="0.2">
      <c r="A56" s="1129">
        <v>1395</v>
      </c>
      <c r="B56" s="3206" t="s">
        <v>1486</v>
      </c>
      <c r="C56" s="3206"/>
      <c r="D56" s="3206"/>
      <c r="E56" s="3206"/>
      <c r="F56" s="1036">
        <f>'525'!H33</f>
        <v>0</v>
      </c>
      <c r="H56" s="1079">
        <v>0</v>
      </c>
      <c r="I56" s="1079">
        <v>0</v>
      </c>
      <c r="J56" s="1079">
        <v>0</v>
      </c>
      <c r="K56" s="1079">
        <v>0</v>
      </c>
      <c r="L56" s="1079">
        <v>0</v>
      </c>
      <c r="M56" s="1079">
        <v>0</v>
      </c>
      <c r="N56" s="1079">
        <v>0</v>
      </c>
      <c r="O56" s="1079">
        <v>0</v>
      </c>
      <c r="P56" s="1079">
        <v>0</v>
      </c>
      <c r="Q56" s="1079">
        <v>0</v>
      </c>
      <c r="R56" s="1079">
        <v>0</v>
      </c>
      <c r="S56" s="1079">
        <v>0</v>
      </c>
      <c r="T56" t="str">
        <f>IF(SUM(H56:S56)=F56,"OK ","Problem: sum of amts keyed for each agency in col H through S must tie to total on combined worksheet")</f>
        <v xml:space="preserve">OK </v>
      </c>
      <c r="U56" s="2378">
        <v>12420000</v>
      </c>
    </row>
    <row r="57" spans="1:25" x14ac:dyDescent="0.2">
      <c r="A57" s="1129">
        <v>1390</v>
      </c>
      <c r="B57" s="3206" t="s">
        <v>1487</v>
      </c>
      <c r="C57" s="3206"/>
      <c r="D57" s="3206"/>
      <c r="E57" s="3206"/>
      <c r="F57" s="1036">
        <f>'515'!H31</f>
        <v>0</v>
      </c>
      <c r="H57" s="1079">
        <v>0</v>
      </c>
      <c r="I57" s="1079">
        <v>0</v>
      </c>
      <c r="J57" s="1079">
        <v>0</v>
      </c>
      <c r="K57" s="1079">
        <v>0</v>
      </c>
      <c r="L57" s="1079">
        <v>0</v>
      </c>
      <c r="M57" s="1079">
        <v>0</v>
      </c>
      <c r="N57" s="1079">
        <v>0</v>
      </c>
      <c r="O57" s="1079">
        <v>0</v>
      </c>
      <c r="P57" s="1079">
        <v>0</v>
      </c>
      <c r="Q57" s="1079">
        <v>0</v>
      </c>
      <c r="R57" s="1079">
        <v>0</v>
      </c>
      <c r="S57" s="1079">
        <v>0</v>
      </c>
      <c r="T57" t="str">
        <f>IF(SUM(H57:S57)=F57,"OK ","Problem: sum of amts keyed for each agency in col H throughS must tie to total on combined worksheet")</f>
        <v xml:space="preserve">OK </v>
      </c>
      <c r="U57" s="2378">
        <v>12410000</v>
      </c>
    </row>
    <row r="58" spans="1:25" x14ac:dyDescent="0.2">
      <c r="A58" s="335">
        <v>1432</v>
      </c>
      <c r="B58" s="3206" t="s">
        <v>1346</v>
      </c>
      <c r="C58" s="3206"/>
      <c r="D58" s="3206"/>
      <c r="E58" s="3206"/>
      <c r="F58" s="649">
        <f>SUM(H58:S58)</f>
        <v>0</v>
      </c>
      <c r="H58" s="659">
        <v>0</v>
      </c>
      <c r="I58" s="659">
        <v>0</v>
      </c>
      <c r="J58" s="659">
        <v>0</v>
      </c>
      <c r="K58" s="659">
        <v>0</v>
      </c>
      <c r="L58" s="659">
        <v>0</v>
      </c>
      <c r="M58" s="659">
        <v>0</v>
      </c>
      <c r="N58" s="659">
        <v>0</v>
      </c>
      <c r="O58" s="659">
        <v>0</v>
      </c>
      <c r="P58" s="659">
        <v>0</v>
      </c>
      <c r="Q58" s="659">
        <v>0</v>
      </c>
      <c r="R58" s="659">
        <v>0</v>
      </c>
      <c r="S58" s="659">
        <v>0</v>
      </c>
      <c r="U58" s="2377">
        <v>12970000</v>
      </c>
    </row>
    <row r="59" spans="1:25" x14ac:dyDescent="0.2">
      <c r="A59" s="1871">
        <v>1434</v>
      </c>
      <c r="B59" s="3206" t="s">
        <v>4454</v>
      </c>
      <c r="C59" s="3206"/>
      <c r="D59" s="3206"/>
      <c r="E59" s="3206"/>
      <c r="F59" s="649">
        <f>SUM(H59:S59)</f>
        <v>0</v>
      </c>
      <c r="H59" s="659">
        <v>0</v>
      </c>
      <c r="I59" s="659">
        <v>0</v>
      </c>
      <c r="J59" s="659">
        <v>0</v>
      </c>
      <c r="K59" s="659">
        <v>0</v>
      </c>
      <c r="L59" s="659">
        <v>0</v>
      </c>
      <c r="M59" s="659">
        <v>0</v>
      </c>
      <c r="N59" s="659">
        <v>0</v>
      </c>
      <c r="O59" s="659">
        <v>0</v>
      </c>
      <c r="P59" s="659">
        <v>0</v>
      </c>
      <c r="Q59" s="659">
        <v>0</v>
      </c>
      <c r="R59" s="659">
        <v>0</v>
      </c>
      <c r="S59" s="659">
        <v>0</v>
      </c>
      <c r="U59" s="2377">
        <v>12491000</v>
      </c>
    </row>
    <row r="60" spans="1:25" x14ac:dyDescent="0.2">
      <c r="A60" s="1871">
        <v>1433</v>
      </c>
      <c r="B60" s="3206" t="s">
        <v>4450</v>
      </c>
      <c r="C60" s="3206"/>
      <c r="D60" s="3206"/>
      <c r="E60" s="3206"/>
      <c r="F60" s="649">
        <f>SUM(H60:S60)</f>
        <v>0</v>
      </c>
      <c r="H60" s="659">
        <v>0</v>
      </c>
      <c r="I60" s="659">
        <v>0</v>
      </c>
      <c r="J60" s="659">
        <v>0</v>
      </c>
      <c r="K60" s="659">
        <v>0</v>
      </c>
      <c r="L60" s="659">
        <v>0</v>
      </c>
      <c r="M60" s="659">
        <v>0</v>
      </c>
      <c r="N60" s="659">
        <v>0</v>
      </c>
      <c r="O60" s="659">
        <v>0</v>
      </c>
      <c r="P60" s="659">
        <v>0</v>
      </c>
      <c r="Q60" s="659">
        <v>0</v>
      </c>
      <c r="R60" s="659">
        <v>0</v>
      </c>
      <c r="S60" s="659">
        <v>0</v>
      </c>
      <c r="U60" s="2377">
        <v>12978000</v>
      </c>
    </row>
    <row r="61" spans="1:25" x14ac:dyDescent="0.2">
      <c r="A61" s="335"/>
      <c r="B61" s="2877" t="s">
        <v>1414</v>
      </c>
      <c r="C61" s="2877"/>
      <c r="D61" s="2877"/>
      <c r="E61" s="2877"/>
      <c r="H61" s="659">
        <v>0</v>
      </c>
      <c r="I61" s="659">
        <v>0</v>
      </c>
      <c r="J61" s="659">
        <v>0</v>
      </c>
      <c r="K61" s="659">
        <v>0</v>
      </c>
      <c r="L61" s="659">
        <v>0</v>
      </c>
      <c r="M61" s="659">
        <v>0</v>
      </c>
      <c r="N61" s="659">
        <v>0</v>
      </c>
      <c r="O61" s="659">
        <v>0</v>
      </c>
      <c r="P61" s="659">
        <v>0</v>
      </c>
      <c r="Q61" s="659">
        <v>0</v>
      </c>
      <c r="R61" s="659">
        <v>0</v>
      </c>
      <c r="S61" s="659">
        <v>0</v>
      </c>
      <c r="U61" s="2377"/>
      <c r="V61" s="2380" t="s">
        <v>5134</v>
      </c>
    </row>
    <row r="62" spans="1:25" x14ac:dyDescent="0.2">
      <c r="A62" s="1129">
        <v>1480</v>
      </c>
      <c r="B62" s="3300" t="s">
        <v>1488</v>
      </c>
      <c r="C62" s="3300"/>
      <c r="D62" s="3300"/>
      <c r="E62" s="3300"/>
      <c r="F62" s="1036">
        <f>'201'!T20</f>
        <v>0</v>
      </c>
      <c r="G62" s="14" t="str">
        <f>IF(F62='201'!T20," ","Problem:Must agree to worksheet 201 - complete the 201 worksheet first")</f>
        <v xml:space="preserve"> </v>
      </c>
      <c r="H62" s="1079">
        <v>0</v>
      </c>
      <c r="I62" s="1079">
        <v>0</v>
      </c>
      <c r="J62" s="1079">
        <v>0</v>
      </c>
      <c r="K62" s="1079">
        <v>0</v>
      </c>
      <c r="L62" s="1079">
        <v>0</v>
      </c>
      <c r="M62" s="1079">
        <v>0</v>
      </c>
      <c r="N62" s="1079">
        <v>0</v>
      </c>
      <c r="O62" s="1079">
        <v>0</v>
      </c>
      <c r="P62" s="1079">
        <v>0</v>
      </c>
      <c r="Q62" s="1079">
        <v>0</v>
      </c>
      <c r="R62" s="1079">
        <v>0</v>
      </c>
      <c r="S62" s="1079">
        <v>0</v>
      </c>
      <c r="T62" t="str">
        <f t="shared" ref="T62:T67" si="4">IF(SUM(H62:S62)=F62,"OK ","Problem: sum of amts keyed for each agency in col H through S must tie to total on combined worksheet")</f>
        <v xml:space="preserve">OK </v>
      </c>
      <c r="U62" s="2377"/>
    </row>
    <row r="63" spans="1:25" x14ac:dyDescent="0.2">
      <c r="A63" s="1129">
        <v>1490</v>
      </c>
      <c r="B63" s="3300" t="s">
        <v>1489</v>
      </c>
      <c r="C63" s="3300"/>
      <c r="D63" s="3300"/>
      <c r="E63" s="3300"/>
      <c r="F63" s="1036">
        <f>'201'!T21</f>
        <v>0</v>
      </c>
      <c r="G63" s="14" t="str">
        <f>IF(F63='201'!T21," ","Problem:Must agree to worksheet 201")</f>
        <v xml:space="preserve"> </v>
      </c>
      <c r="H63" s="1079">
        <v>0</v>
      </c>
      <c r="I63" s="1079">
        <v>0</v>
      </c>
      <c r="J63" s="1079">
        <v>0</v>
      </c>
      <c r="K63" s="1079">
        <v>0</v>
      </c>
      <c r="L63" s="1079">
        <v>0</v>
      </c>
      <c r="M63" s="1079">
        <v>0</v>
      </c>
      <c r="N63" s="1079">
        <v>0</v>
      </c>
      <c r="O63" s="1079">
        <v>0</v>
      </c>
      <c r="P63" s="1079">
        <v>0</v>
      </c>
      <c r="Q63" s="1079">
        <v>0</v>
      </c>
      <c r="R63" s="1079">
        <v>0</v>
      </c>
      <c r="S63" s="1079">
        <v>0</v>
      </c>
      <c r="T63" t="str">
        <f t="shared" si="4"/>
        <v xml:space="preserve">OK </v>
      </c>
      <c r="U63" s="2377"/>
    </row>
    <row r="64" spans="1:25" x14ac:dyDescent="0.2">
      <c r="A64" s="1129">
        <v>1500</v>
      </c>
      <c r="B64" s="3300" t="s">
        <v>1490</v>
      </c>
      <c r="C64" s="3300"/>
      <c r="D64" s="3300"/>
      <c r="E64" s="3300"/>
      <c r="F64" s="1036">
        <f>'201'!T22</f>
        <v>0</v>
      </c>
      <c r="G64" s="14" t="str">
        <f>IF(F64='201'!T22," ","Problem:Must agree to worksheet 201")</f>
        <v xml:space="preserve"> </v>
      </c>
      <c r="H64" s="1079">
        <v>0</v>
      </c>
      <c r="I64" s="1079">
        <v>0</v>
      </c>
      <c r="J64" s="1079">
        <v>0</v>
      </c>
      <c r="K64" s="1079">
        <v>0</v>
      </c>
      <c r="L64" s="1079">
        <v>0</v>
      </c>
      <c r="M64" s="1079">
        <v>0</v>
      </c>
      <c r="N64" s="1079">
        <v>0</v>
      </c>
      <c r="O64" s="1079">
        <v>0</v>
      </c>
      <c r="P64" s="1079">
        <v>0</v>
      </c>
      <c r="Q64" s="1079">
        <v>0</v>
      </c>
      <c r="R64" s="1079">
        <v>0</v>
      </c>
      <c r="S64" s="1079">
        <v>0</v>
      </c>
      <c r="T64" t="str">
        <f t="shared" si="4"/>
        <v xml:space="preserve">OK </v>
      </c>
      <c r="U64" s="2377"/>
    </row>
    <row r="65" spans="1:25" x14ac:dyDescent="0.2">
      <c r="A65" s="1129">
        <v>1503</v>
      </c>
      <c r="B65" s="3300" t="s">
        <v>1491</v>
      </c>
      <c r="C65" s="3300"/>
      <c r="D65" s="3300"/>
      <c r="E65" s="3300"/>
      <c r="F65" s="1036">
        <f>'201'!T23</f>
        <v>0</v>
      </c>
      <c r="G65" s="14" t="str">
        <f>IF(F65='201'!T23," ","Problem:Must agree to worksheet 201")</f>
        <v xml:space="preserve"> </v>
      </c>
      <c r="H65" s="1079">
        <v>0</v>
      </c>
      <c r="I65" s="1079">
        <v>0</v>
      </c>
      <c r="J65" s="1079">
        <v>0</v>
      </c>
      <c r="K65" s="1079">
        <v>0</v>
      </c>
      <c r="L65" s="1079">
        <v>0</v>
      </c>
      <c r="M65" s="1079">
        <v>0</v>
      </c>
      <c r="N65" s="1079">
        <v>0</v>
      </c>
      <c r="O65" s="1079">
        <v>0</v>
      </c>
      <c r="P65" s="1079">
        <v>0</v>
      </c>
      <c r="Q65" s="1079">
        <v>0</v>
      </c>
      <c r="R65" s="1079">
        <v>0</v>
      </c>
      <c r="S65" s="1079">
        <v>0</v>
      </c>
      <c r="T65" t="str">
        <f t="shared" si="4"/>
        <v xml:space="preserve">OK </v>
      </c>
      <c r="U65" s="2377"/>
    </row>
    <row r="66" spans="1:25" x14ac:dyDescent="0.2">
      <c r="A66" s="1129">
        <v>1505</v>
      </c>
      <c r="B66" s="3300" t="s">
        <v>1492</v>
      </c>
      <c r="C66" s="3300"/>
      <c r="D66" s="3300"/>
      <c r="E66" s="3300"/>
      <c r="F66" s="1036">
        <f>'201'!T24</f>
        <v>0</v>
      </c>
      <c r="G66" s="14" t="str">
        <f>IF(F66='201'!T24," ","Problem:Must agree to worksheet 201")</f>
        <v xml:space="preserve"> </v>
      </c>
      <c r="H66" s="1079">
        <v>0</v>
      </c>
      <c r="I66" s="1079">
        <v>0</v>
      </c>
      <c r="J66" s="1079">
        <v>0</v>
      </c>
      <c r="K66" s="1079">
        <v>0</v>
      </c>
      <c r="L66" s="1079">
        <v>0</v>
      </c>
      <c r="M66" s="1079">
        <v>0</v>
      </c>
      <c r="N66" s="1079">
        <v>0</v>
      </c>
      <c r="O66" s="1079">
        <v>0</v>
      </c>
      <c r="P66" s="1079">
        <v>0</v>
      </c>
      <c r="Q66" s="1079">
        <v>0</v>
      </c>
      <c r="R66" s="1079">
        <v>0</v>
      </c>
      <c r="S66" s="1079">
        <v>0</v>
      </c>
      <c r="T66" t="str">
        <f t="shared" si="4"/>
        <v xml:space="preserve">OK </v>
      </c>
      <c r="U66" s="2377"/>
    </row>
    <row r="67" spans="1:25" x14ac:dyDescent="0.2">
      <c r="A67" s="1129">
        <v>1506</v>
      </c>
      <c r="B67" s="3300" t="s">
        <v>1808</v>
      </c>
      <c r="C67" s="3300"/>
      <c r="D67" s="3300"/>
      <c r="E67" s="3300"/>
      <c r="F67" s="1036">
        <f>'201'!T25</f>
        <v>0</v>
      </c>
      <c r="G67" s="14" t="str">
        <f>IF(F67='201'!T25," ","Problem:Must agree to worksheet 201")</f>
        <v xml:space="preserve"> </v>
      </c>
      <c r="H67" s="1079">
        <v>0</v>
      </c>
      <c r="I67" s="1079">
        <v>0</v>
      </c>
      <c r="J67" s="1079">
        <v>0</v>
      </c>
      <c r="K67" s="1079">
        <v>0</v>
      </c>
      <c r="L67" s="1079">
        <v>0</v>
      </c>
      <c r="M67" s="1079">
        <v>0</v>
      </c>
      <c r="N67" s="1079">
        <v>0</v>
      </c>
      <c r="O67" s="1079">
        <v>0</v>
      </c>
      <c r="P67" s="1079">
        <v>0</v>
      </c>
      <c r="Q67" s="1079">
        <v>0</v>
      </c>
      <c r="R67" s="1079">
        <v>0</v>
      </c>
      <c r="S67" s="1079">
        <v>0</v>
      </c>
      <c r="T67" t="str">
        <f t="shared" si="4"/>
        <v xml:space="preserve">OK </v>
      </c>
      <c r="U67" s="2377"/>
    </row>
    <row r="68" spans="1:25" x14ac:dyDescent="0.2">
      <c r="A68" s="335"/>
      <c r="B68" s="3206" t="s">
        <v>1415</v>
      </c>
      <c r="C68" s="3206"/>
      <c r="D68" s="3206"/>
      <c r="E68" s="3206"/>
      <c r="F68" s="661">
        <f>SUM(F62:F67)</f>
        <v>0</v>
      </c>
      <c r="G68" s="661"/>
      <c r="H68" s="661">
        <f t="shared" ref="H68:M68" si="5">SUM(H62:H67)</f>
        <v>0</v>
      </c>
      <c r="I68" s="661">
        <f t="shared" si="5"/>
        <v>0</v>
      </c>
      <c r="J68" s="661">
        <f t="shared" si="5"/>
        <v>0</v>
      </c>
      <c r="K68" s="661">
        <f t="shared" si="5"/>
        <v>0</v>
      </c>
      <c r="L68" s="661">
        <f t="shared" si="5"/>
        <v>0</v>
      </c>
      <c r="M68" s="661">
        <f t="shared" si="5"/>
        <v>0</v>
      </c>
      <c r="N68" s="661">
        <f t="shared" ref="N68:S68" si="6">SUM(N62:N67)</f>
        <v>0</v>
      </c>
      <c r="O68" s="661">
        <f t="shared" si="6"/>
        <v>0</v>
      </c>
      <c r="P68" s="661">
        <f t="shared" si="6"/>
        <v>0</v>
      </c>
      <c r="Q68" s="661">
        <f t="shared" si="6"/>
        <v>0</v>
      </c>
      <c r="R68" s="661">
        <f t="shared" si="6"/>
        <v>0</v>
      </c>
      <c r="S68" s="661">
        <f t="shared" si="6"/>
        <v>0</v>
      </c>
      <c r="T68" t="str">
        <f>IF(SUM(H68:S68)=F68,"OK ","Crossfoot error: sum of Col H thru S must equal total in Col F")</f>
        <v xml:space="preserve">OK </v>
      </c>
      <c r="U68" s="2377"/>
    </row>
    <row r="69" spans="1:25" x14ac:dyDescent="0.2">
      <c r="A69" s="335"/>
      <c r="B69" s="2877" t="s">
        <v>419</v>
      </c>
      <c r="C69" s="2877"/>
      <c r="D69" s="2877"/>
      <c r="E69" s="2877"/>
      <c r="U69" s="2377"/>
    </row>
    <row r="70" spans="1:25" x14ac:dyDescent="0.2">
      <c r="A70" s="1129">
        <v>1520</v>
      </c>
      <c r="B70" s="3300" t="s">
        <v>1493</v>
      </c>
      <c r="C70" s="3300"/>
      <c r="D70" s="3300"/>
      <c r="E70" s="3300"/>
      <c r="F70" s="1036">
        <f>'201'!T27</f>
        <v>0</v>
      </c>
      <c r="G70" s="14" t="str">
        <f>IF(F70='201'!T27," ","Problem:Must agree to worksheet 201")</f>
        <v xml:space="preserve"> </v>
      </c>
      <c r="H70" s="1079">
        <v>0</v>
      </c>
      <c r="I70" s="1079">
        <v>0</v>
      </c>
      <c r="J70" s="1079">
        <v>0</v>
      </c>
      <c r="K70" s="1079">
        <v>0</v>
      </c>
      <c r="L70" s="1079">
        <v>0</v>
      </c>
      <c r="M70" s="1079">
        <v>0</v>
      </c>
      <c r="N70" s="1079">
        <v>0</v>
      </c>
      <c r="O70" s="1079">
        <v>0</v>
      </c>
      <c r="P70" s="1079">
        <v>0</v>
      </c>
      <c r="Q70" s="1079">
        <v>0</v>
      </c>
      <c r="R70" s="1079">
        <v>0</v>
      </c>
      <c r="S70" s="1079">
        <v>0</v>
      </c>
      <c r="T70" t="str">
        <f>IF(SUM(H70:S70)=F70,"OK ","Problem: sum of amts keyed for each agency in col H through S must tie to total on combined worksheet")</f>
        <v xml:space="preserve">OK </v>
      </c>
      <c r="U70" s="2377"/>
    </row>
    <row r="71" spans="1:25" x14ac:dyDescent="0.2">
      <c r="A71" s="1129">
        <v>1530</v>
      </c>
      <c r="B71" s="3300" t="s">
        <v>1494</v>
      </c>
      <c r="C71" s="3300"/>
      <c r="D71" s="3300"/>
      <c r="E71" s="3300"/>
      <c r="F71" s="1036">
        <f>'201'!T28</f>
        <v>0</v>
      </c>
      <c r="G71" s="14" t="str">
        <f>IF(F71='201'!T28," ","Problem:Must agree to worksheet 201")</f>
        <v xml:space="preserve"> </v>
      </c>
      <c r="H71" s="1079">
        <v>0</v>
      </c>
      <c r="I71" s="1079">
        <v>0</v>
      </c>
      <c r="J71" s="1079">
        <v>0</v>
      </c>
      <c r="K71" s="1079">
        <v>0</v>
      </c>
      <c r="L71" s="1079">
        <v>0</v>
      </c>
      <c r="M71" s="1079">
        <v>0</v>
      </c>
      <c r="N71" s="1079">
        <v>0</v>
      </c>
      <c r="O71" s="1079">
        <v>0</v>
      </c>
      <c r="P71" s="1079">
        <v>0</v>
      </c>
      <c r="Q71" s="1079">
        <v>0</v>
      </c>
      <c r="R71" s="1079">
        <v>0</v>
      </c>
      <c r="S71" s="1079">
        <v>0</v>
      </c>
      <c r="T71" t="str">
        <f t="shared" ref="T71:T81" si="7">IF(SUM(H71:S71)=F71,"OK ","Problem: sum of amts keyed for each agency in col H through S must tie to total on combined worksheet")</f>
        <v xml:space="preserve">OK </v>
      </c>
      <c r="U71" s="2377"/>
    </row>
    <row r="72" spans="1:25" x14ac:dyDescent="0.2">
      <c r="A72" s="1129">
        <v>1540</v>
      </c>
      <c r="B72" s="3300" t="s">
        <v>1495</v>
      </c>
      <c r="C72" s="3300"/>
      <c r="D72" s="3300"/>
      <c r="E72" s="3300"/>
      <c r="F72" s="1036">
        <f>'201'!T29</f>
        <v>0</v>
      </c>
      <c r="G72" s="14" t="str">
        <f>IF(F72='201'!T29," ","Problem:Must agree to worksheet 201")</f>
        <v xml:space="preserve"> </v>
      </c>
      <c r="H72" s="1079">
        <v>0</v>
      </c>
      <c r="I72" s="1079">
        <v>0</v>
      </c>
      <c r="J72" s="1079">
        <v>0</v>
      </c>
      <c r="K72" s="1079">
        <v>0</v>
      </c>
      <c r="L72" s="1079">
        <v>0</v>
      </c>
      <c r="M72" s="1079">
        <v>0</v>
      </c>
      <c r="N72" s="1079">
        <v>0</v>
      </c>
      <c r="O72" s="1079">
        <v>0</v>
      </c>
      <c r="P72" s="1079">
        <v>0</v>
      </c>
      <c r="Q72" s="1079">
        <v>0</v>
      </c>
      <c r="R72" s="1079">
        <v>0</v>
      </c>
      <c r="S72" s="1079">
        <v>0</v>
      </c>
      <c r="T72" t="str">
        <f t="shared" si="7"/>
        <v xml:space="preserve">OK </v>
      </c>
      <c r="U72" s="2377"/>
    </row>
    <row r="73" spans="1:25" x14ac:dyDescent="0.2">
      <c r="A73" s="1129">
        <v>1550</v>
      </c>
      <c r="B73" s="3300" t="s">
        <v>1496</v>
      </c>
      <c r="C73" s="3300"/>
      <c r="D73" s="3300"/>
      <c r="E73" s="3300"/>
      <c r="F73" s="1036">
        <f>'201'!T30</f>
        <v>0</v>
      </c>
      <c r="G73" s="14" t="str">
        <f>IF(F73='201'!T30," ","Problem:Must agree to worksheet 201")</f>
        <v xml:space="preserve"> </v>
      </c>
      <c r="H73" s="1079">
        <v>0</v>
      </c>
      <c r="I73" s="1079">
        <v>0</v>
      </c>
      <c r="J73" s="1079">
        <v>0</v>
      </c>
      <c r="K73" s="1079">
        <v>0</v>
      </c>
      <c r="L73" s="1079">
        <v>0</v>
      </c>
      <c r="M73" s="1079">
        <v>0</v>
      </c>
      <c r="N73" s="1079">
        <v>0</v>
      </c>
      <c r="O73" s="1079">
        <v>0</v>
      </c>
      <c r="P73" s="1079">
        <v>0</v>
      </c>
      <c r="Q73" s="1079">
        <v>0</v>
      </c>
      <c r="R73" s="1079">
        <v>0</v>
      </c>
      <c r="S73" s="1079">
        <v>0</v>
      </c>
      <c r="T73" t="str">
        <f t="shared" si="7"/>
        <v xml:space="preserve">OK </v>
      </c>
      <c r="U73" s="2377"/>
    </row>
    <row r="74" spans="1:25" s="2515" customFormat="1" x14ac:dyDescent="0.2">
      <c r="A74" s="1129">
        <v>1481</v>
      </c>
      <c r="B74" s="3316" t="s">
        <v>5523</v>
      </c>
      <c r="C74" s="3316"/>
      <c r="D74" s="3316"/>
      <c r="E74" s="3316"/>
      <c r="F74" s="1036">
        <f>'201'!T37</f>
        <v>0</v>
      </c>
      <c r="G74" s="14"/>
      <c r="H74" s="1079">
        <v>0</v>
      </c>
      <c r="I74" s="1079">
        <v>0</v>
      </c>
      <c r="J74" s="1079">
        <v>0</v>
      </c>
      <c r="K74" s="1079">
        <v>0</v>
      </c>
      <c r="L74" s="1079">
        <v>0</v>
      </c>
      <c r="M74" s="1079">
        <v>0</v>
      </c>
      <c r="N74" s="1079">
        <v>0</v>
      </c>
      <c r="O74" s="1079">
        <v>0</v>
      </c>
      <c r="P74" s="1079">
        <v>0</v>
      </c>
      <c r="Q74" s="1079"/>
      <c r="R74" s="1079"/>
      <c r="S74" s="1079"/>
      <c r="T74" s="2515" t="str">
        <f t="shared" si="7"/>
        <v xml:space="preserve">OK </v>
      </c>
      <c r="U74" s="2377"/>
      <c r="V74" s="2517"/>
      <c r="W74" s="2517"/>
      <c r="X74" s="2517"/>
      <c r="Y74" s="2517"/>
    </row>
    <row r="75" spans="1:25" s="2515" customFormat="1" x14ac:dyDescent="0.2">
      <c r="A75" s="1129">
        <v>1521</v>
      </c>
      <c r="B75" s="3316" t="s">
        <v>5522</v>
      </c>
      <c r="C75" s="3316"/>
      <c r="D75" s="3316"/>
      <c r="E75" s="3316"/>
      <c r="F75" s="1036">
        <f>'201'!T38</f>
        <v>0</v>
      </c>
      <c r="G75" s="14"/>
      <c r="H75" s="1079">
        <v>0</v>
      </c>
      <c r="I75" s="1079">
        <v>0</v>
      </c>
      <c r="J75" s="1079">
        <v>0</v>
      </c>
      <c r="K75" s="1079">
        <v>0</v>
      </c>
      <c r="L75" s="1079">
        <v>0</v>
      </c>
      <c r="M75" s="1079">
        <v>0</v>
      </c>
      <c r="N75" s="1079">
        <v>0</v>
      </c>
      <c r="O75" s="1079">
        <v>0</v>
      </c>
      <c r="P75" s="1079">
        <v>0</v>
      </c>
      <c r="Q75" s="1079"/>
      <c r="R75" s="1079"/>
      <c r="S75" s="1079"/>
      <c r="T75" s="2515" t="str">
        <f t="shared" si="7"/>
        <v xml:space="preserve">OK </v>
      </c>
      <c r="U75" s="2377"/>
      <c r="V75" s="2517"/>
      <c r="W75" s="2517"/>
      <c r="X75" s="2517"/>
      <c r="Y75" s="2517"/>
    </row>
    <row r="76" spans="1:25" s="2515" customFormat="1" x14ac:dyDescent="0.2">
      <c r="A76" s="1129">
        <v>1531</v>
      </c>
      <c r="B76" s="3316" t="s">
        <v>5520</v>
      </c>
      <c r="C76" s="3316"/>
      <c r="D76" s="3316"/>
      <c r="E76" s="3316"/>
      <c r="F76" s="1036">
        <f>'201'!T39</f>
        <v>0</v>
      </c>
      <c r="G76" s="14"/>
      <c r="H76" s="1079">
        <v>0</v>
      </c>
      <c r="I76" s="1079">
        <v>0</v>
      </c>
      <c r="J76" s="1079">
        <v>0</v>
      </c>
      <c r="K76" s="1079">
        <v>0</v>
      </c>
      <c r="L76" s="1079">
        <v>0</v>
      </c>
      <c r="M76" s="1079">
        <v>0</v>
      </c>
      <c r="N76" s="1079">
        <v>0</v>
      </c>
      <c r="O76" s="1079">
        <v>0</v>
      </c>
      <c r="P76" s="1079">
        <v>0</v>
      </c>
      <c r="Q76" s="1079"/>
      <c r="R76" s="1079"/>
      <c r="S76" s="1079"/>
      <c r="T76" s="2515" t="str">
        <f t="shared" si="7"/>
        <v xml:space="preserve">OK </v>
      </c>
      <c r="U76" s="2377"/>
      <c r="V76" s="2517"/>
      <c r="W76" s="2517"/>
      <c r="X76" s="2517"/>
      <c r="Y76" s="2517"/>
    </row>
    <row r="77" spans="1:25" s="2515" customFormat="1" x14ac:dyDescent="0.2">
      <c r="A77" s="1129">
        <v>1551</v>
      </c>
      <c r="B77" s="3316" t="s">
        <v>5521</v>
      </c>
      <c r="C77" s="3316"/>
      <c r="D77" s="3316"/>
      <c r="E77" s="3316"/>
      <c r="F77" s="1036">
        <f>'201'!T40</f>
        <v>0</v>
      </c>
      <c r="G77" s="14"/>
      <c r="H77" s="1079">
        <v>0</v>
      </c>
      <c r="I77" s="1079">
        <v>0</v>
      </c>
      <c r="J77" s="1079">
        <v>0</v>
      </c>
      <c r="K77" s="1079">
        <v>0</v>
      </c>
      <c r="L77" s="1079">
        <v>0</v>
      </c>
      <c r="M77" s="1079">
        <v>0</v>
      </c>
      <c r="N77" s="1079">
        <v>0</v>
      </c>
      <c r="O77" s="1079">
        <v>0</v>
      </c>
      <c r="P77" s="1079">
        <v>0</v>
      </c>
      <c r="Q77" s="1079"/>
      <c r="R77" s="1079"/>
      <c r="S77" s="1079"/>
      <c r="T77" s="2515" t="str">
        <f t="shared" si="7"/>
        <v xml:space="preserve">OK </v>
      </c>
      <c r="U77" s="2377"/>
      <c r="V77" s="2517"/>
      <c r="W77" s="2517"/>
      <c r="X77" s="2517"/>
      <c r="Y77" s="2517"/>
    </row>
    <row r="78" spans="1:25" x14ac:dyDescent="0.2">
      <c r="A78" s="1129">
        <v>1553</v>
      </c>
      <c r="B78" s="3300" t="s">
        <v>1497</v>
      </c>
      <c r="C78" s="3300"/>
      <c r="D78" s="3300"/>
      <c r="E78" s="3300"/>
      <c r="F78" s="1036">
        <f>'201'!T33</f>
        <v>0</v>
      </c>
      <c r="G78" s="14" t="str">
        <f>IF(F78='201'!T33," ","Problem:Must agree to worksheet 201")</f>
        <v xml:space="preserve"> </v>
      </c>
      <c r="H78" s="1079">
        <v>0</v>
      </c>
      <c r="I78" s="1079">
        <v>0</v>
      </c>
      <c r="J78" s="1079">
        <v>0</v>
      </c>
      <c r="K78" s="1079">
        <v>0</v>
      </c>
      <c r="L78" s="1079">
        <v>0</v>
      </c>
      <c r="M78" s="1079">
        <v>0</v>
      </c>
      <c r="N78" s="1079">
        <v>0</v>
      </c>
      <c r="O78" s="1079">
        <v>0</v>
      </c>
      <c r="P78" s="1079">
        <v>0</v>
      </c>
      <c r="Q78" s="1079">
        <v>0</v>
      </c>
      <c r="R78" s="1079">
        <v>0</v>
      </c>
      <c r="S78" s="1079">
        <v>0</v>
      </c>
      <c r="T78" t="str">
        <f t="shared" si="7"/>
        <v xml:space="preserve">OK </v>
      </c>
      <c r="U78" s="2377"/>
    </row>
    <row r="79" spans="1:25" x14ac:dyDescent="0.2">
      <c r="A79" s="1129">
        <v>1555</v>
      </c>
      <c r="B79" s="3300" t="s">
        <v>1498</v>
      </c>
      <c r="C79" s="3300"/>
      <c r="D79" s="3300"/>
      <c r="E79" s="3300"/>
      <c r="F79" s="1036">
        <f>'201'!T34</f>
        <v>0</v>
      </c>
      <c r="G79" s="14" t="str">
        <f>IF(F79='201'!T34," ","Problem:Must agree to worksheet 201")</f>
        <v xml:space="preserve"> </v>
      </c>
      <c r="H79" s="1079">
        <v>0</v>
      </c>
      <c r="I79" s="1079">
        <v>0</v>
      </c>
      <c r="J79" s="1079">
        <v>0</v>
      </c>
      <c r="K79" s="1079">
        <v>0</v>
      </c>
      <c r="L79" s="1079">
        <v>0</v>
      </c>
      <c r="M79" s="1079">
        <v>0</v>
      </c>
      <c r="N79" s="1079">
        <v>0</v>
      </c>
      <c r="O79" s="1079">
        <v>0</v>
      </c>
      <c r="P79" s="1079">
        <v>0</v>
      </c>
      <c r="Q79" s="1079">
        <v>0</v>
      </c>
      <c r="R79" s="1079">
        <v>0</v>
      </c>
      <c r="S79" s="1079">
        <v>0</v>
      </c>
      <c r="T79" t="str">
        <f t="shared" si="7"/>
        <v xml:space="preserve">OK </v>
      </c>
      <c r="U79" s="2377"/>
    </row>
    <row r="80" spans="1:25" x14ac:dyDescent="0.2">
      <c r="A80" s="1129">
        <v>1560</v>
      </c>
      <c r="B80" s="3300" t="s">
        <v>1809</v>
      </c>
      <c r="C80" s="3300"/>
      <c r="D80" s="3300"/>
      <c r="E80" s="3300"/>
      <c r="F80" s="1036">
        <f>'201'!T35</f>
        <v>0</v>
      </c>
      <c r="G80" s="14" t="str">
        <f>IF(F80='201'!T35," ","Problem:Must agree to worksheet 201")</f>
        <v xml:space="preserve"> </v>
      </c>
      <c r="H80" s="1079">
        <v>0</v>
      </c>
      <c r="I80" s="1079">
        <v>0</v>
      </c>
      <c r="J80" s="1079">
        <v>0</v>
      </c>
      <c r="K80" s="1079">
        <v>0</v>
      </c>
      <c r="L80" s="1079">
        <v>0</v>
      </c>
      <c r="M80" s="1079">
        <v>0</v>
      </c>
      <c r="N80" s="1079">
        <v>0</v>
      </c>
      <c r="O80" s="1079">
        <v>0</v>
      </c>
      <c r="P80" s="1079">
        <v>0</v>
      </c>
      <c r="Q80" s="1079">
        <v>0</v>
      </c>
      <c r="R80" s="1079">
        <v>0</v>
      </c>
      <c r="S80" s="1079">
        <v>0</v>
      </c>
      <c r="T80" t="str">
        <f t="shared" si="7"/>
        <v xml:space="preserve">OK </v>
      </c>
      <c r="U80" s="2377"/>
    </row>
    <row r="81" spans="1:21" x14ac:dyDescent="0.2">
      <c r="A81" s="1129">
        <v>1570</v>
      </c>
      <c r="B81" s="3206" t="s">
        <v>1744</v>
      </c>
      <c r="C81" s="3206"/>
      <c r="D81" s="3206"/>
      <c r="E81" s="3206"/>
      <c r="F81" s="1048">
        <f>-'210'!Q31</f>
        <v>0</v>
      </c>
      <c r="G81" s="14" t="str">
        <f>IF(F81=-'210'!Q31," ","Problem:Must agree to total accumulated depreciation per worksheet 210 cell O25, entered here as a negative number")</f>
        <v xml:space="preserve"> </v>
      </c>
      <c r="H81" s="1079">
        <v>0</v>
      </c>
      <c r="I81" s="1079">
        <v>0</v>
      </c>
      <c r="J81" s="1079">
        <v>0</v>
      </c>
      <c r="K81" s="1079">
        <v>0</v>
      </c>
      <c r="L81" s="1079">
        <v>0</v>
      </c>
      <c r="M81" s="1079">
        <v>0</v>
      </c>
      <c r="N81" s="1079">
        <v>0</v>
      </c>
      <c r="O81" s="1079">
        <v>0</v>
      </c>
      <c r="P81" s="1079">
        <v>0</v>
      </c>
      <c r="Q81" s="1079">
        <v>0</v>
      </c>
      <c r="R81" s="1079">
        <v>0</v>
      </c>
      <c r="S81" s="1079">
        <v>0</v>
      </c>
      <c r="T81" t="str">
        <f t="shared" si="7"/>
        <v xml:space="preserve">OK </v>
      </c>
      <c r="U81" s="2377"/>
    </row>
    <row r="82" spans="1:21" x14ac:dyDescent="0.2">
      <c r="A82" s="785"/>
      <c r="B82" s="3206" t="s">
        <v>1416</v>
      </c>
      <c r="C82" s="3206"/>
      <c r="D82" s="3206"/>
      <c r="E82" s="3206"/>
      <c r="F82" s="651">
        <f>SUM(F70:F81)</f>
        <v>0</v>
      </c>
      <c r="G82" s="1033"/>
      <c r="H82" s="651">
        <f t="shared" ref="H82:M82" si="8">SUM(H70:H81)</f>
        <v>0</v>
      </c>
      <c r="I82" s="651">
        <f t="shared" si="8"/>
        <v>0</v>
      </c>
      <c r="J82" s="651">
        <f t="shared" si="8"/>
        <v>0</v>
      </c>
      <c r="K82" s="651">
        <f t="shared" si="8"/>
        <v>0</v>
      </c>
      <c r="L82" s="651">
        <f t="shared" si="8"/>
        <v>0</v>
      </c>
      <c r="M82" s="651">
        <f t="shared" si="8"/>
        <v>0</v>
      </c>
      <c r="N82" s="651">
        <f t="shared" ref="N82:S82" si="9">SUM(N70:N81)</f>
        <v>0</v>
      </c>
      <c r="O82" s="651">
        <f t="shared" si="9"/>
        <v>0</v>
      </c>
      <c r="P82" s="651">
        <f t="shared" si="9"/>
        <v>0</v>
      </c>
      <c r="Q82" s="651">
        <f t="shared" si="9"/>
        <v>0</v>
      </c>
      <c r="R82" s="651">
        <f t="shared" si="9"/>
        <v>0</v>
      </c>
      <c r="S82" s="651">
        <f t="shared" si="9"/>
        <v>0</v>
      </c>
      <c r="T82" t="str">
        <f>IF(SUM(H82:S82)=F82,"OK ","Crossfoot error: sum of Col H thru S must equal total in Col F")</f>
        <v xml:space="preserve">OK </v>
      </c>
      <c r="U82" s="2377"/>
    </row>
    <row r="83" spans="1:21" x14ac:dyDescent="0.2">
      <c r="A83" s="675"/>
      <c r="B83" s="3295" t="s">
        <v>784</v>
      </c>
      <c r="C83" s="3295"/>
      <c r="D83" s="3295"/>
      <c r="E83" s="3295"/>
      <c r="F83" s="661">
        <f>SUM(F41:F82)-F68-F82</f>
        <v>0</v>
      </c>
      <c r="H83" s="661">
        <f t="shared" ref="H83:S83" si="10">SUM(H41:H82)-H68-H82</f>
        <v>0</v>
      </c>
      <c r="I83" s="661">
        <f t="shared" si="10"/>
        <v>0</v>
      </c>
      <c r="J83" s="661">
        <f t="shared" si="10"/>
        <v>0</v>
      </c>
      <c r="K83" s="661">
        <f t="shared" si="10"/>
        <v>0</v>
      </c>
      <c r="L83" s="661">
        <f t="shared" si="10"/>
        <v>0</v>
      </c>
      <c r="M83" s="661">
        <f t="shared" si="10"/>
        <v>0</v>
      </c>
      <c r="N83" s="661">
        <f t="shared" si="10"/>
        <v>0</v>
      </c>
      <c r="O83" s="661">
        <f t="shared" si="10"/>
        <v>0</v>
      </c>
      <c r="P83" s="661">
        <f t="shared" si="10"/>
        <v>0</v>
      </c>
      <c r="Q83" s="661">
        <f t="shared" si="10"/>
        <v>0</v>
      </c>
      <c r="R83" s="661">
        <f t="shared" si="10"/>
        <v>0</v>
      </c>
      <c r="S83" s="661">
        <f t="shared" si="10"/>
        <v>0</v>
      </c>
      <c r="T83" t="str">
        <f>IF(SUM(H83:S83)=F83,"OK ","Crossfoot error: sum of Col H thru S must equal total in Col F")</f>
        <v xml:space="preserve">OK </v>
      </c>
      <c r="U83" s="2377"/>
    </row>
    <row r="84" spans="1:21" x14ac:dyDescent="0.2">
      <c r="H84" s="649"/>
      <c r="I84" s="649"/>
      <c r="J84" s="649"/>
      <c r="K84" s="649"/>
      <c r="L84" s="649"/>
      <c r="M84" s="649"/>
      <c r="N84" s="649"/>
      <c r="O84" s="649"/>
      <c r="P84" s="649"/>
      <c r="Q84" s="649"/>
      <c r="R84" s="649"/>
      <c r="S84" s="649"/>
      <c r="U84" s="2377"/>
    </row>
    <row r="85" spans="1:21" x14ac:dyDescent="0.2">
      <c r="B85" s="3295" t="s">
        <v>785</v>
      </c>
      <c r="C85" s="3295"/>
      <c r="D85" s="3295"/>
      <c r="E85" s="3295"/>
      <c r="F85" s="651">
        <f>F83+F38</f>
        <v>0</v>
      </c>
      <c r="H85" s="651">
        <f t="shared" ref="H85:S85" si="11">H83+H38</f>
        <v>0</v>
      </c>
      <c r="I85" s="651">
        <f t="shared" si="11"/>
        <v>0</v>
      </c>
      <c r="J85" s="651">
        <f t="shared" si="11"/>
        <v>0</v>
      </c>
      <c r="K85" s="651">
        <f t="shared" si="11"/>
        <v>0</v>
      </c>
      <c r="L85" s="651">
        <f t="shared" si="11"/>
        <v>0</v>
      </c>
      <c r="M85" s="651">
        <f t="shared" si="11"/>
        <v>0</v>
      </c>
      <c r="N85" s="651">
        <f t="shared" si="11"/>
        <v>0</v>
      </c>
      <c r="O85" s="651">
        <f t="shared" si="11"/>
        <v>0</v>
      </c>
      <c r="P85" s="651">
        <f t="shared" si="11"/>
        <v>0</v>
      </c>
      <c r="Q85" s="651">
        <f t="shared" si="11"/>
        <v>0</v>
      </c>
      <c r="R85" s="651">
        <f t="shared" si="11"/>
        <v>0</v>
      </c>
      <c r="S85" s="651">
        <f t="shared" si="11"/>
        <v>0</v>
      </c>
      <c r="T85" t="str">
        <f>IF(SUM(H85:S85)=F85,"OK ","Crossfoot error: sum of Col H thru S must equal total in Col F")</f>
        <v xml:space="preserve">OK </v>
      </c>
      <c r="U85" s="2377"/>
    </row>
    <row r="86" spans="1:21" x14ac:dyDescent="0.2">
      <c r="B86" s="691"/>
      <c r="C86" s="691"/>
      <c r="D86" s="691"/>
      <c r="E86" s="691"/>
      <c r="H86" s="649"/>
      <c r="I86" s="649"/>
      <c r="J86" s="649"/>
      <c r="K86" s="649"/>
      <c r="L86" s="649"/>
      <c r="M86" s="649"/>
      <c r="N86" s="649"/>
      <c r="O86" s="649"/>
      <c r="P86" s="649"/>
      <c r="Q86" s="649"/>
      <c r="R86" s="649"/>
      <c r="S86" s="649"/>
      <c r="U86" s="2377"/>
    </row>
    <row r="87" spans="1:21" x14ac:dyDescent="0.2">
      <c r="B87" s="783" t="s">
        <v>1929</v>
      </c>
      <c r="H87" s="649"/>
      <c r="I87" s="649"/>
      <c r="J87" s="649"/>
      <c r="K87" s="649"/>
      <c r="L87" s="649"/>
      <c r="M87" s="649"/>
      <c r="N87" s="649"/>
      <c r="O87" s="649"/>
      <c r="P87" s="649"/>
      <c r="Q87" s="649"/>
      <c r="R87" s="649"/>
      <c r="S87" s="649"/>
      <c r="U87" s="2377"/>
    </row>
    <row r="88" spans="1:21" x14ac:dyDescent="0.2">
      <c r="A88" s="1401">
        <v>1234</v>
      </c>
      <c r="B88" s="3206" t="s">
        <v>1930</v>
      </c>
      <c r="C88" s="3206"/>
      <c r="D88" s="3206"/>
      <c r="E88" s="3206"/>
      <c r="F88" s="649">
        <f t="shared" ref="F88:F94" si="12">SUM(H88:S88)</f>
        <v>0</v>
      </c>
      <c r="H88" s="659">
        <v>0</v>
      </c>
      <c r="I88" s="659">
        <v>0</v>
      </c>
      <c r="J88" s="659">
        <v>0</v>
      </c>
      <c r="K88" s="659">
        <v>0</v>
      </c>
      <c r="L88" s="659">
        <v>0</v>
      </c>
      <c r="M88" s="659">
        <v>0</v>
      </c>
      <c r="N88" s="659">
        <v>0</v>
      </c>
      <c r="O88" s="659">
        <v>0</v>
      </c>
      <c r="P88" s="659">
        <v>0</v>
      </c>
      <c r="Q88" s="659">
        <v>0</v>
      </c>
      <c r="R88" s="659">
        <v>0</v>
      </c>
      <c r="S88" s="659">
        <v>0</v>
      </c>
      <c r="U88" s="2377">
        <v>61100002</v>
      </c>
    </row>
    <row r="89" spans="1:21" x14ac:dyDescent="0.2">
      <c r="A89" s="1401">
        <v>1236</v>
      </c>
      <c r="B89" s="3206" t="s">
        <v>3585</v>
      </c>
      <c r="C89" s="3206"/>
      <c r="D89" s="3206"/>
      <c r="E89" s="3206"/>
      <c r="F89" s="649">
        <f t="shared" si="12"/>
        <v>0</v>
      </c>
      <c r="H89" s="659">
        <v>0</v>
      </c>
      <c r="I89" s="659">
        <v>0</v>
      </c>
      <c r="J89" s="659">
        <v>0</v>
      </c>
      <c r="K89" s="659">
        <v>0</v>
      </c>
      <c r="L89" s="659">
        <v>0</v>
      </c>
      <c r="M89" s="659">
        <v>0</v>
      </c>
      <c r="N89" s="659">
        <v>0</v>
      </c>
      <c r="O89" s="659">
        <v>0</v>
      </c>
      <c r="P89" s="659">
        <v>0</v>
      </c>
      <c r="Q89" s="659">
        <v>0</v>
      </c>
      <c r="R89" s="659">
        <v>0</v>
      </c>
      <c r="S89" s="659">
        <v>0</v>
      </c>
      <c r="U89" s="2377">
        <v>61100003</v>
      </c>
    </row>
    <row r="90" spans="1:21" x14ac:dyDescent="0.2">
      <c r="A90" s="1401">
        <v>1242</v>
      </c>
      <c r="B90" s="3206" t="s">
        <v>4608</v>
      </c>
      <c r="C90" s="3206"/>
      <c r="D90" s="3206"/>
      <c r="E90" s="3206"/>
      <c r="F90" s="649">
        <f>SUM(H90:S90)</f>
        <v>0</v>
      </c>
      <c r="H90" s="659">
        <v>0</v>
      </c>
      <c r="I90" s="659">
        <v>0</v>
      </c>
      <c r="J90" s="659">
        <v>0</v>
      </c>
      <c r="K90" s="659">
        <v>0</v>
      </c>
      <c r="L90" s="659">
        <v>0</v>
      </c>
      <c r="M90" s="659">
        <v>0</v>
      </c>
      <c r="N90" s="659">
        <v>0</v>
      </c>
      <c r="O90" s="659">
        <v>0</v>
      </c>
      <c r="P90" s="659">
        <v>0</v>
      </c>
      <c r="Q90" s="659">
        <v>0</v>
      </c>
      <c r="R90" s="659">
        <v>0</v>
      </c>
      <c r="S90" s="659">
        <v>0</v>
      </c>
      <c r="U90" s="2377">
        <v>61100007</v>
      </c>
    </row>
    <row r="91" spans="1:21" x14ac:dyDescent="0.2">
      <c r="A91" s="1401">
        <v>1237</v>
      </c>
      <c r="B91" s="3206" t="s">
        <v>3870</v>
      </c>
      <c r="C91" s="3206"/>
      <c r="D91" s="3206"/>
      <c r="E91" s="3206"/>
      <c r="F91" s="649">
        <f t="shared" si="12"/>
        <v>0</v>
      </c>
      <c r="H91" s="659">
        <v>0</v>
      </c>
      <c r="I91" s="659">
        <v>0</v>
      </c>
      <c r="J91" s="659">
        <v>0</v>
      </c>
      <c r="K91" s="659">
        <v>0</v>
      </c>
      <c r="L91" s="659">
        <v>0</v>
      </c>
      <c r="M91" s="659">
        <v>0</v>
      </c>
      <c r="N91" s="659">
        <v>0</v>
      </c>
      <c r="O91" s="659">
        <v>0</v>
      </c>
      <c r="P91" s="659">
        <v>0</v>
      </c>
      <c r="Q91" s="659">
        <v>0</v>
      </c>
      <c r="R91" s="659">
        <v>0</v>
      </c>
      <c r="S91" s="659">
        <v>0</v>
      </c>
      <c r="U91" s="2377">
        <v>61100008</v>
      </c>
    </row>
    <row r="92" spans="1:21" x14ac:dyDescent="0.2">
      <c r="A92" s="1853">
        <v>1241</v>
      </c>
      <c r="B92" s="3206" t="s">
        <v>4452</v>
      </c>
      <c r="C92" s="3206"/>
      <c r="D92" s="3206"/>
      <c r="E92" s="3206"/>
      <c r="F92" s="649">
        <f t="shared" si="12"/>
        <v>0</v>
      </c>
      <c r="H92" s="659">
        <v>0</v>
      </c>
      <c r="I92" s="659">
        <v>0</v>
      </c>
      <c r="J92" s="659">
        <v>0</v>
      </c>
      <c r="K92" s="659">
        <v>0</v>
      </c>
      <c r="L92" s="659">
        <v>0</v>
      </c>
      <c r="M92" s="659">
        <v>0</v>
      </c>
      <c r="N92" s="659">
        <v>0</v>
      </c>
      <c r="O92" s="659">
        <v>0</v>
      </c>
      <c r="P92" s="659">
        <v>0</v>
      </c>
      <c r="Q92" s="659">
        <v>0</v>
      </c>
      <c r="R92" s="659">
        <v>0</v>
      </c>
      <c r="S92" s="659">
        <v>0</v>
      </c>
      <c r="U92" s="2377">
        <v>61100009</v>
      </c>
    </row>
    <row r="93" spans="1:21" x14ac:dyDescent="0.2">
      <c r="A93" s="1401">
        <v>1238</v>
      </c>
      <c r="B93" s="3206" t="s">
        <v>3877</v>
      </c>
      <c r="C93" s="3206"/>
      <c r="D93" s="3206"/>
      <c r="E93" s="3206"/>
      <c r="F93" s="649">
        <f t="shared" si="12"/>
        <v>0</v>
      </c>
      <c r="H93" s="659">
        <v>0</v>
      </c>
      <c r="I93" s="659">
        <v>0</v>
      </c>
      <c r="J93" s="659">
        <v>0</v>
      </c>
      <c r="K93" s="659">
        <v>0</v>
      </c>
      <c r="L93" s="659">
        <v>0</v>
      </c>
      <c r="M93" s="659">
        <v>0</v>
      </c>
      <c r="N93" s="659">
        <v>0</v>
      </c>
      <c r="O93" s="659">
        <v>0</v>
      </c>
      <c r="P93" s="659">
        <v>0</v>
      </c>
      <c r="Q93" s="659">
        <v>0</v>
      </c>
      <c r="R93" s="659">
        <v>0</v>
      </c>
      <c r="S93" s="659">
        <v>0</v>
      </c>
      <c r="U93" s="2377">
        <v>61100006</v>
      </c>
    </row>
    <row r="94" spans="1:21" x14ac:dyDescent="0.2">
      <c r="A94" s="1401">
        <v>1239</v>
      </c>
      <c r="B94" s="3206" t="s">
        <v>3953</v>
      </c>
      <c r="C94" s="3206"/>
      <c r="D94" s="3206"/>
      <c r="E94" s="3206"/>
      <c r="F94" s="649">
        <f t="shared" si="12"/>
        <v>0</v>
      </c>
      <c r="H94" s="659">
        <v>0</v>
      </c>
      <c r="I94" s="659">
        <v>0</v>
      </c>
      <c r="J94" s="659">
        <v>0</v>
      </c>
      <c r="K94" s="659">
        <v>0</v>
      </c>
      <c r="L94" s="659">
        <v>0</v>
      </c>
      <c r="M94" s="659">
        <v>0</v>
      </c>
      <c r="N94" s="659">
        <v>0</v>
      </c>
      <c r="O94" s="659">
        <v>0</v>
      </c>
      <c r="P94" s="659">
        <v>0</v>
      </c>
      <c r="Q94" s="659">
        <v>0</v>
      </c>
      <c r="R94" s="659">
        <v>0</v>
      </c>
      <c r="S94" s="659">
        <v>0</v>
      </c>
      <c r="U94" s="2381">
        <v>61100004</v>
      </c>
    </row>
    <row r="95" spans="1:21" x14ac:dyDescent="0.2">
      <c r="A95" s="1401"/>
      <c r="B95" s="3295" t="s">
        <v>3559</v>
      </c>
      <c r="C95" s="3295"/>
      <c r="D95" s="3295"/>
      <c r="E95" s="3295"/>
      <c r="F95" s="661">
        <f>SUM(F87:F94)</f>
        <v>0</v>
      </c>
      <c r="H95" s="661">
        <f t="shared" ref="H95:S95" si="13">SUM(H87:H94)</f>
        <v>0</v>
      </c>
      <c r="I95" s="661">
        <f t="shared" si="13"/>
        <v>0</v>
      </c>
      <c r="J95" s="661">
        <f t="shared" si="13"/>
        <v>0</v>
      </c>
      <c r="K95" s="661">
        <f t="shared" si="13"/>
        <v>0</v>
      </c>
      <c r="L95" s="661">
        <f t="shared" si="13"/>
        <v>0</v>
      </c>
      <c r="M95" s="661">
        <f t="shared" si="13"/>
        <v>0</v>
      </c>
      <c r="N95" s="661">
        <f t="shared" si="13"/>
        <v>0</v>
      </c>
      <c r="O95" s="661">
        <f t="shared" si="13"/>
        <v>0</v>
      </c>
      <c r="P95" s="661">
        <f t="shared" si="13"/>
        <v>0</v>
      </c>
      <c r="Q95" s="661">
        <f t="shared" si="13"/>
        <v>0</v>
      </c>
      <c r="R95" s="661">
        <f t="shared" si="13"/>
        <v>0</v>
      </c>
      <c r="S95" s="661">
        <f t="shared" si="13"/>
        <v>0</v>
      </c>
      <c r="U95" s="2377"/>
    </row>
    <row r="96" spans="1:21" x14ac:dyDescent="0.2">
      <c r="U96" s="2377"/>
    </row>
    <row r="97" spans="1:21" x14ac:dyDescent="0.2">
      <c r="B97" s="783" t="s">
        <v>500</v>
      </c>
      <c r="U97" s="2377"/>
    </row>
    <row r="98" spans="1:21" x14ac:dyDescent="0.2">
      <c r="B98" s="784" t="s">
        <v>274</v>
      </c>
      <c r="U98" s="2377"/>
    </row>
    <row r="99" spans="1:21" x14ac:dyDescent="0.2">
      <c r="B99" s="335" t="s">
        <v>275</v>
      </c>
      <c r="C99" s="335"/>
      <c r="U99" s="2377"/>
    </row>
    <row r="100" spans="1:21" x14ac:dyDescent="0.2">
      <c r="A100" s="335">
        <v>1640</v>
      </c>
      <c r="B100" s="3300" t="s">
        <v>786</v>
      </c>
      <c r="C100" s="3300"/>
      <c r="D100" s="3300"/>
      <c r="E100" s="3300"/>
      <c r="F100" s="649">
        <f>SUM(H100:S100)</f>
        <v>0</v>
      </c>
      <c r="H100" s="659">
        <v>0</v>
      </c>
      <c r="I100" s="659">
        <v>0</v>
      </c>
      <c r="J100" s="659">
        <v>0</v>
      </c>
      <c r="K100" s="659">
        <v>0</v>
      </c>
      <c r="L100" s="659">
        <v>0</v>
      </c>
      <c r="M100" s="659">
        <v>0</v>
      </c>
      <c r="N100" s="659">
        <v>0</v>
      </c>
      <c r="O100" s="659">
        <v>0</v>
      </c>
      <c r="P100" s="659">
        <v>0</v>
      </c>
      <c r="Q100" s="659">
        <v>0</v>
      </c>
      <c r="R100" s="659">
        <v>0</v>
      </c>
      <c r="S100" s="659">
        <v>0</v>
      </c>
      <c r="U100" s="2377">
        <v>21110000</v>
      </c>
    </row>
    <row r="101" spans="1:21" x14ac:dyDescent="0.2">
      <c r="A101" s="335">
        <v>1650</v>
      </c>
      <c r="B101" s="3300" t="s">
        <v>815</v>
      </c>
      <c r="C101" s="3300"/>
      <c r="D101" s="3300"/>
      <c r="E101" s="3300"/>
      <c r="F101" s="649">
        <f>SUM(H101:S101)</f>
        <v>0</v>
      </c>
      <c r="H101" s="659">
        <v>0</v>
      </c>
      <c r="I101" s="659">
        <v>0</v>
      </c>
      <c r="J101" s="659">
        <v>0</v>
      </c>
      <c r="K101" s="659">
        <v>0</v>
      </c>
      <c r="L101" s="659">
        <v>0</v>
      </c>
      <c r="M101" s="659">
        <v>0</v>
      </c>
      <c r="N101" s="659">
        <v>0</v>
      </c>
      <c r="O101" s="659">
        <v>0</v>
      </c>
      <c r="P101" s="659">
        <v>0</v>
      </c>
      <c r="Q101" s="659">
        <v>0</v>
      </c>
      <c r="R101" s="659">
        <v>0</v>
      </c>
      <c r="S101" s="659">
        <v>0</v>
      </c>
      <c r="U101" s="2377">
        <v>21121000</v>
      </c>
    </row>
    <row r="102" spans="1:21" x14ac:dyDescent="0.2">
      <c r="A102" s="335">
        <v>1660</v>
      </c>
      <c r="B102" s="3300" t="s">
        <v>816</v>
      </c>
      <c r="C102" s="3300"/>
      <c r="D102" s="3300"/>
      <c r="E102" s="3300"/>
      <c r="F102" s="649">
        <f>SUM(H102:S102)</f>
        <v>0</v>
      </c>
      <c r="H102" s="659">
        <v>0</v>
      </c>
      <c r="I102" s="659">
        <v>0</v>
      </c>
      <c r="J102" s="659">
        <v>0</v>
      </c>
      <c r="K102" s="659">
        <v>0</v>
      </c>
      <c r="L102" s="659">
        <v>0</v>
      </c>
      <c r="M102" s="659">
        <v>0</v>
      </c>
      <c r="N102" s="659">
        <v>0</v>
      </c>
      <c r="O102" s="659">
        <v>0</v>
      </c>
      <c r="P102" s="659">
        <v>0</v>
      </c>
      <c r="Q102" s="659">
        <v>0</v>
      </c>
      <c r="R102" s="659">
        <v>0</v>
      </c>
      <c r="S102" s="659">
        <v>0</v>
      </c>
      <c r="U102" s="2377">
        <v>21131000</v>
      </c>
    </row>
    <row r="103" spans="1:21" x14ac:dyDescent="0.2">
      <c r="A103" s="335">
        <v>1670</v>
      </c>
      <c r="B103" s="3300" t="s">
        <v>700</v>
      </c>
      <c r="C103" s="3300"/>
      <c r="D103" s="3300"/>
      <c r="E103" s="3300"/>
      <c r="F103" s="649">
        <f>SUM(H103:S103)</f>
        <v>0</v>
      </c>
      <c r="H103" s="659">
        <v>0</v>
      </c>
      <c r="I103" s="659">
        <v>0</v>
      </c>
      <c r="J103" s="659">
        <v>0</v>
      </c>
      <c r="K103" s="659">
        <v>0</v>
      </c>
      <c r="L103" s="659">
        <v>0</v>
      </c>
      <c r="M103" s="659">
        <v>0</v>
      </c>
      <c r="N103" s="659">
        <v>0</v>
      </c>
      <c r="O103" s="659">
        <v>0</v>
      </c>
      <c r="P103" s="659">
        <v>0</v>
      </c>
      <c r="Q103" s="659">
        <v>0</v>
      </c>
      <c r="R103" s="659">
        <v>0</v>
      </c>
      <c r="S103" s="659">
        <v>0</v>
      </c>
      <c r="U103" s="2377">
        <v>21523000</v>
      </c>
    </row>
    <row r="104" spans="1:21" x14ac:dyDescent="0.2">
      <c r="A104" s="335">
        <v>1840</v>
      </c>
      <c r="B104" s="3206" t="s">
        <v>278</v>
      </c>
      <c r="C104" s="3206"/>
      <c r="D104" s="3206"/>
      <c r="E104" s="3206"/>
      <c r="F104" s="649">
        <f>SUM(H104:S104)</f>
        <v>0</v>
      </c>
      <c r="H104" s="659">
        <v>0</v>
      </c>
      <c r="I104" s="659">
        <v>0</v>
      </c>
      <c r="J104" s="659">
        <v>0</v>
      </c>
      <c r="K104" s="659">
        <v>0</v>
      </c>
      <c r="L104" s="659">
        <v>0</v>
      </c>
      <c r="M104" s="659">
        <v>0</v>
      </c>
      <c r="N104" s="659">
        <v>0</v>
      </c>
      <c r="O104" s="659">
        <v>0</v>
      </c>
      <c r="P104" s="659">
        <v>0</v>
      </c>
      <c r="Q104" s="659">
        <v>0</v>
      </c>
      <c r="R104" s="659">
        <v>0</v>
      </c>
      <c r="S104" s="659">
        <v>0</v>
      </c>
      <c r="U104" s="2377">
        <v>21621000</v>
      </c>
    </row>
    <row r="105" spans="1:21" x14ac:dyDescent="0.2">
      <c r="A105" s="335"/>
      <c r="B105" s="335" t="s">
        <v>1423</v>
      </c>
      <c r="C105" s="335"/>
      <c r="D105" s="335"/>
      <c r="E105" s="335"/>
      <c r="H105" s="649"/>
      <c r="I105" s="649"/>
      <c r="J105" s="649"/>
      <c r="K105" s="649"/>
      <c r="L105" s="649"/>
      <c r="M105" s="649"/>
      <c r="N105" s="649"/>
      <c r="O105" s="649"/>
      <c r="P105" s="649"/>
      <c r="Q105" s="649"/>
      <c r="R105" s="649"/>
      <c r="S105" s="649"/>
      <c r="U105" s="2377"/>
    </row>
    <row r="106" spans="1:21" x14ac:dyDescent="0.2">
      <c r="A106" s="1129">
        <v>1788</v>
      </c>
      <c r="B106" s="3300" t="s">
        <v>4629</v>
      </c>
      <c r="C106" s="3300"/>
      <c r="D106" s="3300"/>
      <c r="E106" s="3300"/>
      <c r="F106" s="1036">
        <f>'310'!M37</f>
        <v>0</v>
      </c>
      <c r="G106" t="str">
        <f>IF(F106='310'!M37," ","Problem: Must agree to ws 310 ")</f>
        <v xml:space="preserve"> </v>
      </c>
      <c r="H106" s="1079">
        <v>0</v>
      </c>
      <c r="I106" s="1079">
        <v>0</v>
      </c>
      <c r="J106" s="1079">
        <v>0</v>
      </c>
      <c r="K106" s="1079">
        <v>0</v>
      </c>
      <c r="L106" s="1079">
        <v>0</v>
      </c>
      <c r="M106" s="1079">
        <v>0</v>
      </c>
      <c r="N106" s="1079">
        <v>0</v>
      </c>
      <c r="O106" s="1079">
        <v>0</v>
      </c>
      <c r="P106" s="1079">
        <v>0</v>
      </c>
      <c r="Q106" s="1079">
        <v>0</v>
      </c>
      <c r="R106" s="1079">
        <v>0</v>
      </c>
      <c r="S106" s="1079">
        <v>0</v>
      </c>
      <c r="T106" t="str">
        <f t="shared" ref="T106:T111" si="14">IF(SUM(H106:S106)=F106,"OK ","Problem: sum of amts keyed for each agency in col H through S must tie to total on combined worksheet")</f>
        <v xml:space="preserve">OK </v>
      </c>
      <c r="U106" s="2377"/>
    </row>
    <row r="107" spans="1:21" x14ac:dyDescent="0.2">
      <c r="A107" s="1129">
        <v>1785</v>
      </c>
      <c r="B107" s="3300" t="s">
        <v>1499</v>
      </c>
      <c r="C107" s="3300"/>
      <c r="D107" s="3300"/>
      <c r="E107" s="3300"/>
      <c r="F107" s="1036">
        <f>'310'!M38</f>
        <v>0</v>
      </c>
      <c r="G107" t="str">
        <f>IF(F107='310'!M38," ","Problem: Must agree to ws 310 ")</f>
        <v xml:space="preserve"> </v>
      </c>
      <c r="H107" s="1079">
        <v>0</v>
      </c>
      <c r="I107" s="1079">
        <v>0</v>
      </c>
      <c r="J107" s="1079">
        <v>0</v>
      </c>
      <c r="K107" s="1079">
        <v>0</v>
      </c>
      <c r="L107" s="1079">
        <v>0</v>
      </c>
      <c r="M107" s="1079">
        <v>0</v>
      </c>
      <c r="N107" s="1079">
        <v>0</v>
      </c>
      <c r="O107" s="1079">
        <v>0</v>
      </c>
      <c r="P107" s="1079">
        <v>0</v>
      </c>
      <c r="Q107" s="1079">
        <v>0</v>
      </c>
      <c r="R107" s="1079">
        <v>0</v>
      </c>
      <c r="S107" s="1079">
        <v>0</v>
      </c>
      <c r="T107" t="str">
        <f t="shared" si="14"/>
        <v xml:space="preserve">OK </v>
      </c>
      <c r="U107" s="2377"/>
    </row>
    <row r="108" spans="1:21" x14ac:dyDescent="0.2">
      <c r="A108" s="1988">
        <v>1790</v>
      </c>
      <c r="B108" s="3300" t="s">
        <v>4630</v>
      </c>
      <c r="C108" s="3300"/>
      <c r="D108" s="3300"/>
      <c r="E108" s="3300"/>
      <c r="F108" s="1036">
        <f>'310'!M39</f>
        <v>0</v>
      </c>
      <c r="G108" t="str">
        <f>IF(F108='310'!M39," ","Problem: Must agree to ws 310 ")</f>
        <v xml:space="preserve"> </v>
      </c>
      <c r="H108" s="1079">
        <v>0</v>
      </c>
      <c r="I108" s="1079">
        <v>0</v>
      </c>
      <c r="J108" s="1079">
        <v>0</v>
      </c>
      <c r="K108" s="1079">
        <v>0</v>
      </c>
      <c r="L108" s="1079">
        <v>0</v>
      </c>
      <c r="M108" s="1079">
        <v>0</v>
      </c>
      <c r="N108" s="1079">
        <v>0</v>
      </c>
      <c r="O108" s="1079">
        <v>0</v>
      </c>
      <c r="P108" s="1079">
        <v>0</v>
      </c>
      <c r="Q108" s="1079">
        <v>0</v>
      </c>
      <c r="R108" s="1079">
        <v>0</v>
      </c>
      <c r="S108" s="1079">
        <v>0</v>
      </c>
      <c r="T108" t="str">
        <f t="shared" si="14"/>
        <v xml:space="preserve">OK </v>
      </c>
      <c r="U108" s="2377"/>
    </row>
    <row r="109" spans="1:21" x14ac:dyDescent="0.2">
      <c r="A109" s="1988">
        <v>1791</v>
      </c>
      <c r="B109" s="3300" t="s">
        <v>4710</v>
      </c>
      <c r="C109" s="3300"/>
      <c r="D109" s="3300"/>
      <c r="E109" s="3300"/>
      <c r="F109" s="1036">
        <f>'310'!M40</f>
        <v>0</v>
      </c>
      <c r="G109" t="str">
        <f>IF(F109='310'!M40," ","Problem: Must agree to ws 310 ")</f>
        <v xml:space="preserve"> </v>
      </c>
      <c r="H109" s="1079">
        <v>0</v>
      </c>
      <c r="I109" s="1079">
        <v>0</v>
      </c>
      <c r="J109" s="1079">
        <v>0</v>
      </c>
      <c r="K109" s="1079">
        <v>0</v>
      </c>
      <c r="L109" s="1079">
        <v>0</v>
      </c>
      <c r="M109" s="1079">
        <v>0</v>
      </c>
      <c r="N109" s="1079">
        <v>0</v>
      </c>
      <c r="O109" s="1079">
        <v>0</v>
      </c>
      <c r="P109" s="1079">
        <v>0</v>
      </c>
      <c r="Q109" s="1079">
        <v>0</v>
      </c>
      <c r="R109" s="1079">
        <v>0</v>
      </c>
      <c r="S109" s="1079">
        <v>0</v>
      </c>
      <c r="T109" t="str">
        <f t="shared" si="14"/>
        <v xml:space="preserve">OK </v>
      </c>
      <c r="U109" s="2377"/>
    </row>
    <row r="110" spans="1:21" x14ac:dyDescent="0.2">
      <c r="A110" s="1129">
        <v>1787</v>
      </c>
      <c r="B110" s="3300" t="s">
        <v>1500</v>
      </c>
      <c r="C110" s="3300"/>
      <c r="D110" s="3300"/>
      <c r="E110" s="3300"/>
      <c r="F110" s="1036">
        <f>'310'!M41</f>
        <v>0</v>
      </c>
      <c r="G110" t="str">
        <f>IF(F110='310'!M41," ","Problem: Must agree to ws 310 ")</f>
        <v xml:space="preserve"> </v>
      </c>
      <c r="H110" s="1079">
        <v>0</v>
      </c>
      <c r="I110" s="1079">
        <v>0</v>
      </c>
      <c r="J110" s="1079">
        <v>0</v>
      </c>
      <c r="K110" s="1079">
        <v>0</v>
      </c>
      <c r="L110" s="1079">
        <v>0</v>
      </c>
      <c r="M110" s="1079">
        <v>0</v>
      </c>
      <c r="N110" s="1079">
        <v>0</v>
      </c>
      <c r="O110" s="1079">
        <v>0</v>
      </c>
      <c r="P110" s="1079">
        <v>0</v>
      </c>
      <c r="Q110" s="1079">
        <v>0</v>
      </c>
      <c r="R110" s="1079">
        <v>0</v>
      </c>
      <c r="S110" s="1079">
        <v>0</v>
      </c>
      <c r="T110" t="str">
        <f t="shared" si="14"/>
        <v xml:space="preserve">OK </v>
      </c>
      <c r="U110" s="2377"/>
    </row>
    <row r="111" spans="1:21" x14ac:dyDescent="0.2">
      <c r="A111" s="1129">
        <v>1730</v>
      </c>
      <c r="B111" s="3206" t="s">
        <v>1501</v>
      </c>
      <c r="C111" s="3206"/>
      <c r="D111" s="3206"/>
      <c r="E111" s="3206"/>
      <c r="F111" s="1036">
        <f>'530'!H31</f>
        <v>0</v>
      </c>
      <c r="G111" t="str">
        <f>IF(F111='530'!H31," ","Problem: Must agree to ws 530 Due to St of NC Comp Unit")</f>
        <v xml:space="preserve"> </v>
      </c>
      <c r="H111" s="1079">
        <v>0</v>
      </c>
      <c r="I111" s="1079">
        <v>0</v>
      </c>
      <c r="J111" s="1079">
        <v>0</v>
      </c>
      <c r="K111" s="1079">
        <v>0</v>
      </c>
      <c r="L111" s="1079">
        <v>0</v>
      </c>
      <c r="M111" s="1079">
        <v>0</v>
      </c>
      <c r="N111" s="1079">
        <v>0</v>
      </c>
      <c r="O111" s="1079">
        <v>0</v>
      </c>
      <c r="P111" s="1079">
        <v>0</v>
      </c>
      <c r="Q111" s="1079">
        <v>0</v>
      </c>
      <c r="R111" s="1079">
        <v>0</v>
      </c>
      <c r="S111" s="1079">
        <v>0</v>
      </c>
      <c r="T111" t="str">
        <f t="shared" si="14"/>
        <v xml:space="preserve">OK </v>
      </c>
      <c r="U111" s="2382">
        <v>21260000</v>
      </c>
    </row>
    <row r="112" spans="1:21" x14ac:dyDescent="0.2">
      <c r="A112" s="1129">
        <v>1735</v>
      </c>
      <c r="B112" s="3206" t="s">
        <v>4288</v>
      </c>
      <c r="C112" s="3206"/>
      <c r="D112" s="3206"/>
      <c r="E112" s="3206"/>
      <c r="F112" s="1036">
        <f>'616'!D47</f>
        <v>0</v>
      </c>
      <c r="G112" s="14"/>
      <c r="H112" s="659">
        <v>0</v>
      </c>
      <c r="I112" s="659">
        <v>0</v>
      </c>
      <c r="J112" s="659">
        <v>0</v>
      </c>
      <c r="K112" s="659">
        <v>0</v>
      </c>
      <c r="L112" s="659">
        <v>0</v>
      </c>
      <c r="M112" s="659">
        <v>0</v>
      </c>
      <c r="N112" s="659">
        <v>0</v>
      </c>
      <c r="O112" s="659">
        <v>0</v>
      </c>
      <c r="P112" s="659">
        <v>0</v>
      </c>
      <c r="Q112" s="659">
        <v>0</v>
      </c>
      <c r="R112" s="659">
        <v>0</v>
      </c>
      <c r="S112" s="659">
        <v>0</v>
      </c>
      <c r="U112" s="2377">
        <v>21270000</v>
      </c>
    </row>
    <row r="113" spans="1:21" x14ac:dyDescent="0.2">
      <c r="A113" s="1129">
        <v>1740</v>
      </c>
      <c r="B113" s="3206" t="s">
        <v>1502</v>
      </c>
      <c r="C113" s="3206"/>
      <c r="D113" s="3206"/>
      <c r="E113" s="3206"/>
      <c r="F113" s="1036">
        <f>'520'!H31</f>
        <v>0</v>
      </c>
      <c r="G113" t="str">
        <f>IF(F113='520'!H31," ","Problem: Must agree to ws 520 Due to Primary Govt")</f>
        <v xml:space="preserve"> </v>
      </c>
      <c r="H113" s="1079">
        <v>0</v>
      </c>
      <c r="I113" s="1079">
        <v>0</v>
      </c>
      <c r="J113" s="1079">
        <v>0</v>
      </c>
      <c r="K113" s="1079">
        <v>0</v>
      </c>
      <c r="L113" s="1079">
        <v>0</v>
      </c>
      <c r="M113" s="1079">
        <v>0</v>
      </c>
      <c r="N113" s="1079">
        <v>0</v>
      </c>
      <c r="O113" s="1079">
        <v>0</v>
      </c>
      <c r="P113" s="1079">
        <v>0</v>
      </c>
      <c r="Q113" s="1079">
        <v>0</v>
      </c>
      <c r="R113" s="1079">
        <v>0</v>
      </c>
      <c r="S113" s="1079">
        <v>0</v>
      </c>
      <c r="T113" t="str">
        <f>IF(SUM(H113:S113)=F113,"OK ","Problem: sum of amts keyed for each agency in col H through S must tie to total on combined worksheet")</f>
        <v xml:space="preserve">OK </v>
      </c>
      <c r="U113" s="2382">
        <v>21250000</v>
      </c>
    </row>
    <row r="114" spans="1:21" x14ac:dyDescent="0.2">
      <c r="A114" s="335">
        <v>1890</v>
      </c>
      <c r="B114" s="3206" t="s">
        <v>569</v>
      </c>
      <c r="C114" s="3206"/>
      <c r="D114" s="3206"/>
      <c r="E114" s="3206"/>
      <c r="F114" s="649">
        <f t="shared" ref="F114:F119" si="15">SUM(H114:S114)</f>
        <v>0</v>
      </c>
      <c r="H114" s="659">
        <v>0</v>
      </c>
      <c r="I114" s="659">
        <v>0</v>
      </c>
      <c r="J114" s="659">
        <v>0</v>
      </c>
      <c r="K114" s="659">
        <v>0</v>
      </c>
      <c r="L114" s="659">
        <v>0</v>
      </c>
      <c r="M114" s="659">
        <v>0</v>
      </c>
      <c r="N114" s="659">
        <v>0</v>
      </c>
      <c r="O114" s="659">
        <v>0</v>
      </c>
      <c r="P114" s="659">
        <v>0</v>
      </c>
      <c r="Q114" s="659">
        <v>0</v>
      </c>
      <c r="R114" s="659">
        <v>0</v>
      </c>
      <c r="S114" s="659">
        <v>0</v>
      </c>
      <c r="U114" s="2377">
        <v>21811000</v>
      </c>
    </row>
    <row r="115" spans="1:21" x14ac:dyDescent="0.2">
      <c r="A115" s="335">
        <v>1750</v>
      </c>
      <c r="B115" s="3206" t="s">
        <v>277</v>
      </c>
      <c r="C115" s="3206"/>
      <c r="D115" s="3206"/>
      <c r="E115" s="3206"/>
      <c r="F115" s="649">
        <f t="shared" si="15"/>
        <v>0</v>
      </c>
      <c r="H115" s="659">
        <v>0</v>
      </c>
      <c r="I115" s="659">
        <v>0</v>
      </c>
      <c r="J115" s="659">
        <v>0</v>
      </c>
      <c r="K115" s="659">
        <v>0</v>
      </c>
      <c r="L115" s="659">
        <v>0</v>
      </c>
      <c r="M115" s="659">
        <v>0</v>
      </c>
      <c r="N115" s="659">
        <v>0</v>
      </c>
      <c r="O115" s="659">
        <v>0</v>
      </c>
      <c r="P115" s="659">
        <v>0</v>
      </c>
      <c r="Q115" s="659">
        <v>0</v>
      </c>
      <c r="R115" s="659">
        <v>0</v>
      </c>
      <c r="S115" s="659">
        <v>0</v>
      </c>
      <c r="U115" s="2377">
        <v>21310000</v>
      </c>
    </row>
    <row r="116" spans="1:21" x14ac:dyDescent="0.2">
      <c r="A116" s="335">
        <v>1760</v>
      </c>
      <c r="B116" s="3206" t="s">
        <v>1402</v>
      </c>
      <c r="C116" s="3206"/>
      <c r="D116" s="3206"/>
      <c r="E116" s="3206"/>
      <c r="F116" s="649">
        <f t="shared" si="15"/>
        <v>0</v>
      </c>
      <c r="G116" s="864"/>
      <c r="H116" s="659">
        <v>0</v>
      </c>
      <c r="I116" s="659">
        <v>0</v>
      </c>
      <c r="J116" s="659">
        <v>0</v>
      </c>
      <c r="K116" s="659">
        <v>0</v>
      </c>
      <c r="L116" s="659">
        <v>0</v>
      </c>
      <c r="M116" s="659">
        <v>0</v>
      </c>
      <c r="N116" s="659">
        <v>0</v>
      </c>
      <c r="O116" s="659">
        <v>0</v>
      </c>
      <c r="P116" s="659">
        <v>0</v>
      </c>
      <c r="Q116" s="659">
        <v>0</v>
      </c>
      <c r="R116" s="659">
        <v>0</v>
      </c>
      <c r="S116" s="659">
        <v>0</v>
      </c>
      <c r="U116" s="2377">
        <v>21315000</v>
      </c>
    </row>
    <row r="117" spans="1:21" x14ac:dyDescent="0.2">
      <c r="A117" s="335">
        <v>1870</v>
      </c>
      <c r="B117" s="3206" t="s">
        <v>739</v>
      </c>
      <c r="C117" s="3206"/>
      <c r="D117" s="3206"/>
      <c r="E117" s="3206"/>
      <c r="F117" s="649">
        <f t="shared" si="15"/>
        <v>0</v>
      </c>
      <c r="H117" s="659">
        <v>0</v>
      </c>
      <c r="I117" s="659">
        <v>0</v>
      </c>
      <c r="J117" s="659">
        <v>0</v>
      </c>
      <c r="K117" s="659">
        <v>0</v>
      </c>
      <c r="L117" s="659">
        <v>0</v>
      </c>
      <c r="M117" s="659">
        <v>0</v>
      </c>
      <c r="N117" s="659">
        <v>0</v>
      </c>
      <c r="O117" s="659">
        <v>0</v>
      </c>
      <c r="P117" s="659">
        <v>0</v>
      </c>
      <c r="Q117" s="659">
        <v>0</v>
      </c>
      <c r="R117" s="659">
        <v>0</v>
      </c>
      <c r="S117" s="659">
        <v>0</v>
      </c>
      <c r="U117" s="2377">
        <v>21712000</v>
      </c>
    </row>
    <row r="118" spans="1:21" x14ac:dyDescent="0.2">
      <c r="A118" s="335">
        <v>1880</v>
      </c>
      <c r="B118" s="3206" t="s">
        <v>701</v>
      </c>
      <c r="C118" s="3206"/>
      <c r="D118" s="3206"/>
      <c r="E118" s="3206"/>
      <c r="F118" s="649">
        <f t="shared" si="15"/>
        <v>0</v>
      </c>
      <c r="G118" s="335"/>
      <c r="H118" s="659">
        <v>0</v>
      </c>
      <c r="I118" s="659">
        <v>0</v>
      </c>
      <c r="J118" s="659">
        <v>0</v>
      </c>
      <c r="K118" s="659">
        <v>0</v>
      </c>
      <c r="L118" s="659">
        <v>0</v>
      </c>
      <c r="M118" s="659">
        <v>0</v>
      </c>
      <c r="N118" s="659">
        <v>0</v>
      </c>
      <c r="O118" s="659">
        <v>0</v>
      </c>
      <c r="P118" s="659">
        <v>0</v>
      </c>
      <c r="Q118" s="659">
        <v>0</v>
      </c>
      <c r="R118" s="659">
        <v>0</v>
      </c>
      <c r="S118" s="659">
        <v>0</v>
      </c>
      <c r="U118" s="2377">
        <v>21719000</v>
      </c>
    </row>
    <row r="119" spans="1:21" x14ac:dyDescent="0.2">
      <c r="A119" s="335">
        <v>1762</v>
      </c>
      <c r="B119" s="3206" t="s">
        <v>1347</v>
      </c>
      <c r="C119" s="3206"/>
      <c r="D119" s="3206"/>
      <c r="E119" s="3206"/>
      <c r="F119" s="649">
        <f t="shared" si="15"/>
        <v>0</v>
      </c>
      <c r="H119" s="659">
        <v>0</v>
      </c>
      <c r="I119" s="659">
        <v>0</v>
      </c>
      <c r="J119" s="659">
        <v>0</v>
      </c>
      <c r="K119" s="659">
        <v>0</v>
      </c>
      <c r="L119" s="659">
        <v>0</v>
      </c>
      <c r="M119" s="659">
        <v>0</v>
      </c>
      <c r="N119" s="659">
        <v>0</v>
      </c>
      <c r="O119" s="659">
        <v>0</v>
      </c>
      <c r="P119" s="659">
        <v>0</v>
      </c>
      <c r="Q119" s="659">
        <v>0</v>
      </c>
      <c r="R119" s="659">
        <v>0</v>
      </c>
      <c r="S119" s="659">
        <v>0</v>
      </c>
      <c r="U119" s="2377">
        <v>21920000</v>
      </c>
    </row>
    <row r="120" spans="1:21" x14ac:dyDescent="0.2">
      <c r="A120" s="1129">
        <v>1775</v>
      </c>
      <c r="B120" s="3206" t="s">
        <v>4631</v>
      </c>
      <c r="C120" s="3206"/>
      <c r="D120" s="3206"/>
      <c r="E120" s="3206"/>
      <c r="F120" s="1036">
        <f>'310'!O26</f>
        <v>0</v>
      </c>
      <c r="G120" t="str">
        <f>IF(F120='310'!O26," ","Problem: Must agree to ws 310 Direct borrowings Due within one year")</f>
        <v xml:space="preserve"> </v>
      </c>
      <c r="H120" s="1079">
        <v>0</v>
      </c>
      <c r="I120" s="1079">
        <v>0</v>
      </c>
      <c r="J120" s="1079">
        <v>0</v>
      </c>
      <c r="K120" s="1079">
        <v>0</v>
      </c>
      <c r="L120" s="1079">
        <v>0</v>
      </c>
      <c r="M120" s="1079">
        <v>0</v>
      </c>
      <c r="N120" s="1079">
        <v>0</v>
      </c>
      <c r="O120" s="1079">
        <v>0</v>
      </c>
      <c r="P120" s="1079">
        <v>0</v>
      </c>
      <c r="Q120" s="1079">
        <v>0</v>
      </c>
      <c r="R120" s="1079">
        <v>0</v>
      </c>
      <c r="S120" s="1079">
        <v>0</v>
      </c>
      <c r="T120" t="str">
        <f t="shared" ref="T120:T132" si="16">IF(SUM(H120:S120)=F120,"OK ","Problem: sum of amts keyed for each agency in col H through S must tie to total on combined worksheet")</f>
        <v xml:space="preserve">OK </v>
      </c>
      <c r="U120" s="2377"/>
    </row>
    <row r="121" spans="1:21" x14ac:dyDescent="0.2">
      <c r="A121" s="1129">
        <v>1780</v>
      </c>
      <c r="B121" s="3307" t="s">
        <v>5524</v>
      </c>
      <c r="C121" s="3307"/>
      <c r="D121" s="3307"/>
      <c r="E121" s="3307"/>
      <c r="F121" s="1036">
        <f>'310'!O27</f>
        <v>0</v>
      </c>
      <c r="G121" t="str">
        <f>IF(F121='310'!O27," ","Problem: Must agree to ws 310 Capital leases payable Due within one year")</f>
        <v xml:space="preserve"> </v>
      </c>
      <c r="H121" s="1079">
        <v>0</v>
      </c>
      <c r="I121" s="1079">
        <v>0</v>
      </c>
      <c r="J121" s="1079">
        <v>0</v>
      </c>
      <c r="K121" s="1079">
        <v>0</v>
      </c>
      <c r="L121" s="1079">
        <v>0</v>
      </c>
      <c r="M121" s="1079">
        <v>0</v>
      </c>
      <c r="N121" s="1079">
        <v>0</v>
      </c>
      <c r="O121" s="1079">
        <v>0</v>
      </c>
      <c r="P121" s="1079">
        <v>0</v>
      </c>
      <c r="Q121" s="1079">
        <v>0</v>
      </c>
      <c r="R121" s="1079">
        <v>0</v>
      </c>
      <c r="S121" s="1079">
        <v>0</v>
      </c>
      <c r="T121" t="str">
        <f t="shared" si="16"/>
        <v xml:space="preserve">OK </v>
      </c>
      <c r="U121" s="2377"/>
    </row>
    <row r="122" spans="1:21" x14ac:dyDescent="0.2">
      <c r="A122" s="1129">
        <v>1800</v>
      </c>
      <c r="B122" s="3206" t="s">
        <v>1503</v>
      </c>
      <c r="C122" s="3206"/>
      <c r="D122" s="3206"/>
      <c r="E122" s="3206"/>
      <c r="F122" s="1036">
        <f>SUM('310'!O17+'310'!O18+'310'!O19+'310'!O20+'310'!O21)</f>
        <v>0</v>
      </c>
      <c r="G122" t="str">
        <f>IF(F122='310'!O17+'310'!O18+'310'!O20+'310'!O21," ","Problem: Must agree to ws 310 Sum of Bonds &amp; COPS payable Due within one year")</f>
        <v xml:space="preserve"> </v>
      </c>
      <c r="H122" s="1079">
        <v>0</v>
      </c>
      <c r="I122" s="1079">
        <v>0</v>
      </c>
      <c r="J122" s="1079">
        <v>0</v>
      </c>
      <c r="K122" s="1079">
        <v>0</v>
      </c>
      <c r="L122" s="1079">
        <v>0</v>
      </c>
      <c r="M122" s="1079">
        <v>0</v>
      </c>
      <c r="N122" s="1079">
        <v>0</v>
      </c>
      <c r="O122" s="1079">
        <v>0</v>
      </c>
      <c r="P122" s="1079">
        <v>0</v>
      </c>
      <c r="Q122" s="1079">
        <v>0</v>
      </c>
      <c r="R122" s="1079">
        <v>0</v>
      </c>
      <c r="S122" s="1079">
        <v>0</v>
      </c>
      <c r="T122" t="str">
        <f t="shared" si="16"/>
        <v xml:space="preserve">OK </v>
      </c>
      <c r="U122" s="2377"/>
    </row>
    <row r="123" spans="1:21" x14ac:dyDescent="0.2">
      <c r="A123" s="1129">
        <v>1850</v>
      </c>
      <c r="B123" s="3206" t="s">
        <v>1504</v>
      </c>
      <c r="C123" s="3206"/>
      <c r="D123" s="3206"/>
      <c r="E123" s="3206"/>
      <c r="F123" s="1036">
        <f>'310'!O24</f>
        <v>0</v>
      </c>
      <c r="G123" t="str">
        <f>IF(F123='310'!O24," ","Problem: Must agree to ws 310 Arbitrage rebate payable Due within one year")</f>
        <v xml:space="preserve"> </v>
      </c>
      <c r="H123" s="1079">
        <v>0</v>
      </c>
      <c r="I123" s="1079">
        <v>0</v>
      </c>
      <c r="J123" s="1079">
        <v>0</v>
      </c>
      <c r="K123" s="1079">
        <v>0</v>
      </c>
      <c r="L123" s="1079">
        <v>0</v>
      </c>
      <c r="M123" s="1079">
        <v>0</v>
      </c>
      <c r="N123" s="1079">
        <v>0</v>
      </c>
      <c r="O123" s="1079">
        <v>0</v>
      </c>
      <c r="P123" s="1079">
        <v>0</v>
      </c>
      <c r="Q123" s="1079">
        <v>0</v>
      </c>
      <c r="R123" s="1079">
        <v>0</v>
      </c>
      <c r="S123" s="1079">
        <v>0</v>
      </c>
      <c r="T123" t="str">
        <f t="shared" si="16"/>
        <v xml:space="preserve">OK </v>
      </c>
      <c r="U123" s="2377"/>
    </row>
    <row r="124" spans="1:21" x14ac:dyDescent="0.2">
      <c r="A124" s="1129">
        <v>1851</v>
      </c>
      <c r="B124" s="3206" t="s">
        <v>3803</v>
      </c>
      <c r="C124" s="3206"/>
      <c r="D124" s="3206"/>
      <c r="E124" s="3206"/>
      <c r="F124" s="1036">
        <f>'310'!O25</f>
        <v>0</v>
      </c>
      <c r="G124" t="str">
        <f>IF(F124='310'!O25," ","Problem: Must agree to ws 310 Workers Comp payable Due within one year")</f>
        <v xml:space="preserve"> </v>
      </c>
      <c r="H124" s="1079">
        <v>0</v>
      </c>
      <c r="I124" s="1079">
        <v>0</v>
      </c>
      <c r="J124" s="1079">
        <v>0</v>
      </c>
      <c r="K124" s="1079">
        <v>0</v>
      </c>
      <c r="L124" s="1079">
        <v>0</v>
      </c>
      <c r="M124" s="1079">
        <v>0</v>
      </c>
      <c r="N124" s="1079">
        <v>0</v>
      </c>
      <c r="O124" s="1079">
        <v>0</v>
      </c>
      <c r="P124" s="1079">
        <v>0</v>
      </c>
      <c r="Q124" s="1079">
        <v>0</v>
      </c>
      <c r="R124" s="1079">
        <v>0</v>
      </c>
      <c r="S124" s="1079">
        <v>0</v>
      </c>
      <c r="T124" t="str">
        <f>IF(SUM(H124:S124)=F124,"OK ","Problem: sum of amts keyed for each agency in col H through S must tie to total on combined worksheet")</f>
        <v xml:space="preserve">OK </v>
      </c>
      <c r="U124" s="2377"/>
    </row>
    <row r="125" spans="1:21" x14ac:dyDescent="0.2">
      <c r="A125" s="1129">
        <v>1786</v>
      </c>
      <c r="B125" s="3206" t="s">
        <v>1505</v>
      </c>
      <c r="C125" s="3206"/>
      <c r="D125" s="3206"/>
      <c r="E125" s="3206"/>
      <c r="F125" s="1036">
        <f>'310'!O28</f>
        <v>0</v>
      </c>
      <c r="G125" t="str">
        <f>IF(F125='310'!O28," ","Problem: Must agree to ws 310 Annuity and life income payable Due within one year")</f>
        <v xml:space="preserve"> </v>
      </c>
      <c r="H125" s="1079">
        <v>0</v>
      </c>
      <c r="I125" s="1079">
        <v>0</v>
      </c>
      <c r="J125" s="1079">
        <v>0</v>
      </c>
      <c r="K125" s="1079">
        <v>0</v>
      </c>
      <c r="L125" s="1079">
        <v>0</v>
      </c>
      <c r="M125" s="1079">
        <v>0</v>
      </c>
      <c r="N125" s="1079">
        <v>0</v>
      </c>
      <c r="O125" s="1079">
        <v>0</v>
      </c>
      <c r="P125" s="1079">
        <v>0</v>
      </c>
      <c r="Q125" s="1079">
        <v>0</v>
      </c>
      <c r="R125" s="1079">
        <v>0</v>
      </c>
      <c r="S125" s="1079">
        <v>0</v>
      </c>
      <c r="T125" t="str">
        <f t="shared" si="16"/>
        <v xml:space="preserve">OK </v>
      </c>
      <c r="U125" s="2377"/>
    </row>
    <row r="126" spans="1:21" x14ac:dyDescent="0.2">
      <c r="A126" s="1129">
        <v>1855</v>
      </c>
      <c r="B126" s="3206" t="s">
        <v>1506</v>
      </c>
      <c r="C126" s="3206"/>
      <c r="D126" s="3206"/>
      <c r="E126" s="3206"/>
      <c r="F126" s="1036">
        <f>'310'!O30</f>
        <v>0</v>
      </c>
      <c r="G126" t="str">
        <f>IF(F126='310'!O30," ","Problem: Must agree to ws 310 Pollution remediation payable Due within one year")</f>
        <v xml:space="preserve"> </v>
      </c>
      <c r="H126" s="1079">
        <v>0</v>
      </c>
      <c r="I126" s="1079">
        <v>0</v>
      </c>
      <c r="J126" s="1079">
        <v>0</v>
      </c>
      <c r="K126" s="1079">
        <v>0</v>
      </c>
      <c r="L126" s="1079">
        <v>0</v>
      </c>
      <c r="M126" s="1079">
        <v>0</v>
      </c>
      <c r="N126" s="1079">
        <v>0</v>
      </c>
      <c r="O126" s="1079">
        <v>0</v>
      </c>
      <c r="P126" s="1079">
        <v>0</v>
      </c>
      <c r="Q126" s="1079">
        <v>0</v>
      </c>
      <c r="R126" s="1079">
        <v>0</v>
      </c>
      <c r="S126" s="1079">
        <v>0</v>
      </c>
      <c r="T126" t="str">
        <f t="shared" si="16"/>
        <v xml:space="preserve">OK </v>
      </c>
      <c r="U126" s="2377"/>
    </row>
    <row r="127" spans="1:21" x14ac:dyDescent="0.2">
      <c r="A127" s="1129">
        <v>1857</v>
      </c>
      <c r="B127" s="3206" t="s">
        <v>4619</v>
      </c>
      <c r="C127" s="3206"/>
      <c r="D127" s="3206"/>
      <c r="E127" s="3206"/>
      <c r="F127" s="1036">
        <f>'310'!O31</f>
        <v>0</v>
      </c>
      <c r="G127" t="str">
        <f>IF(F127='310'!O31," ","Problem: Must agree to ws 310 Pollution remediation payable Due within one year")</f>
        <v xml:space="preserve"> </v>
      </c>
      <c r="H127" s="1079">
        <v>0</v>
      </c>
      <c r="I127" s="1079">
        <v>0</v>
      </c>
      <c r="J127" s="1079">
        <v>0</v>
      </c>
      <c r="K127" s="1079">
        <v>0</v>
      </c>
      <c r="L127" s="1079">
        <v>0</v>
      </c>
      <c r="M127" s="1079">
        <v>0</v>
      </c>
      <c r="N127" s="1079">
        <v>0</v>
      </c>
      <c r="O127" s="1079">
        <v>0</v>
      </c>
      <c r="P127" s="1079">
        <v>0</v>
      </c>
      <c r="Q127" s="1079">
        <v>0</v>
      </c>
      <c r="R127" s="1079">
        <v>0</v>
      </c>
      <c r="S127" s="1079">
        <v>0</v>
      </c>
      <c r="T127" t="str">
        <f>IF(SUM(H127:S127)=F127,"OK ","Problem: sum of amts keyed for each agency in col H through S must tie to total on combined worksheet")</f>
        <v xml:space="preserve">OK </v>
      </c>
      <c r="U127" s="2377"/>
    </row>
    <row r="128" spans="1:21" x14ac:dyDescent="0.2">
      <c r="A128" s="1129">
        <v>1860</v>
      </c>
      <c r="B128" s="3206" t="s">
        <v>3871</v>
      </c>
      <c r="C128" s="3206"/>
      <c r="D128" s="3206"/>
      <c r="E128" s="3206"/>
      <c r="F128" s="1036">
        <f>'310'!O32</f>
        <v>0</v>
      </c>
      <c r="G128" t="str">
        <f>IF(F128='310'!O32," ","Problem: Must agree to ws 310 Compensated absences Due within one year")</f>
        <v xml:space="preserve"> </v>
      </c>
      <c r="H128" s="1079">
        <v>0</v>
      </c>
      <c r="I128" s="1079">
        <v>0</v>
      </c>
      <c r="J128" s="1079">
        <v>0</v>
      </c>
      <c r="K128" s="1079">
        <v>0</v>
      </c>
      <c r="L128" s="1079">
        <v>0</v>
      </c>
      <c r="M128" s="1079">
        <v>0</v>
      </c>
      <c r="N128" s="1079">
        <v>0</v>
      </c>
      <c r="O128" s="1079">
        <v>0</v>
      </c>
      <c r="P128" s="1079">
        <v>0</v>
      </c>
      <c r="Q128" s="1079">
        <v>0</v>
      </c>
      <c r="R128" s="1079">
        <v>0</v>
      </c>
      <c r="S128" s="1079">
        <v>0</v>
      </c>
      <c r="T128" t="str">
        <f t="shared" si="16"/>
        <v xml:space="preserve">OK </v>
      </c>
      <c r="U128" s="2377"/>
    </row>
    <row r="129" spans="1:21" x14ac:dyDescent="0.2">
      <c r="A129" s="1129">
        <v>1868</v>
      </c>
      <c r="B129" s="3206" t="s">
        <v>3872</v>
      </c>
      <c r="C129" s="3206"/>
      <c r="D129" s="3206"/>
      <c r="E129" s="3206"/>
      <c r="F129" s="1036">
        <f>'310'!O33</f>
        <v>0</v>
      </c>
      <c r="G129" t="str">
        <f>IF(F129='310'!O33," ","Problem: Must agree to ws 310 Net Pension Liability Due within one year")</f>
        <v xml:space="preserve"> </v>
      </c>
      <c r="H129" s="1079">
        <v>0</v>
      </c>
      <c r="I129" s="1079">
        <v>0</v>
      </c>
      <c r="J129" s="1079">
        <v>0</v>
      </c>
      <c r="K129" s="1079">
        <v>0</v>
      </c>
      <c r="L129" s="1079">
        <v>0</v>
      </c>
      <c r="M129" s="1079">
        <v>0</v>
      </c>
      <c r="N129" s="1079">
        <v>0</v>
      </c>
      <c r="O129" s="1079">
        <v>0</v>
      </c>
      <c r="P129" s="1079">
        <v>0</v>
      </c>
      <c r="Q129" s="1079">
        <v>0</v>
      </c>
      <c r="R129" s="1079">
        <v>0</v>
      </c>
      <c r="S129" s="1079">
        <v>0</v>
      </c>
      <c r="T129" t="str">
        <f>IF(SUM(H129:S129)=F129,"OK ","Problem: sum of amts keyed for each agency in col H through S must tie to total on combined worksheet")</f>
        <v xml:space="preserve">OK </v>
      </c>
      <c r="U129" s="2377"/>
    </row>
    <row r="130" spans="1:21" x14ac:dyDescent="0.2">
      <c r="A130" s="1129">
        <v>1869</v>
      </c>
      <c r="B130" s="3206" t="s">
        <v>4455</v>
      </c>
      <c r="C130" s="3206"/>
      <c r="D130" s="3206"/>
      <c r="E130" s="3206"/>
      <c r="F130" s="1036">
        <f>'310'!O34</f>
        <v>0</v>
      </c>
      <c r="G130" t="str">
        <f>IF(F130='310'!O33," ","Problem: Must agree to ws 310 Net OPEB Liability, due within one yr")</f>
        <v xml:space="preserve"> </v>
      </c>
      <c r="H130" s="1079">
        <v>0</v>
      </c>
      <c r="I130" s="1079">
        <v>0</v>
      </c>
      <c r="J130" s="1079">
        <v>0</v>
      </c>
      <c r="K130" s="1079">
        <v>0</v>
      </c>
      <c r="L130" s="1079">
        <v>0</v>
      </c>
      <c r="M130" s="1079">
        <v>0</v>
      </c>
      <c r="N130" s="1079">
        <v>0</v>
      </c>
      <c r="O130" s="1079">
        <v>0</v>
      </c>
      <c r="P130" s="1079">
        <v>0</v>
      </c>
      <c r="Q130" s="1079">
        <v>0</v>
      </c>
      <c r="R130" s="1079">
        <v>0</v>
      </c>
      <c r="S130" s="1079">
        <v>0</v>
      </c>
      <c r="T130" t="str">
        <f>IF(SUM(H130:S130)=F130,"OK ","Problem: sum of amts keyed for each agency in col H through S must tie to total on combined worksheet")</f>
        <v xml:space="preserve">OK </v>
      </c>
      <c r="U130" s="2377"/>
    </row>
    <row r="131" spans="1:21" x14ac:dyDescent="0.2">
      <c r="A131" s="1129">
        <v>1865</v>
      </c>
      <c r="B131" s="3206" t="s">
        <v>1507</v>
      </c>
      <c r="C131" s="3206"/>
      <c r="D131" s="3206"/>
      <c r="E131" s="3206"/>
      <c r="F131" s="1036">
        <f>'310'!O35</f>
        <v>0</v>
      </c>
      <c r="G131" t="str">
        <f>IF(F131='310'!O35," ","Problem: Must agree to ws 310 Liab Insurance Trust Fund Payable, due within one yr")</f>
        <v xml:space="preserve"> </v>
      </c>
      <c r="H131" s="1079">
        <v>0</v>
      </c>
      <c r="I131" s="1079">
        <v>0</v>
      </c>
      <c r="J131" s="1079">
        <v>0</v>
      </c>
      <c r="K131" s="1079">
        <v>0</v>
      </c>
      <c r="L131" s="1079">
        <v>0</v>
      </c>
      <c r="M131" s="1079">
        <v>0</v>
      </c>
      <c r="N131" s="1079">
        <v>0</v>
      </c>
      <c r="O131" s="1079">
        <v>0</v>
      </c>
      <c r="P131" s="1079">
        <v>0</v>
      </c>
      <c r="Q131" s="1079">
        <v>0</v>
      </c>
      <c r="R131" s="1079">
        <v>0</v>
      </c>
      <c r="S131" s="1079">
        <v>0</v>
      </c>
      <c r="T131" t="str">
        <f t="shared" si="16"/>
        <v xml:space="preserve">OK </v>
      </c>
      <c r="U131" s="2377"/>
    </row>
    <row r="132" spans="1:21" x14ac:dyDescent="0.2">
      <c r="A132" s="1129">
        <v>1866</v>
      </c>
      <c r="B132" s="3206" t="s">
        <v>1508</v>
      </c>
      <c r="C132" s="3206"/>
      <c r="D132" s="3206"/>
      <c r="E132" s="3206"/>
      <c r="F132" s="1036">
        <f>'310'!O36</f>
        <v>0</v>
      </c>
      <c r="G132" t="str">
        <f>IF(F132='310'!O36," ","Problem: Must agree to ws 310 Other LT liabilities Due within one year")</f>
        <v xml:space="preserve"> </v>
      </c>
      <c r="H132" s="1079">
        <v>0</v>
      </c>
      <c r="I132" s="1079">
        <v>0</v>
      </c>
      <c r="J132" s="1079">
        <v>0</v>
      </c>
      <c r="K132" s="1079">
        <v>0</v>
      </c>
      <c r="L132" s="1079">
        <v>0</v>
      </c>
      <c r="M132" s="1079">
        <v>0</v>
      </c>
      <c r="N132" s="1079">
        <v>0</v>
      </c>
      <c r="O132" s="1079">
        <v>0</v>
      </c>
      <c r="P132" s="1079">
        <v>0</v>
      </c>
      <c r="Q132" s="1079">
        <v>0</v>
      </c>
      <c r="R132" s="1079">
        <v>0</v>
      </c>
      <c r="S132" s="1079">
        <v>0</v>
      </c>
      <c r="T132" t="str">
        <f t="shared" si="16"/>
        <v xml:space="preserve">OK </v>
      </c>
      <c r="U132" s="2377"/>
    </row>
    <row r="133" spans="1:21" x14ac:dyDescent="0.2">
      <c r="B133" s="3295" t="s">
        <v>750</v>
      </c>
      <c r="C133" s="3295"/>
      <c r="D133" s="3295"/>
      <c r="E133" s="3295"/>
      <c r="F133" s="661">
        <f>SUM(F100:F132)</f>
        <v>0</v>
      </c>
      <c r="H133" s="661">
        <f t="shared" ref="H133:S133" si="17">SUM(H100:H132)</f>
        <v>0</v>
      </c>
      <c r="I133" s="661">
        <f t="shared" si="17"/>
        <v>0</v>
      </c>
      <c r="J133" s="661">
        <f t="shared" si="17"/>
        <v>0</v>
      </c>
      <c r="K133" s="661">
        <f t="shared" si="17"/>
        <v>0</v>
      </c>
      <c r="L133" s="661">
        <f t="shared" si="17"/>
        <v>0</v>
      </c>
      <c r="M133" s="661">
        <f t="shared" si="17"/>
        <v>0</v>
      </c>
      <c r="N133" s="661">
        <f t="shared" si="17"/>
        <v>0</v>
      </c>
      <c r="O133" s="661">
        <f t="shared" si="17"/>
        <v>0</v>
      </c>
      <c r="P133" s="661">
        <f t="shared" si="17"/>
        <v>0</v>
      </c>
      <c r="Q133" s="661">
        <f t="shared" si="17"/>
        <v>0</v>
      </c>
      <c r="R133" s="661">
        <f t="shared" si="17"/>
        <v>0</v>
      </c>
      <c r="S133" s="661">
        <f t="shared" si="17"/>
        <v>0</v>
      </c>
      <c r="T133" t="str">
        <f>IF(SUM(H133:S133)=F133,"OK ","Crossfoot error: sum of Col H thru S must equal total in Col F")</f>
        <v xml:space="preserve">OK </v>
      </c>
      <c r="U133" s="2377"/>
    </row>
    <row r="134" spans="1:21" x14ac:dyDescent="0.2">
      <c r="U134" s="2377"/>
    </row>
    <row r="135" spans="1:21" x14ac:dyDescent="0.2">
      <c r="B135" s="784" t="s">
        <v>788</v>
      </c>
      <c r="U135" s="2402"/>
    </row>
    <row r="136" spans="1:21" x14ac:dyDescent="0.2">
      <c r="A136" s="335"/>
      <c r="B136" s="335" t="s">
        <v>275</v>
      </c>
      <c r="C136" s="335"/>
      <c r="U136" s="2377"/>
    </row>
    <row r="137" spans="1:21" x14ac:dyDescent="0.2">
      <c r="A137" s="335">
        <v>1940</v>
      </c>
      <c r="B137" s="3300" t="s">
        <v>1060</v>
      </c>
      <c r="C137" s="3300"/>
      <c r="D137" s="3300"/>
      <c r="E137" s="3300"/>
      <c r="F137" s="649">
        <f>SUM(H137:S137)</f>
        <v>0</v>
      </c>
      <c r="G137" s="14"/>
      <c r="H137" s="659">
        <v>0</v>
      </c>
      <c r="I137" s="659">
        <v>0</v>
      </c>
      <c r="J137" s="659">
        <v>0</v>
      </c>
      <c r="K137" s="659">
        <v>0</v>
      </c>
      <c r="L137" s="659">
        <v>0</v>
      </c>
      <c r="M137" s="659">
        <v>0</v>
      </c>
      <c r="N137" s="659">
        <v>0</v>
      </c>
      <c r="O137" s="659">
        <v>0</v>
      </c>
      <c r="P137" s="659">
        <v>0</v>
      </c>
      <c r="Q137" s="659">
        <v>0</v>
      </c>
      <c r="R137" s="659">
        <v>0</v>
      </c>
      <c r="S137" s="659">
        <v>0</v>
      </c>
      <c r="U137" s="2367">
        <v>22110000</v>
      </c>
    </row>
    <row r="138" spans="1:21" x14ac:dyDescent="0.2">
      <c r="A138" s="335">
        <v>1950</v>
      </c>
      <c r="B138" s="3300" t="s">
        <v>816</v>
      </c>
      <c r="C138" s="3300"/>
      <c r="D138" s="3300"/>
      <c r="E138" s="3300"/>
      <c r="F138" s="649">
        <f>SUM(H138:S138)</f>
        <v>0</v>
      </c>
      <c r="H138" s="659">
        <v>0</v>
      </c>
      <c r="I138" s="659">
        <v>0</v>
      </c>
      <c r="J138" s="659">
        <v>0</v>
      </c>
      <c r="K138" s="659">
        <v>0</v>
      </c>
      <c r="L138" s="659">
        <v>0</v>
      </c>
      <c r="M138" s="659">
        <v>0</v>
      </c>
      <c r="N138" s="659">
        <v>0</v>
      </c>
      <c r="O138" s="659">
        <v>0</v>
      </c>
      <c r="P138" s="659">
        <v>0</v>
      </c>
      <c r="Q138" s="659">
        <v>0</v>
      </c>
      <c r="R138" s="659">
        <v>0</v>
      </c>
      <c r="S138" s="659">
        <v>0</v>
      </c>
      <c r="U138" s="2367">
        <v>22132000</v>
      </c>
    </row>
    <row r="139" spans="1:21" x14ac:dyDescent="0.2">
      <c r="A139" s="335">
        <v>1960</v>
      </c>
      <c r="B139" s="3300" t="s">
        <v>700</v>
      </c>
      <c r="C139" s="3300"/>
      <c r="D139" s="3300"/>
      <c r="E139" s="3300"/>
      <c r="F139" s="649">
        <f>SUM(H139:S139)</f>
        <v>0</v>
      </c>
      <c r="H139" s="659">
        <v>0</v>
      </c>
      <c r="I139" s="659">
        <v>0</v>
      </c>
      <c r="J139" s="659">
        <v>0</v>
      </c>
      <c r="K139" s="659">
        <v>0</v>
      </c>
      <c r="L139" s="659">
        <v>0</v>
      </c>
      <c r="M139" s="659">
        <v>0</v>
      </c>
      <c r="N139" s="659">
        <v>0</v>
      </c>
      <c r="O139" s="659">
        <v>0</v>
      </c>
      <c r="P139" s="659">
        <v>0</v>
      </c>
      <c r="Q139" s="659">
        <v>0</v>
      </c>
      <c r="R139" s="659">
        <v>0</v>
      </c>
      <c r="S139" s="659">
        <v>0</v>
      </c>
      <c r="U139" s="2367">
        <v>22529000</v>
      </c>
    </row>
    <row r="140" spans="1:21" x14ac:dyDescent="0.2">
      <c r="A140" s="1129">
        <v>2020</v>
      </c>
      <c r="B140" s="3206" t="s">
        <v>1509</v>
      </c>
      <c r="C140" s="3206"/>
      <c r="D140" s="3206"/>
      <c r="E140" s="3206"/>
      <c r="F140" s="1036">
        <f>'535'!H21</f>
        <v>0</v>
      </c>
      <c r="G140" t="str">
        <f>IF(F140='535'!H21," ","Problem: Must agree to ws 535 Advance from Primary Govt")</f>
        <v xml:space="preserve"> </v>
      </c>
      <c r="H140" s="1079">
        <v>0</v>
      </c>
      <c r="I140" s="1079">
        <v>0</v>
      </c>
      <c r="J140" s="1079">
        <v>0</v>
      </c>
      <c r="K140" s="1079">
        <v>0</v>
      </c>
      <c r="L140" s="1079">
        <v>0</v>
      </c>
      <c r="M140" s="1079">
        <v>0</v>
      </c>
      <c r="N140" s="1079">
        <v>0</v>
      </c>
      <c r="O140" s="1079">
        <v>0</v>
      </c>
      <c r="P140" s="1079">
        <v>0</v>
      </c>
      <c r="Q140" s="1079">
        <v>0</v>
      </c>
      <c r="R140" s="1079">
        <v>0</v>
      </c>
      <c r="S140" s="1079">
        <v>0</v>
      </c>
      <c r="T140" t="str">
        <f>IF(SUM(H140:S140)=F140,"OK ","Problem: sum of amts keyed for each agency in col H through S must tie to total on combined worksheet")</f>
        <v xml:space="preserve">OK </v>
      </c>
      <c r="U140" s="2380">
        <v>22250000</v>
      </c>
    </row>
    <row r="141" spans="1:21" x14ac:dyDescent="0.2">
      <c r="A141" s="335">
        <v>2097</v>
      </c>
      <c r="B141" s="3206" t="s">
        <v>569</v>
      </c>
      <c r="C141" s="3206"/>
      <c r="D141" s="3206"/>
      <c r="E141" s="3206"/>
      <c r="F141" s="649">
        <f>SUM(H141:S141)</f>
        <v>0</v>
      </c>
      <c r="H141" s="659">
        <v>0</v>
      </c>
      <c r="I141" s="659">
        <v>0</v>
      </c>
      <c r="J141" s="659">
        <v>0</v>
      </c>
      <c r="K141" s="659">
        <v>0</v>
      </c>
      <c r="L141" s="659">
        <v>0</v>
      </c>
      <c r="M141" s="659">
        <v>0</v>
      </c>
      <c r="N141" s="659">
        <v>0</v>
      </c>
      <c r="O141" s="659">
        <v>0</v>
      </c>
      <c r="P141" s="659">
        <v>0</v>
      </c>
      <c r="Q141" s="659">
        <v>0</v>
      </c>
      <c r="R141" s="659">
        <v>0</v>
      </c>
      <c r="S141" s="659">
        <v>0</v>
      </c>
      <c r="U141" s="2367">
        <v>22811000</v>
      </c>
    </row>
    <row r="142" spans="1:21" x14ac:dyDescent="0.2">
      <c r="A142" s="335">
        <v>2070</v>
      </c>
      <c r="B142" s="3206" t="s">
        <v>739</v>
      </c>
      <c r="C142" s="3206"/>
      <c r="D142" s="3206"/>
      <c r="E142" s="3206"/>
      <c r="F142" s="649">
        <f>SUM(H142:S142)</f>
        <v>0</v>
      </c>
      <c r="H142" s="659">
        <v>0</v>
      </c>
      <c r="I142" s="659">
        <v>0</v>
      </c>
      <c r="J142" s="659">
        <v>0</v>
      </c>
      <c r="K142" s="659">
        <v>0</v>
      </c>
      <c r="L142" s="659">
        <v>0</v>
      </c>
      <c r="M142" s="659">
        <v>0</v>
      </c>
      <c r="N142" s="659">
        <v>0</v>
      </c>
      <c r="O142" s="659">
        <v>0</v>
      </c>
      <c r="P142" s="659">
        <v>0</v>
      </c>
      <c r="Q142" s="659">
        <v>0</v>
      </c>
      <c r="R142" s="659">
        <v>0</v>
      </c>
      <c r="S142" s="659">
        <v>0</v>
      </c>
      <c r="U142" s="2367">
        <v>22712000</v>
      </c>
    </row>
    <row r="143" spans="1:21" x14ac:dyDescent="0.2">
      <c r="A143" s="335">
        <v>2080</v>
      </c>
      <c r="B143" s="3206" t="s">
        <v>701</v>
      </c>
      <c r="C143" s="3206"/>
      <c r="D143" s="3206"/>
      <c r="E143" s="3206"/>
      <c r="F143" s="649">
        <f>SUM(H143:S143)</f>
        <v>0</v>
      </c>
      <c r="G143" s="335"/>
      <c r="H143" s="659">
        <v>0</v>
      </c>
      <c r="I143" s="659">
        <v>0</v>
      </c>
      <c r="J143" s="659">
        <v>0</v>
      </c>
      <c r="K143" s="659">
        <v>0</v>
      </c>
      <c r="L143" s="659">
        <v>0</v>
      </c>
      <c r="M143" s="659">
        <v>0</v>
      </c>
      <c r="N143" s="659">
        <v>0</v>
      </c>
      <c r="O143" s="659">
        <v>0</v>
      </c>
      <c r="P143" s="659">
        <v>0</v>
      </c>
      <c r="Q143" s="659">
        <v>0</v>
      </c>
      <c r="R143" s="659">
        <v>0</v>
      </c>
      <c r="S143" s="659">
        <v>0</v>
      </c>
      <c r="U143" s="2367">
        <v>22719000</v>
      </c>
    </row>
    <row r="144" spans="1:21" x14ac:dyDescent="0.2">
      <c r="A144" s="335">
        <v>2024</v>
      </c>
      <c r="B144" s="3206" t="s">
        <v>1347</v>
      </c>
      <c r="C144" s="3206"/>
      <c r="D144" s="3206"/>
      <c r="E144" s="3206"/>
      <c r="F144" s="649">
        <f>SUM(H144:S144)</f>
        <v>0</v>
      </c>
      <c r="H144" s="659">
        <v>0</v>
      </c>
      <c r="I144" s="659">
        <v>0</v>
      </c>
      <c r="J144" s="659">
        <v>0</v>
      </c>
      <c r="K144" s="659">
        <v>0</v>
      </c>
      <c r="L144" s="659">
        <v>0</v>
      </c>
      <c r="M144" s="659">
        <v>0</v>
      </c>
      <c r="N144" s="659">
        <v>0</v>
      </c>
      <c r="O144" s="659">
        <v>0</v>
      </c>
      <c r="P144" s="659">
        <v>0</v>
      </c>
      <c r="Q144" s="659">
        <v>0</v>
      </c>
      <c r="R144" s="659">
        <v>0</v>
      </c>
      <c r="S144" s="659">
        <v>0</v>
      </c>
      <c r="U144" s="2367">
        <v>22920000</v>
      </c>
    </row>
    <row r="145" spans="1:21" x14ac:dyDescent="0.2">
      <c r="A145" s="1129">
        <v>2035</v>
      </c>
      <c r="B145" s="3206" t="s">
        <v>4630</v>
      </c>
      <c r="C145" s="3206"/>
      <c r="D145" s="3206"/>
      <c r="E145" s="3206"/>
      <c r="F145" s="1036">
        <f>'310'!M26-'310'!O26</f>
        <v>0</v>
      </c>
      <c r="H145" s="1079">
        <v>0</v>
      </c>
      <c r="I145" s="1079">
        <v>0</v>
      </c>
      <c r="J145" s="1079">
        <v>0</v>
      </c>
      <c r="K145" s="1079">
        <v>0</v>
      </c>
      <c r="L145" s="1079">
        <v>0</v>
      </c>
      <c r="M145" s="1079">
        <v>0</v>
      </c>
      <c r="N145" s="1079">
        <v>0</v>
      </c>
      <c r="O145" s="1079">
        <v>0</v>
      </c>
      <c r="P145" s="1079">
        <v>0</v>
      </c>
      <c r="Q145" s="1079">
        <v>0</v>
      </c>
      <c r="R145" s="1079">
        <v>0</v>
      </c>
      <c r="S145" s="1079">
        <v>0</v>
      </c>
      <c r="T145" t="str">
        <f>IF(SUM(H145:S145)=F145,"OK ","Problem: sum of amts keyed for each agency in col H through S must tie to total on combined worksheet")</f>
        <v xml:space="preserve">OK </v>
      </c>
    </row>
    <row r="146" spans="1:21" x14ac:dyDescent="0.2">
      <c r="A146" s="1129">
        <v>2040</v>
      </c>
      <c r="B146" s="3307" t="s">
        <v>5525</v>
      </c>
      <c r="C146" s="3307"/>
      <c r="D146" s="3307"/>
      <c r="E146" s="3307"/>
      <c r="F146" s="1036">
        <f>'310'!M27-'310'!O27</f>
        <v>0</v>
      </c>
      <c r="H146" s="1079">
        <v>0</v>
      </c>
      <c r="I146" s="1079">
        <v>0</v>
      </c>
      <c r="J146" s="1079">
        <v>0</v>
      </c>
      <c r="K146" s="1079">
        <v>0</v>
      </c>
      <c r="L146" s="1079">
        <v>0</v>
      </c>
      <c r="M146" s="1079">
        <v>0</v>
      </c>
      <c r="N146" s="1079">
        <v>0</v>
      </c>
      <c r="O146" s="1079">
        <v>0</v>
      </c>
      <c r="P146" s="1079">
        <v>0</v>
      </c>
      <c r="Q146" s="1079">
        <v>0</v>
      </c>
      <c r="R146" s="1079">
        <v>0</v>
      </c>
      <c r="S146" s="1079">
        <v>0</v>
      </c>
      <c r="T146" t="str">
        <f t="shared" ref="T146:T157" si="18">IF(SUM(H146:S146)=F146,"OK ","Problem: sum of amts keyed for each agency in col H through S must tie to total on combined worksheet")</f>
        <v xml:space="preserve">OK </v>
      </c>
      <c r="U146" s="2377"/>
    </row>
    <row r="147" spans="1:21" x14ac:dyDescent="0.2">
      <c r="A147" s="1129">
        <v>2050</v>
      </c>
      <c r="B147" s="3206" t="s">
        <v>1510</v>
      </c>
      <c r="C147" s="3206"/>
      <c r="D147" s="3206"/>
      <c r="E147" s="3206"/>
      <c r="F147" s="1036">
        <f>'310'!M17+'310'!M18+'310'!M19+'310'!M20+'310'!M21+'310'!M22+'310'!M23 -'310'!O17-'310'!O18-'310'!O19-'310'!O20-'310'!O21</f>
        <v>0</v>
      </c>
      <c r="G147" s="14"/>
      <c r="H147" s="1079">
        <v>0</v>
      </c>
      <c r="I147" s="1079">
        <v>0</v>
      </c>
      <c r="J147" s="1079">
        <v>0</v>
      </c>
      <c r="K147" s="1079">
        <v>0</v>
      </c>
      <c r="L147" s="1079">
        <v>0</v>
      </c>
      <c r="M147" s="1079">
        <v>0</v>
      </c>
      <c r="N147" s="1079">
        <v>0</v>
      </c>
      <c r="O147" s="1079">
        <v>0</v>
      </c>
      <c r="P147" s="1079">
        <v>0</v>
      </c>
      <c r="Q147" s="1079">
        <v>0</v>
      </c>
      <c r="R147" s="1079">
        <v>0</v>
      </c>
      <c r="S147" s="1079">
        <v>0</v>
      </c>
      <c r="T147" t="str">
        <f t="shared" si="18"/>
        <v xml:space="preserve">OK </v>
      </c>
      <c r="U147" s="2377"/>
    </row>
    <row r="148" spans="1:21" x14ac:dyDescent="0.2">
      <c r="A148" s="1129">
        <v>2060</v>
      </c>
      <c r="B148" s="3206" t="s">
        <v>1511</v>
      </c>
      <c r="C148" s="3206"/>
      <c r="D148" s="3206"/>
      <c r="E148" s="3206"/>
      <c r="F148" s="1036">
        <f>'310'!M24-'310'!O24</f>
        <v>0</v>
      </c>
      <c r="H148" s="1079">
        <v>0</v>
      </c>
      <c r="I148" s="1079">
        <v>0</v>
      </c>
      <c r="J148" s="1079">
        <v>0</v>
      </c>
      <c r="K148" s="1079">
        <v>0</v>
      </c>
      <c r="L148" s="1079">
        <v>0</v>
      </c>
      <c r="M148" s="1079">
        <v>0</v>
      </c>
      <c r="N148" s="1079">
        <v>0</v>
      </c>
      <c r="O148" s="1079">
        <v>0</v>
      </c>
      <c r="P148" s="1079">
        <v>0</v>
      </c>
      <c r="Q148" s="1079">
        <v>0</v>
      </c>
      <c r="R148" s="1079">
        <v>0</v>
      </c>
      <c r="S148" s="1079">
        <v>0</v>
      </c>
      <c r="T148" t="str">
        <f t="shared" si="18"/>
        <v xml:space="preserve">OK </v>
      </c>
      <c r="U148" s="2377"/>
    </row>
    <row r="149" spans="1:21" x14ac:dyDescent="0.2">
      <c r="A149" s="1129">
        <v>2061</v>
      </c>
      <c r="B149" s="3206" t="s">
        <v>3804</v>
      </c>
      <c r="C149" s="3206"/>
      <c r="D149" s="3206"/>
      <c r="E149" s="3206"/>
      <c r="F149" s="1036">
        <f>'310'!M25-'310'!O25</f>
        <v>0</v>
      </c>
      <c r="H149" s="1079">
        <v>0</v>
      </c>
      <c r="I149" s="1079">
        <v>0</v>
      </c>
      <c r="J149" s="1079">
        <v>0</v>
      </c>
      <c r="K149" s="1079">
        <v>0</v>
      </c>
      <c r="L149" s="1079">
        <v>0</v>
      </c>
      <c r="M149" s="1079">
        <v>0</v>
      </c>
      <c r="N149" s="1079">
        <v>0</v>
      </c>
      <c r="O149" s="1079">
        <v>0</v>
      </c>
      <c r="P149" s="1079">
        <v>0</v>
      </c>
      <c r="Q149" s="1079">
        <v>0</v>
      </c>
      <c r="R149" s="1079">
        <v>0</v>
      </c>
      <c r="S149" s="1079">
        <v>0</v>
      </c>
      <c r="T149" t="str">
        <f>IF(SUM(H149:S149)=F149,"OK ","Problem: sum of amts keyed for each agency in col H through S must tie to total on combined worksheet")</f>
        <v xml:space="preserve">OK </v>
      </c>
      <c r="U149" s="2377"/>
    </row>
    <row r="150" spans="1:21" x14ac:dyDescent="0.2">
      <c r="A150" s="1129">
        <v>2045</v>
      </c>
      <c r="B150" s="3206" t="s">
        <v>1512</v>
      </c>
      <c r="C150" s="3206"/>
      <c r="D150" s="3206"/>
      <c r="E150" s="3206"/>
      <c r="F150" s="1036">
        <f>'310'!M28-'310'!O28</f>
        <v>0</v>
      </c>
      <c r="G150" s="14"/>
      <c r="H150" s="1079">
        <v>0</v>
      </c>
      <c r="I150" s="1079">
        <v>0</v>
      </c>
      <c r="J150" s="1079">
        <v>0</v>
      </c>
      <c r="K150" s="1079">
        <v>0</v>
      </c>
      <c r="L150" s="1079">
        <v>0</v>
      </c>
      <c r="M150" s="1079">
        <v>0</v>
      </c>
      <c r="N150" s="1079">
        <v>0</v>
      </c>
      <c r="O150" s="1079">
        <v>0</v>
      </c>
      <c r="P150" s="1079">
        <v>0</v>
      </c>
      <c r="Q150" s="1079">
        <v>0</v>
      </c>
      <c r="R150" s="1079">
        <v>0</v>
      </c>
      <c r="S150" s="1079">
        <v>0</v>
      </c>
      <c r="T150" t="str">
        <f t="shared" si="18"/>
        <v xml:space="preserve">OK </v>
      </c>
      <c r="U150" s="2377"/>
    </row>
    <row r="151" spans="1:21" x14ac:dyDescent="0.2">
      <c r="A151" s="1129">
        <v>2085</v>
      </c>
      <c r="B151" s="3206" t="s">
        <v>1513</v>
      </c>
      <c r="C151" s="3206"/>
      <c r="D151" s="3206"/>
      <c r="E151" s="3206"/>
      <c r="F151" s="1036">
        <f>'310'!M30-'310'!O30</f>
        <v>0</v>
      </c>
      <c r="H151" s="1079">
        <v>0</v>
      </c>
      <c r="I151" s="1079">
        <v>0</v>
      </c>
      <c r="J151" s="1079">
        <v>0</v>
      </c>
      <c r="K151" s="1079">
        <v>0</v>
      </c>
      <c r="L151" s="1079">
        <v>0</v>
      </c>
      <c r="M151" s="1079">
        <v>0</v>
      </c>
      <c r="N151" s="1079">
        <v>0</v>
      </c>
      <c r="O151" s="1079">
        <v>0</v>
      </c>
      <c r="P151" s="1079">
        <v>0</v>
      </c>
      <c r="Q151" s="1079">
        <v>0</v>
      </c>
      <c r="R151" s="1079">
        <v>0</v>
      </c>
      <c r="S151" s="1079">
        <v>0</v>
      </c>
      <c r="T151" t="str">
        <f t="shared" si="18"/>
        <v xml:space="preserve">OK </v>
      </c>
      <c r="U151" s="2377"/>
    </row>
    <row r="152" spans="1:21" x14ac:dyDescent="0.2">
      <c r="A152" s="1129">
        <v>2087</v>
      </c>
      <c r="B152" s="3206" t="s">
        <v>4620</v>
      </c>
      <c r="C152" s="3206"/>
      <c r="D152" s="3206"/>
      <c r="E152" s="3206"/>
      <c r="F152" s="1036">
        <f>'310'!M31-'310'!O31</f>
        <v>0</v>
      </c>
      <c r="H152" s="1079">
        <v>0</v>
      </c>
      <c r="I152" s="1079">
        <v>0</v>
      </c>
      <c r="J152" s="1079">
        <v>0</v>
      </c>
      <c r="K152" s="1079">
        <v>0</v>
      </c>
      <c r="L152" s="1079">
        <v>0</v>
      </c>
      <c r="M152" s="1079">
        <v>0</v>
      </c>
      <c r="N152" s="1079">
        <v>0</v>
      </c>
      <c r="O152" s="1079">
        <v>0</v>
      </c>
      <c r="P152" s="1079">
        <v>0</v>
      </c>
      <c r="Q152" s="1079">
        <v>0</v>
      </c>
      <c r="R152" s="1079">
        <v>0</v>
      </c>
      <c r="S152" s="1079">
        <v>0</v>
      </c>
      <c r="T152" t="str">
        <f>IF(SUM(H152:S152)=F152,"OK ","Problem: sum of amts keyed for each agency in col H through S must tie to total on combined worksheet")</f>
        <v xml:space="preserve">OK </v>
      </c>
      <c r="U152" s="2377"/>
    </row>
    <row r="153" spans="1:21" x14ac:dyDescent="0.2">
      <c r="A153" s="1129">
        <v>2090</v>
      </c>
      <c r="B153" s="3206" t="s">
        <v>3873</v>
      </c>
      <c r="C153" s="3206"/>
      <c r="D153" s="3206"/>
      <c r="E153" s="3206"/>
      <c r="F153" s="1036">
        <f>'310'!M32-'310'!O32</f>
        <v>0</v>
      </c>
      <c r="H153" s="1079">
        <v>0</v>
      </c>
      <c r="I153" s="1079">
        <v>0</v>
      </c>
      <c r="J153" s="1079">
        <v>0</v>
      </c>
      <c r="K153" s="1079">
        <v>0</v>
      </c>
      <c r="L153" s="1079">
        <v>0</v>
      </c>
      <c r="M153" s="1079">
        <v>0</v>
      </c>
      <c r="N153" s="1079">
        <v>0</v>
      </c>
      <c r="O153" s="1079">
        <v>0</v>
      </c>
      <c r="P153" s="1079">
        <v>0</v>
      </c>
      <c r="Q153" s="1079">
        <v>0</v>
      </c>
      <c r="R153" s="1079">
        <v>0</v>
      </c>
      <c r="S153" s="1079">
        <v>0</v>
      </c>
      <c r="T153" t="str">
        <f t="shared" si="18"/>
        <v xml:space="preserve">OK </v>
      </c>
      <c r="U153" s="2377"/>
    </row>
    <row r="154" spans="1:21" x14ac:dyDescent="0.2">
      <c r="A154" s="1129">
        <v>2098</v>
      </c>
      <c r="B154" s="3206" t="s">
        <v>3874</v>
      </c>
      <c r="C154" s="3206"/>
      <c r="D154" s="3206"/>
      <c r="E154" s="3206"/>
      <c r="F154" s="1036">
        <f>'310'!M33-'310'!O33</f>
        <v>0</v>
      </c>
      <c r="H154" s="1079">
        <v>0</v>
      </c>
      <c r="I154" s="1079">
        <v>0</v>
      </c>
      <c r="J154" s="1079">
        <v>0</v>
      </c>
      <c r="K154" s="1079">
        <v>0</v>
      </c>
      <c r="L154" s="1079">
        <v>0</v>
      </c>
      <c r="M154" s="1079">
        <v>0</v>
      </c>
      <c r="N154" s="1079">
        <v>0</v>
      </c>
      <c r="O154" s="1079">
        <v>0</v>
      </c>
      <c r="P154" s="1079">
        <v>0</v>
      </c>
      <c r="Q154" s="1079">
        <v>0</v>
      </c>
      <c r="R154" s="1079">
        <v>0</v>
      </c>
      <c r="S154" s="1079">
        <v>0</v>
      </c>
      <c r="T154" t="str">
        <f>IF(SUM(H154:S154)=F154,"OK ","Problem: sum of amts keyed for each agency in col H through S must tie to total on combined worksheet")</f>
        <v xml:space="preserve">OK </v>
      </c>
      <c r="U154" s="2377"/>
    </row>
    <row r="155" spans="1:21" x14ac:dyDescent="0.2">
      <c r="A155" s="1129">
        <v>2099</v>
      </c>
      <c r="B155" s="3206" t="s">
        <v>4456</v>
      </c>
      <c r="C155" s="3206"/>
      <c r="D155" s="3206"/>
      <c r="E155" s="3206"/>
      <c r="F155" s="1036">
        <f>'310'!M34-'310'!O34</f>
        <v>0</v>
      </c>
      <c r="H155" s="1079">
        <v>0</v>
      </c>
      <c r="I155" s="1079">
        <v>0</v>
      </c>
      <c r="J155" s="1079">
        <v>0</v>
      </c>
      <c r="K155" s="1079">
        <v>0</v>
      </c>
      <c r="L155" s="1079">
        <v>0</v>
      </c>
      <c r="M155" s="1079">
        <v>0</v>
      </c>
      <c r="N155" s="1079">
        <v>0</v>
      </c>
      <c r="O155" s="1079">
        <v>0</v>
      </c>
      <c r="P155" s="1079">
        <v>0</v>
      </c>
      <c r="Q155" s="1079">
        <v>0</v>
      </c>
      <c r="R155" s="1079">
        <v>0</v>
      </c>
      <c r="S155" s="1079">
        <v>0</v>
      </c>
      <c r="T155" t="str">
        <f>IF(SUM(H155:S155)=F155,"OK ","Problem: sum of amts keyed for each agency in col H through S must tie to total on combined worksheet")</f>
        <v xml:space="preserve">OK </v>
      </c>
      <c r="U155" s="2377"/>
    </row>
    <row r="156" spans="1:21" x14ac:dyDescent="0.2">
      <c r="A156" s="1129">
        <v>2095</v>
      </c>
      <c r="B156" s="3206" t="s">
        <v>1514</v>
      </c>
      <c r="C156" s="3206"/>
      <c r="D156" s="3206"/>
      <c r="E156" s="3206"/>
      <c r="F156" s="1036">
        <f>'310'!M35-'310'!O35</f>
        <v>0</v>
      </c>
      <c r="H156" s="1079">
        <v>0</v>
      </c>
      <c r="I156" s="1079">
        <v>0</v>
      </c>
      <c r="J156" s="1079">
        <v>0</v>
      </c>
      <c r="K156" s="1079">
        <v>0</v>
      </c>
      <c r="L156" s="1079">
        <v>0</v>
      </c>
      <c r="M156" s="1079">
        <v>0</v>
      </c>
      <c r="N156" s="1079">
        <v>0</v>
      </c>
      <c r="O156" s="1079">
        <v>0</v>
      </c>
      <c r="P156" s="1079">
        <v>0</v>
      </c>
      <c r="Q156" s="1079">
        <v>0</v>
      </c>
      <c r="R156" s="1079">
        <v>0</v>
      </c>
      <c r="S156" s="1079">
        <v>0</v>
      </c>
      <c r="T156" t="str">
        <f t="shared" si="18"/>
        <v xml:space="preserve">OK </v>
      </c>
      <c r="U156" s="2377"/>
    </row>
    <row r="157" spans="1:21" x14ac:dyDescent="0.2">
      <c r="A157" s="1129">
        <v>2096</v>
      </c>
      <c r="B157" s="3206" t="s">
        <v>1515</v>
      </c>
      <c r="C157" s="3206"/>
      <c r="D157" s="3206"/>
      <c r="E157" s="3206"/>
      <c r="F157" s="1036">
        <f>'310'!M36-'310'!O36</f>
        <v>0</v>
      </c>
      <c r="G157" s="14"/>
      <c r="H157" s="1079">
        <v>0</v>
      </c>
      <c r="I157" s="1079">
        <v>0</v>
      </c>
      <c r="J157" s="1079">
        <v>0</v>
      </c>
      <c r="K157" s="1079">
        <v>0</v>
      </c>
      <c r="L157" s="1079">
        <v>0</v>
      </c>
      <c r="M157" s="1079">
        <v>0</v>
      </c>
      <c r="N157" s="1079">
        <v>0</v>
      </c>
      <c r="O157" s="1079">
        <v>0</v>
      </c>
      <c r="P157" s="1079">
        <v>0</v>
      </c>
      <c r="Q157" s="1079">
        <v>0</v>
      </c>
      <c r="R157" s="1079">
        <v>0</v>
      </c>
      <c r="S157" s="1079">
        <v>0</v>
      </c>
      <c r="T157" t="str">
        <f t="shared" si="18"/>
        <v xml:space="preserve">OK </v>
      </c>
      <c r="U157" s="2377"/>
    </row>
    <row r="158" spans="1:21" x14ac:dyDescent="0.2">
      <c r="B158" s="3295" t="s">
        <v>751</v>
      </c>
      <c r="C158" s="3295"/>
      <c r="D158" s="3295"/>
      <c r="E158" s="3295"/>
      <c r="F158" s="661">
        <f>SUM(F137:F157)</f>
        <v>0</v>
      </c>
      <c r="H158" s="661">
        <f t="shared" ref="H158:S158" si="19">SUM(H137:H157)</f>
        <v>0</v>
      </c>
      <c r="I158" s="661">
        <f t="shared" si="19"/>
        <v>0</v>
      </c>
      <c r="J158" s="661">
        <f t="shared" si="19"/>
        <v>0</v>
      </c>
      <c r="K158" s="661">
        <f t="shared" si="19"/>
        <v>0</v>
      </c>
      <c r="L158" s="661">
        <f t="shared" si="19"/>
        <v>0</v>
      </c>
      <c r="M158" s="661">
        <f t="shared" si="19"/>
        <v>0</v>
      </c>
      <c r="N158" s="661">
        <f t="shared" si="19"/>
        <v>0</v>
      </c>
      <c r="O158" s="661">
        <f t="shared" si="19"/>
        <v>0</v>
      </c>
      <c r="P158" s="661">
        <f t="shared" si="19"/>
        <v>0</v>
      </c>
      <c r="Q158" s="661">
        <f t="shared" si="19"/>
        <v>0</v>
      </c>
      <c r="R158" s="661">
        <f t="shared" si="19"/>
        <v>0</v>
      </c>
      <c r="S158" s="661">
        <f t="shared" si="19"/>
        <v>0</v>
      </c>
      <c r="T158" t="str">
        <f>IF(SUM(H158:S158)=F158,"OK ","Crossfoot error: sum of Col H thru S must equal total in Col F")</f>
        <v xml:space="preserve">OK </v>
      </c>
      <c r="U158" s="2377"/>
    </row>
    <row r="159" spans="1:21" x14ac:dyDescent="0.2">
      <c r="H159" s="649"/>
      <c r="I159" s="649"/>
      <c r="J159" s="649"/>
      <c r="K159" s="649"/>
      <c r="L159" s="649"/>
      <c r="M159" s="649"/>
      <c r="N159" s="649"/>
      <c r="O159" s="649"/>
      <c r="P159" s="649"/>
      <c r="Q159" s="649"/>
      <c r="R159" s="649"/>
      <c r="S159" s="649"/>
      <c r="U159" s="2377"/>
    </row>
    <row r="160" spans="1:21" x14ac:dyDescent="0.2">
      <c r="B160" s="3295" t="s">
        <v>752</v>
      </c>
      <c r="C160" s="3295"/>
      <c r="D160" s="3295"/>
      <c r="E160" s="3295"/>
      <c r="F160" s="651">
        <f>F133+F158</f>
        <v>0</v>
      </c>
      <c r="H160" s="651">
        <f t="shared" ref="H160:S160" si="20">H133+H158</f>
        <v>0</v>
      </c>
      <c r="I160" s="651">
        <f t="shared" si="20"/>
        <v>0</v>
      </c>
      <c r="J160" s="651">
        <f t="shared" si="20"/>
        <v>0</v>
      </c>
      <c r="K160" s="651">
        <f t="shared" si="20"/>
        <v>0</v>
      </c>
      <c r="L160" s="651">
        <f t="shared" si="20"/>
        <v>0</v>
      </c>
      <c r="M160" s="651">
        <f t="shared" si="20"/>
        <v>0</v>
      </c>
      <c r="N160" s="651">
        <f t="shared" si="20"/>
        <v>0</v>
      </c>
      <c r="O160" s="651">
        <f t="shared" si="20"/>
        <v>0</v>
      </c>
      <c r="P160" s="651">
        <f t="shared" si="20"/>
        <v>0</v>
      </c>
      <c r="Q160" s="651">
        <f t="shared" si="20"/>
        <v>0</v>
      </c>
      <c r="R160" s="651">
        <f t="shared" si="20"/>
        <v>0</v>
      </c>
      <c r="S160" s="651">
        <f t="shared" si="20"/>
        <v>0</v>
      </c>
      <c r="T160" t="str">
        <f>IF(SUM(H160:S160)=F160,"OK ","Crossfoot error: sum of Col H thru S must equal total in Col F")</f>
        <v xml:space="preserve">OK </v>
      </c>
      <c r="U160" s="2377"/>
    </row>
    <row r="161" spans="1:25" x14ac:dyDescent="0.2">
      <c r="F161"/>
      <c r="U161" s="2377"/>
    </row>
    <row r="162" spans="1:25" x14ac:dyDescent="0.2">
      <c r="B162" s="394" t="s">
        <v>1931</v>
      </c>
      <c r="H162" s="649"/>
      <c r="I162" s="649"/>
      <c r="J162" s="649"/>
      <c r="K162" s="649"/>
      <c r="L162" s="649"/>
      <c r="M162" s="649"/>
      <c r="N162" s="649"/>
      <c r="O162" s="649"/>
      <c r="P162" s="649"/>
      <c r="Q162" s="649"/>
      <c r="R162" s="649"/>
      <c r="S162" s="649"/>
      <c r="U162" s="2377"/>
    </row>
    <row r="163" spans="1:25" x14ac:dyDescent="0.2">
      <c r="A163" s="335">
        <v>1764</v>
      </c>
      <c r="B163" s="3206" t="s">
        <v>1932</v>
      </c>
      <c r="C163" s="3206"/>
      <c r="D163" s="3206"/>
      <c r="E163" s="3206"/>
      <c r="F163" s="649">
        <f t="shared" ref="F163:F172" si="21">SUM(H163:S163)</f>
        <v>0</v>
      </c>
      <c r="H163" s="659">
        <v>0</v>
      </c>
      <c r="I163" s="659">
        <v>0</v>
      </c>
      <c r="J163" s="659">
        <v>0</v>
      </c>
      <c r="K163" s="659">
        <v>0</v>
      </c>
      <c r="L163" s="659">
        <v>0</v>
      </c>
      <c r="M163" s="659">
        <v>0</v>
      </c>
      <c r="N163" s="659">
        <v>0</v>
      </c>
      <c r="O163" s="659">
        <v>0</v>
      </c>
      <c r="P163" s="659">
        <v>0</v>
      </c>
      <c r="Q163" s="659">
        <v>0</v>
      </c>
      <c r="R163" s="659">
        <v>0</v>
      </c>
      <c r="S163" s="659">
        <v>0</v>
      </c>
      <c r="U163" s="2367">
        <v>71100003</v>
      </c>
    </row>
    <row r="164" spans="1:25" x14ac:dyDescent="0.2">
      <c r="A164" s="335">
        <v>2026</v>
      </c>
      <c r="B164" s="3206" t="s">
        <v>1933</v>
      </c>
      <c r="C164" s="3206"/>
      <c r="D164" s="3206"/>
      <c r="E164" s="3206"/>
      <c r="F164" s="649">
        <f t="shared" si="21"/>
        <v>0</v>
      </c>
      <c r="H164" s="659">
        <v>0</v>
      </c>
      <c r="I164" s="659">
        <v>0</v>
      </c>
      <c r="J164" s="659">
        <v>0</v>
      </c>
      <c r="K164" s="659">
        <v>0</v>
      </c>
      <c r="L164" s="659">
        <v>0</v>
      </c>
      <c r="M164" s="659">
        <v>0</v>
      </c>
      <c r="N164" s="659">
        <v>0</v>
      </c>
      <c r="O164" s="659">
        <v>0</v>
      </c>
      <c r="P164" s="659">
        <v>0</v>
      </c>
      <c r="Q164" s="659">
        <v>0</v>
      </c>
      <c r="R164" s="659">
        <v>0</v>
      </c>
      <c r="S164" s="659">
        <v>0</v>
      </c>
      <c r="U164" s="2367">
        <v>71100004</v>
      </c>
    </row>
    <row r="165" spans="1:25" x14ac:dyDescent="0.2">
      <c r="A165" s="335">
        <v>1766</v>
      </c>
      <c r="B165" s="3206" t="s">
        <v>3560</v>
      </c>
      <c r="C165" s="3206"/>
      <c r="D165" s="3206"/>
      <c r="E165" s="3206"/>
      <c r="F165" s="649">
        <f t="shared" si="21"/>
        <v>0</v>
      </c>
      <c r="H165" s="659">
        <v>0</v>
      </c>
      <c r="I165" s="659">
        <v>0</v>
      </c>
      <c r="J165" s="659">
        <v>0</v>
      </c>
      <c r="K165" s="659">
        <v>0</v>
      </c>
      <c r="L165" s="659">
        <v>0</v>
      </c>
      <c r="M165" s="659">
        <v>0</v>
      </c>
      <c r="N165" s="659">
        <v>0</v>
      </c>
      <c r="O165" s="659">
        <v>0</v>
      </c>
      <c r="P165" s="659">
        <v>0</v>
      </c>
      <c r="Q165" s="659">
        <v>0</v>
      </c>
      <c r="R165" s="659">
        <v>0</v>
      </c>
      <c r="S165" s="659">
        <v>0</v>
      </c>
      <c r="U165" s="2367">
        <v>71100005</v>
      </c>
    </row>
    <row r="166" spans="1:25" x14ac:dyDescent="0.2">
      <c r="A166" s="335">
        <v>1768</v>
      </c>
      <c r="B166" s="3206" t="s">
        <v>3577</v>
      </c>
      <c r="C166" s="3206"/>
      <c r="D166" s="3206"/>
      <c r="E166" s="3206"/>
      <c r="F166" s="649">
        <f t="shared" si="21"/>
        <v>0</v>
      </c>
      <c r="H166" s="659">
        <v>0</v>
      </c>
      <c r="I166" s="659">
        <v>0</v>
      </c>
      <c r="J166" s="659">
        <v>0</v>
      </c>
      <c r="K166" s="659">
        <v>0</v>
      </c>
      <c r="L166" s="659">
        <v>0</v>
      </c>
      <c r="M166" s="659">
        <v>0</v>
      </c>
      <c r="N166" s="659">
        <v>0</v>
      </c>
      <c r="O166" s="659">
        <v>0</v>
      </c>
      <c r="P166" s="659">
        <v>0</v>
      </c>
      <c r="Q166" s="659">
        <v>0</v>
      </c>
      <c r="R166" s="659">
        <v>0</v>
      </c>
      <c r="S166" s="659">
        <v>0</v>
      </c>
      <c r="U166" s="2367">
        <v>71100006</v>
      </c>
    </row>
    <row r="167" spans="1:25" x14ac:dyDescent="0.2">
      <c r="A167" s="335">
        <v>1765</v>
      </c>
      <c r="B167" s="3206" t="s">
        <v>3876</v>
      </c>
      <c r="C167" s="3206"/>
      <c r="D167" s="3206"/>
      <c r="E167" s="3206"/>
      <c r="F167" s="649">
        <f>SUM(H167:S167)</f>
        <v>0</v>
      </c>
      <c r="H167" s="659">
        <v>0</v>
      </c>
      <c r="I167" s="659">
        <v>0</v>
      </c>
      <c r="J167" s="659">
        <v>0</v>
      </c>
      <c r="K167" s="659">
        <v>0</v>
      </c>
      <c r="L167" s="659">
        <v>0</v>
      </c>
      <c r="M167" s="659">
        <v>0</v>
      </c>
      <c r="N167" s="659">
        <v>0</v>
      </c>
      <c r="O167" s="659">
        <v>0</v>
      </c>
      <c r="P167" s="659">
        <v>0</v>
      </c>
      <c r="Q167" s="659">
        <v>0</v>
      </c>
      <c r="R167" s="659">
        <v>0</v>
      </c>
      <c r="S167" s="659">
        <v>0</v>
      </c>
      <c r="U167" s="2367">
        <v>71100008</v>
      </c>
    </row>
    <row r="168" spans="1:25" x14ac:dyDescent="0.2">
      <c r="A168" s="335">
        <v>1772</v>
      </c>
      <c r="B168" s="3206" t="s">
        <v>4458</v>
      </c>
      <c r="C168" s="3206"/>
      <c r="D168" s="3206"/>
      <c r="E168" s="3206"/>
      <c r="F168" s="649">
        <f t="shared" si="21"/>
        <v>0</v>
      </c>
      <c r="H168" s="659">
        <v>0</v>
      </c>
      <c r="I168" s="659">
        <v>0</v>
      </c>
      <c r="J168" s="659">
        <v>0</v>
      </c>
      <c r="K168" s="659">
        <v>0</v>
      </c>
      <c r="L168" s="659">
        <v>0</v>
      </c>
      <c r="M168" s="659">
        <v>0</v>
      </c>
      <c r="N168" s="659">
        <v>0</v>
      </c>
      <c r="O168" s="659">
        <v>0</v>
      </c>
      <c r="P168" s="659">
        <v>0</v>
      </c>
      <c r="Q168" s="659">
        <v>0</v>
      </c>
      <c r="R168" s="659">
        <v>0</v>
      </c>
      <c r="S168" s="659">
        <v>0</v>
      </c>
      <c r="U168" s="2367">
        <v>71100009</v>
      </c>
    </row>
    <row r="169" spans="1:25" x14ac:dyDescent="0.2">
      <c r="A169" s="335">
        <v>1767</v>
      </c>
      <c r="B169" s="3206" t="s">
        <v>3875</v>
      </c>
      <c r="C169" s="3206"/>
      <c r="D169" s="3206"/>
      <c r="E169" s="3206"/>
      <c r="F169" s="649">
        <f>SUM(H169:S169)</f>
        <v>0</v>
      </c>
      <c r="H169" s="659">
        <v>0</v>
      </c>
      <c r="I169" s="659">
        <v>0</v>
      </c>
      <c r="J169" s="659">
        <v>0</v>
      </c>
      <c r="K169" s="659">
        <v>0</v>
      </c>
      <c r="L169" s="659">
        <v>0</v>
      </c>
      <c r="M169" s="659">
        <v>0</v>
      </c>
      <c r="N169" s="659">
        <v>0</v>
      </c>
      <c r="O169" s="659">
        <v>0</v>
      </c>
      <c r="P169" s="659">
        <v>0</v>
      </c>
      <c r="Q169" s="659">
        <v>0</v>
      </c>
      <c r="R169" s="659">
        <v>0</v>
      </c>
      <c r="S169" s="659">
        <v>0</v>
      </c>
      <c r="U169" s="2367">
        <v>71100010</v>
      </c>
    </row>
    <row r="170" spans="1:25" x14ac:dyDescent="0.2">
      <c r="A170" s="335">
        <v>1771</v>
      </c>
      <c r="B170" s="3206" t="s">
        <v>4457</v>
      </c>
      <c r="C170" s="3206"/>
      <c r="D170" s="3206"/>
      <c r="E170" s="3206"/>
      <c r="F170" s="649">
        <f t="shared" si="21"/>
        <v>0</v>
      </c>
      <c r="H170" s="659">
        <v>0</v>
      </c>
      <c r="I170" s="659">
        <v>0</v>
      </c>
      <c r="J170" s="659">
        <v>0</v>
      </c>
      <c r="K170" s="659">
        <v>0</v>
      </c>
      <c r="L170" s="659">
        <v>0</v>
      </c>
      <c r="M170" s="659">
        <v>0</v>
      </c>
      <c r="N170" s="659">
        <v>0</v>
      </c>
      <c r="O170" s="659">
        <v>0</v>
      </c>
      <c r="P170" s="659">
        <v>0</v>
      </c>
      <c r="Q170" s="659">
        <v>0</v>
      </c>
      <c r="R170" s="659">
        <v>0</v>
      </c>
      <c r="S170" s="659">
        <v>0</v>
      </c>
      <c r="U170" s="2367">
        <v>71100011</v>
      </c>
    </row>
    <row r="171" spans="1:25" s="2515" customFormat="1" x14ac:dyDescent="0.2">
      <c r="A171" s="2516">
        <v>1773</v>
      </c>
      <c r="B171" s="3307" t="s">
        <v>5526</v>
      </c>
      <c r="C171" s="3307"/>
      <c r="D171" s="3307"/>
      <c r="E171" s="3307"/>
      <c r="F171" s="649">
        <f t="shared" si="21"/>
        <v>0</v>
      </c>
      <c r="H171" s="659">
        <v>0</v>
      </c>
      <c r="I171" s="659">
        <v>0</v>
      </c>
      <c r="J171" s="659">
        <v>0</v>
      </c>
      <c r="K171" s="659">
        <v>0</v>
      </c>
      <c r="L171" s="659">
        <v>0</v>
      </c>
      <c r="M171" s="659">
        <v>0</v>
      </c>
      <c r="N171" s="659">
        <v>0</v>
      </c>
      <c r="O171" s="659">
        <v>0</v>
      </c>
      <c r="P171" s="659">
        <v>0</v>
      </c>
      <c r="Q171" s="659"/>
      <c r="R171" s="659"/>
      <c r="S171" s="659"/>
      <c r="U171" s="2367">
        <v>71100012</v>
      </c>
      <c r="V171" s="2517"/>
      <c r="W171" s="2517"/>
      <c r="X171" s="2517"/>
      <c r="Y171" s="2517"/>
    </row>
    <row r="172" spans="1:25" x14ac:dyDescent="0.2">
      <c r="A172" s="335">
        <v>1769</v>
      </c>
      <c r="B172" s="3206" t="s">
        <v>3954</v>
      </c>
      <c r="C172" s="3206"/>
      <c r="D172" s="3206"/>
      <c r="E172" s="3206"/>
      <c r="F172" s="649">
        <f t="shared" si="21"/>
        <v>0</v>
      </c>
      <c r="H172" s="659">
        <v>0</v>
      </c>
      <c r="I172" s="659">
        <v>0</v>
      </c>
      <c r="J172" s="659">
        <v>0</v>
      </c>
      <c r="K172" s="659">
        <v>0</v>
      </c>
      <c r="L172" s="659">
        <v>0</v>
      </c>
      <c r="M172" s="659">
        <v>0</v>
      </c>
      <c r="N172" s="659">
        <v>0</v>
      </c>
      <c r="O172" s="659">
        <v>0</v>
      </c>
      <c r="P172" s="659">
        <v>0</v>
      </c>
      <c r="Q172" s="659">
        <v>0</v>
      </c>
      <c r="R172" s="659">
        <v>0</v>
      </c>
      <c r="S172" s="659">
        <v>0</v>
      </c>
      <c r="U172" s="2367">
        <v>71100007</v>
      </c>
    </row>
    <row r="173" spans="1:25" x14ac:dyDescent="0.2">
      <c r="B173" s="3295" t="s">
        <v>1934</v>
      </c>
      <c r="C173" s="3295"/>
      <c r="D173" s="3295"/>
      <c r="E173" s="3295"/>
      <c r="F173" s="661">
        <f>SUM(F162:F172)</f>
        <v>0</v>
      </c>
      <c r="H173" s="661">
        <f t="shared" ref="H173:S173" si="22">SUM(H162:H172)</f>
        <v>0</v>
      </c>
      <c r="I173" s="661">
        <f t="shared" si="22"/>
        <v>0</v>
      </c>
      <c r="J173" s="661">
        <f t="shared" si="22"/>
        <v>0</v>
      </c>
      <c r="K173" s="661">
        <f t="shared" si="22"/>
        <v>0</v>
      </c>
      <c r="L173" s="661">
        <f t="shared" si="22"/>
        <v>0</v>
      </c>
      <c r="M173" s="661">
        <f t="shared" si="22"/>
        <v>0</v>
      </c>
      <c r="N173" s="661">
        <f t="shared" si="22"/>
        <v>0</v>
      </c>
      <c r="O173" s="661">
        <f t="shared" si="22"/>
        <v>0</v>
      </c>
      <c r="P173" s="661">
        <f t="shared" si="22"/>
        <v>0</v>
      </c>
      <c r="Q173" s="661">
        <f t="shared" si="22"/>
        <v>0</v>
      </c>
      <c r="R173" s="661">
        <f t="shared" si="22"/>
        <v>0</v>
      </c>
      <c r="S173" s="661">
        <f t="shared" si="22"/>
        <v>0</v>
      </c>
      <c r="U173" s="2377"/>
    </row>
    <row r="174" spans="1:25" x14ac:dyDescent="0.2">
      <c r="U174" s="2377"/>
    </row>
    <row r="175" spans="1:25" x14ac:dyDescent="0.2">
      <c r="B175" s="395" t="s">
        <v>1892</v>
      </c>
      <c r="U175" s="2377"/>
    </row>
    <row r="176" spans="1:25" x14ac:dyDescent="0.2">
      <c r="A176" s="335">
        <v>2130</v>
      </c>
      <c r="B176" s="3206" t="s">
        <v>1937</v>
      </c>
      <c r="C176" s="3206"/>
      <c r="D176" s="3206"/>
      <c r="E176" s="3206"/>
      <c r="F176" s="649">
        <f>SUM(H176:S176)</f>
        <v>0</v>
      </c>
      <c r="G176" t="str">
        <f>IF((F176&lt;=F68+F82)," ","Problem: Must be less than or equal to capital assets, depreciable and nondeprec, net")</f>
        <v xml:space="preserve"> </v>
      </c>
      <c r="H176" s="659">
        <v>0</v>
      </c>
      <c r="I176" s="659">
        <v>0</v>
      </c>
      <c r="J176" s="659">
        <v>0</v>
      </c>
      <c r="K176" s="659">
        <v>0</v>
      </c>
      <c r="L176" s="659">
        <v>0</v>
      </c>
      <c r="M176" s="659">
        <v>0</v>
      </c>
      <c r="N176" s="659">
        <v>0</v>
      </c>
      <c r="O176" s="659">
        <v>0</v>
      </c>
      <c r="P176" s="659">
        <v>0</v>
      </c>
      <c r="Q176" s="659">
        <v>0</v>
      </c>
      <c r="R176" s="659">
        <v>0</v>
      </c>
      <c r="S176" s="659">
        <v>0</v>
      </c>
      <c r="U176" s="2377" t="s">
        <v>5123</v>
      </c>
      <c r="V176" s="2367" t="s">
        <v>5077</v>
      </c>
    </row>
    <row r="177" spans="1:22" x14ac:dyDescent="0.2">
      <c r="A177" s="330"/>
      <c r="B177" s="335" t="s">
        <v>1418</v>
      </c>
      <c r="C177" s="335"/>
      <c r="D177" s="335"/>
      <c r="E177" s="335"/>
      <c r="U177" s="2377"/>
      <c r="V177" s="2367"/>
    </row>
    <row r="178" spans="1:22" x14ac:dyDescent="0.2">
      <c r="A178" s="335">
        <v>2140</v>
      </c>
      <c r="B178" s="3300" t="s">
        <v>1212</v>
      </c>
      <c r="C178" s="3300"/>
      <c r="D178" s="3300"/>
      <c r="E178" s="3300"/>
      <c r="F178" s="649">
        <f t="shared" ref="F178:F185" si="23">SUM(H178:S178)</f>
        <v>0</v>
      </c>
      <c r="G178" t="str">
        <f>IF(F178&lt;0,"Problem: Restricted net assets cannot be negative - see Net Assets Policy in Instructions"," ")</f>
        <v xml:space="preserve"> </v>
      </c>
      <c r="H178" s="659">
        <v>0</v>
      </c>
      <c r="I178" s="659">
        <v>0</v>
      </c>
      <c r="J178" s="659">
        <v>0</v>
      </c>
      <c r="K178" s="659">
        <v>0</v>
      </c>
      <c r="L178" s="659">
        <v>0</v>
      </c>
      <c r="M178" s="659">
        <v>0</v>
      </c>
      <c r="N178" s="659">
        <v>0</v>
      </c>
      <c r="O178" s="659">
        <v>0</v>
      </c>
      <c r="P178" s="659">
        <v>0</v>
      </c>
      <c r="Q178" s="659">
        <v>0</v>
      </c>
      <c r="R178" s="659">
        <v>0</v>
      </c>
      <c r="S178" s="659">
        <v>0</v>
      </c>
      <c r="U178" s="2377" t="s">
        <v>5124</v>
      </c>
      <c r="V178" s="2367" t="s">
        <v>5029</v>
      </c>
    </row>
    <row r="179" spans="1:22" x14ac:dyDescent="0.2">
      <c r="A179" s="335">
        <v>2141</v>
      </c>
      <c r="B179" s="3300" t="s">
        <v>1038</v>
      </c>
      <c r="C179" s="3300"/>
      <c r="D179" s="3300"/>
      <c r="E179" s="3300"/>
      <c r="F179" s="649">
        <f t="shared" si="23"/>
        <v>0</v>
      </c>
      <c r="G179" t="str">
        <f t="shared" ref="G179:G184" si="24">IF(F179&lt;0,"Problem: Restricted net assets cannot be negative - see Net Assets Policy in Instructions"," ")</f>
        <v xml:space="preserve"> </v>
      </c>
      <c r="H179" s="659">
        <v>0</v>
      </c>
      <c r="I179" s="659">
        <v>0</v>
      </c>
      <c r="J179" s="659">
        <v>0</v>
      </c>
      <c r="K179" s="659">
        <v>0</v>
      </c>
      <c r="L179" s="659">
        <v>0</v>
      </c>
      <c r="M179" s="659">
        <v>0</v>
      </c>
      <c r="N179" s="659">
        <v>0</v>
      </c>
      <c r="O179" s="659">
        <v>0</v>
      </c>
      <c r="P179" s="659">
        <v>0</v>
      </c>
      <c r="Q179" s="659">
        <v>0</v>
      </c>
      <c r="R179" s="659">
        <v>0</v>
      </c>
      <c r="S179" s="659">
        <v>0</v>
      </c>
      <c r="U179" s="2377" t="s">
        <v>5124</v>
      </c>
      <c r="V179" s="2367" t="s">
        <v>4996</v>
      </c>
    </row>
    <row r="180" spans="1:22" x14ac:dyDescent="0.2">
      <c r="A180" s="335">
        <v>2142</v>
      </c>
      <c r="B180" s="3300" t="s">
        <v>1039</v>
      </c>
      <c r="C180" s="3300"/>
      <c r="D180" s="3300"/>
      <c r="E180" s="3300"/>
      <c r="F180" s="649">
        <f t="shared" si="23"/>
        <v>0</v>
      </c>
      <c r="G180" t="str">
        <f t="shared" si="24"/>
        <v xml:space="preserve"> </v>
      </c>
      <c r="H180" s="659">
        <v>0</v>
      </c>
      <c r="I180" s="659">
        <v>0</v>
      </c>
      <c r="J180" s="659">
        <v>0</v>
      </c>
      <c r="K180" s="659">
        <v>0</v>
      </c>
      <c r="L180" s="659">
        <v>0</v>
      </c>
      <c r="M180" s="659">
        <v>0</v>
      </c>
      <c r="N180" s="659">
        <v>0</v>
      </c>
      <c r="O180" s="659">
        <v>0</v>
      </c>
      <c r="P180" s="659">
        <v>0</v>
      </c>
      <c r="Q180" s="659">
        <v>0</v>
      </c>
      <c r="R180" s="659">
        <v>0</v>
      </c>
      <c r="S180" s="659">
        <v>0</v>
      </c>
      <c r="U180" s="2377" t="s">
        <v>5124</v>
      </c>
      <c r="V180" s="2367" t="s">
        <v>5133</v>
      </c>
    </row>
    <row r="181" spans="1:22" x14ac:dyDescent="0.2">
      <c r="A181" s="330"/>
      <c r="B181" s="335" t="s">
        <v>1303</v>
      </c>
      <c r="U181" s="2377"/>
      <c r="V181" s="2367"/>
    </row>
    <row r="182" spans="1:22" x14ac:dyDescent="0.2">
      <c r="A182" s="335">
        <v>2150</v>
      </c>
      <c r="B182" s="3300" t="s">
        <v>1212</v>
      </c>
      <c r="C182" s="3300"/>
      <c r="D182" s="3300"/>
      <c r="E182" s="3300"/>
      <c r="F182" s="649">
        <f t="shared" si="23"/>
        <v>0</v>
      </c>
      <c r="G182" t="str">
        <f t="shared" si="24"/>
        <v xml:space="preserve"> </v>
      </c>
      <c r="H182" s="659">
        <v>0</v>
      </c>
      <c r="I182" s="659">
        <v>0</v>
      </c>
      <c r="J182" s="659">
        <v>0</v>
      </c>
      <c r="K182" s="659">
        <v>0</v>
      </c>
      <c r="L182" s="659">
        <v>0</v>
      </c>
      <c r="M182" s="659">
        <v>0</v>
      </c>
      <c r="N182" s="659">
        <v>0</v>
      </c>
      <c r="O182" s="659">
        <v>0</v>
      </c>
      <c r="P182" s="659">
        <v>0</v>
      </c>
      <c r="Q182" s="659">
        <v>0</v>
      </c>
      <c r="R182" s="659">
        <v>0</v>
      </c>
      <c r="S182" s="659">
        <v>0</v>
      </c>
      <c r="U182" s="2377" t="s">
        <v>1114</v>
      </c>
      <c r="V182" s="2367" t="s">
        <v>5029</v>
      </c>
    </row>
    <row r="183" spans="1:22" x14ac:dyDescent="0.2">
      <c r="A183" s="335">
        <v>2151</v>
      </c>
      <c r="B183" s="3300" t="s">
        <v>1038</v>
      </c>
      <c r="C183" s="3300"/>
      <c r="D183" s="3300"/>
      <c r="E183" s="3300"/>
      <c r="F183" s="649">
        <f t="shared" si="23"/>
        <v>0</v>
      </c>
      <c r="G183" t="str">
        <f t="shared" si="24"/>
        <v xml:space="preserve"> </v>
      </c>
      <c r="H183" s="659">
        <v>0</v>
      </c>
      <c r="I183" s="659">
        <v>0</v>
      </c>
      <c r="J183" s="659">
        <v>0</v>
      </c>
      <c r="K183" s="659">
        <v>0</v>
      </c>
      <c r="L183" s="659">
        <v>0</v>
      </c>
      <c r="M183" s="659">
        <v>0</v>
      </c>
      <c r="N183" s="659">
        <v>0</v>
      </c>
      <c r="O183" s="659">
        <v>0</v>
      </c>
      <c r="P183" s="659">
        <v>0</v>
      </c>
      <c r="Q183" s="659">
        <v>0</v>
      </c>
      <c r="R183" s="659">
        <v>0</v>
      </c>
      <c r="S183" s="659">
        <v>0</v>
      </c>
      <c r="U183" s="2377" t="s">
        <v>1114</v>
      </c>
      <c r="V183" s="2367" t="s">
        <v>4996</v>
      </c>
    </row>
    <row r="184" spans="1:22" x14ac:dyDescent="0.2">
      <c r="A184" s="335">
        <v>2152</v>
      </c>
      <c r="B184" s="3300" t="s">
        <v>1039</v>
      </c>
      <c r="C184" s="3300"/>
      <c r="D184" s="3300"/>
      <c r="E184" s="3300"/>
      <c r="F184" s="649">
        <f t="shared" si="23"/>
        <v>0</v>
      </c>
      <c r="G184" t="str">
        <f t="shared" si="24"/>
        <v xml:space="preserve"> </v>
      </c>
      <c r="H184" s="659">
        <v>0</v>
      </c>
      <c r="I184" s="659">
        <v>0</v>
      </c>
      <c r="J184" s="659">
        <v>0</v>
      </c>
      <c r="K184" s="659">
        <v>0</v>
      </c>
      <c r="L184" s="659">
        <v>0</v>
      </c>
      <c r="M184" s="659">
        <v>0</v>
      </c>
      <c r="N184" s="659">
        <v>0</v>
      </c>
      <c r="O184" s="659">
        <v>0</v>
      </c>
      <c r="P184" s="659">
        <v>0</v>
      </c>
      <c r="Q184" s="659">
        <v>0</v>
      </c>
      <c r="R184" s="659">
        <v>0</v>
      </c>
      <c r="S184" s="659">
        <v>0</v>
      </c>
      <c r="U184" s="2377" t="s">
        <v>1114</v>
      </c>
      <c r="V184" s="2367" t="s">
        <v>5133</v>
      </c>
    </row>
    <row r="185" spans="1:22" x14ac:dyDescent="0.2">
      <c r="A185" s="335">
        <v>2180</v>
      </c>
      <c r="B185" s="3206" t="s">
        <v>923</v>
      </c>
      <c r="C185" s="3206"/>
      <c r="D185" s="3206"/>
      <c r="E185" s="3206"/>
      <c r="F185" s="649">
        <f t="shared" si="23"/>
        <v>0</v>
      </c>
      <c r="H185" s="659">
        <v>0</v>
      </c>
      <c r="I185" s="659">
        <v>0</v>
      </c>
      <c r="J185" s="659">
        <v>0</v>
      </c>
      <c r="K185" s="659">
        <v>0</v>
      </c>
      <c r="L185" s="659">
        <v>0</v>
      </c>
      <c r="M185" s="659">
        <v>0</v>
      </c>
      <c r="N185" s="659">
        <v>0</v>
      </c>
      <c r="O185" s="659">
        <v>0</v>
      </c>
      <c r="P185" s="659">
        <v>0</v>
      </c>
      <c r="Q185" s="659">
        <v>0</v>
      </c>
      <c r="R185" s="659">
        <v>0</v>
      </c>
      <c r="S185" s="659">
        <v>0</v>
      </c>
      <c r="U185" s="2377" t="s">
        <v>5125</v>
      </c>
      <c r="V185" s="2367" t="s">
        <v>4982</v>
      </c>
    </row>
    <row r="186" spans="1:22" ht="13.5" thickBot="1" x14ac:dyDescent="0.25">
      <c r="B186" s="3295" t="s">
        <v>1893</v>
      </c>
      <c r="C186" s="3295"/>
      <c r="D186" s="3295"/>
      <c r="E186" s="3295"/>
      <c r="F186" s="804">
        <f>SUM(F176:F185)</f>
        <v>0</v>
      </c>
      <c r="H186" s="804">
        <f t="shared" ref="H186:M186" si="25">SUM(H176:H185)</f>
        <v>0</v>
      </c>
      <c r="I186" s="804">
        <f t="shared" si="25"/>
        <v>0</v>
      </c>
      <c r="J186" s="804">
        <f t="shared" si="25"/>
        <v>0</v>
      </c>
      <c r="K186" s="804">
        <f t="shared" si="25"/>
        <v>0</v>
      </c>
      <c r="L186" s="804">
        <f t="shared" si="25"/>
        <v>0</v>
      </c>
      <c r="M186" s="804">
        <f t="shared" si="25"/>
        <v>0</v>
      </c>
      <c r="N186" s="804">
        <f t="shared" ref="N186:S186" si="26">SUM(N176:N185)</f>
        <v>0</v>
      </c>
      <c r="O186" s="804">
        <f t="shared" si="26"/>
        <v>0</v>
      </c>
      <c r="P186" s="804">
        <f t="shared" si="26"/>
        <v>0</v>
      </c>
      <c r="Q186" s="804">
        <f t="shared" si="26"/>
        <v>0</v>
      </c>
      <c r="R186" s="804">
        <f t="shared" si="26"/>
        <v>0</v>
      </c>
      <c r="S186" s="804">
        <f t="shared" si="26"/>
        <v>0</v>
      </c>
      <c r="T186" t="str">
        <f>IF(SUM(H186:S186)=F186,"OK ","Crossfoot error: sum of Col H thru S must equal total in Col F")</f>
        <v xml:space="preserve">OK </v>
      </c>
    </row>
    <row r="187" spans="1:22" ht="13.5" thickTop="1" x14ac:dyDescent="0.2"/>
    <row r="188" spans="1:22" x14ac:dyDescent="0.2">
      <c r="B188" s="335" t="s">
        <v>1935</v>
      </c>
      <c r="C188" s="785"/>
      <c r="D188" s="785"/>
      <c r="E188" s="785"/>
      <c r="F188" s="805" t="str">
        <f>IF(ROUND(F85+F95-F160-F173,2)=F186, "In Bal.","Out of Bal.")</f>
        <v>In Bal.</v>
      </c>
      <c r="H188" s="805" t="str">
        <f t="shared" ref="H188:S188" si="27">IF(ROUND(H85+H95-H160-H173,2)=H186, "In Bal.","Out of Bal.")</f>
        <v>In Bal.</v>
      </c>
      <c r="I188" s="805" t="str">
        <f t="shared" si="27"/>
        <v>In Bal.</v>
      </c>
      <c r="J188" s="805" t="str">
        <f t="shared" si="27"/>
        <v>In Bal.</v>
      </c>
      <c r="K188" s="805" t="str">
        <f t="shared" si="27"/>
        <v>In Bal.</v>
      </c>
      <c r="L188" s="805" t="str">
        <f t="shared" si="27"/>
        <v>In Bal.</v>
      </c>
      <c r="M188" s="805" t="str">
        <f t="shared" si="27"/>
        <v>In Bal.</v>
      </c>
      <c r="N188" s="805" t="str">
        <f t="shared" si="27"/>
        <v>In Bal.</v>
      </c>
      <c r="O188" s="805" t="str">
        <f t="shared" si="27"/>
        <v>In Bal.</v>
      </c>
      <c r="P188" s="805" t="str">
        <f t="shared" si="27"/>
        <v>In Bal.</v>
      </c>
      <c r="Q188" s="805" t="str">
        <f t="shared" si="27"/>
        <v>In Bal.</v>
      </c>
      <c r="R188" s="805" t="str">
        <f t="shared" si="27"/>
        <v>In Bal.</v>
      </c>
      <c r="S188" s="805" t="str">
        <f t="shared" si="27"/>
        <v>In Bal.</v>
      </c>
    </row>
    <row r="189" spans="1:22" ht="7.5" customHeight="1" x14ac:dyDescent="0.2"/>
    <row r="190" spans="1:22" x14ac:dyDescent="0.2">
      <c r="B190" s="3303" t="s">
        <v>1894</v>
      </c>
      <c r="C190" s="3303"/>
      <c r="D190" s="3303"/>
      <c r="E190" s="3303"/>
      <c r="U190" s="2377"/>
    </row>
    <row r="191" spans="1:22" x14ac:dyDescent="0.2">
      <c r="B191" s="783" t="s">
        <v>754</v>
      </c>
      <c r="C191" s="783"/>
      <c r="U191" s="2377"/>
    </row>
    <row r="192" spans="1:22" x14ac:dyDescent="0.2">
      <c r="A192" s="335">
        <v>2310</v>
      </c>
      <c r="B192" s="3294" t="s">
        <v>782</v>
      </c>
      <c r="C192" s="3294"/>
      <c r="D192" s="3294"/>
      <c r="E192" s="3294"/>
      <c r="F192" s="649">
        <f>SUM(H192:S192)</f>
        <v>0</v>
      </c>
      <c r="H192" s="659">
        <v>0</v>
      </c>
      <c r="I192" s="659">
        <v>0</v>
      </c>
      <c r="J192" s="659">
        <v>0</v>
      </c>
      <c r="K192" s="659">
        <v>0</v>
      </c>
      <c r="L192" s="659">
        <v>0</v>
      </c>
      <c r="M192" s="659">
        <v>0</v>
      </c>
      <c r="N192" s="659">
        <v>0</v>
      </c>
      <c r="O192" s="659">
        <v>0</v>
      </c>
      <c r="P192" s="659">
        <v>0</v>
      </c>
      <c r="Q192" s="659">
        <v>0</v>
      </c>
      <c r="R192" s="659">
        <v>0</v>
      </c>
      <c r="S192" s="659">
        <v>0</v>
      </c>
      <c r="U192" s="2367">
        <v>44101000</v>
      </c>
    </row>
    <row r="193" spans="1:21" x14ac:dyDescent="0.2">
      <c r="A193" s="335">
        <v>2320</v>
      </c>
      <c r="B193" s="3294" t="s">
        <v>1425</v>
      </c>
      <c r="C193" s="3294"/>
      <c r="D193" s="3294"/>
      <c r="E193" s="3294"/>
      <c r="F193" s="649">
        <f t="shared" ref="F193:F202" si="28">SUM(H193:S193)</f>
        <v>0</v>
      </c>
      <c r="G193" s="14"/>
      <c r="H193" s="659">
        <v>0</v>
      </c>
      <c r="I193" s="659">
        <v>0</v>
      </c>
      <c r="J193" s="659">
        <v>0</v>
      </c>
      <c r="K193" s="659">
        <v>0</v>
      </c>
      <c r="L193" s="659">
        <v>0</v>
      </c>
      <c r="M193" s="659">
        <v>0</v>
      </c>
      <c r="N193" s="659">
        <v>0</v>
      </c>
      <c r="O193" s="659">
        <v>0</v>
      </c>
      <c r="P193" s="659">
        <v>0</v>
      </c>
      <c r="Q193" s="659">
        <v>0</v>
      </c>
      <c r="R193" s="659">
        <v>0</v>
      </c>
      <c r="S193" s="659">
        <v>0</v>
      </c>
      <c r="U193" s="2367">
        <v>45800000</v>
      </c>
    </row>
    <row r="194" spans="1:21" x14ac:dyDescent="0.2">
      <c r="A194" s="335">
        <v>2330</v>
      </c>
      <c r="B194" s="3294" t="s">
        <v>1426</v>
      </c>
      <c r="C194" s="3294"/>
      <c r="D194" s="3294"/>
      <c r="E194" s="3294"/>
      <c r="F194" s="649">
        <f t="shared" si="28"/>
        <v>0</v>
      </c>
      <c r="G194" s="14"/>
      <c r="H194" s="659">
        <v>0</v>
      </c>
      <c r="I194" s="659">
        <v>0</v>
      </c>
      <c r="J194" s="659">
        <v>0</v>
      </c>
      <c r="K194" s="659">
        <v>0</v>
      </c>
      <c r="L194" s="659">
        <v>0</v>
      </c>
      <c r="M194" s="659">
        <v>0</v>
      </c>
      <c r="N194" s="659">
        <v>0</v>
      </c>
      <c r="O194" s="659">
        <v>0</v>
      </c>
      <c r="P194" s="659">
        <v>0</v>
      </c>
      <c r="Q194" s="659">
        <v>0</v>
      </c>
      <c r="R194" s="659">
        <v>0</v>
      </c>
      <c r="S194" s="659">
        <v>0</v>
      </c>
      <c r="U194" s="2367">
        <v>44200000</v>
      </c>
    </row>
    <row r="195" spans="1:21" x14ac:dyDescent="0.2">
      <c r="A195" s="335">
        <v>2350</v>
      </c>
      <c r="B195" s="3294" t="s">
        <v>1427</v>
      </c>
      <c r="C195" s="3294"/>
      <c r="D195" s="3294"/>
      <c r="E195" s="3294"/>
      <c r="F195" s="649">
        <f t="shared" si="28"/>
        <v>0</v>
      </c>
      <c r="G195" s="14"/>
      <c r="H195" s="659">
        <v>0</v>
      </c>
      <c r="I195" s="659">
        <v>0</v>
      </c>
      <c r="J195" s="659">
        <v>0</v>
      </c>
      <c r="K195" s="659">
        <v>0</v>
      </c>
      <c r="L195" s="659">
        <v>0</v>
      </c>
      <c r="M195" s="659">
        <v>0</v>
      </c>
      <c r="N195" s="659">
        <v>0</v>
      </c>
      <c r="O195" s="659">
        <v>0</v>
      </c>
      <c r="P195" s="659">
        <v>0</v>
      </c>
      <c r="Q195" s="659">
        <v>0</v>
      </c>
      <c r="R195" s="659">
        <v>0</v>
      </c>
      <c r="S195" s="659">
        <v>0</v>
      </c>
      <c r="U195" s="2367">
        <v>42997000</v>
      </c>
    </row>
    <row r="196" spans="1:21" x14ac:dyDescent="0.2">
      <c r="A196" s="335">
        <v>2370</v>
      </c>
      <c r="B196" s="3294" t="s">
        <v>388</v>
      </c>
      <c r="C196" s="3294"/>
      <c r="D196" s="3294"/>
      <c r="E196" s="3294"/>
      <c r="F196" s="649">
        <f t="shared" si="28"/>
        <v>0</v>
      </c>
      <c r="H196" s="659">
        <v>0</v>
      </c>
      <c r="I196" s="659">
        <v>0</v>
      </c>
      <c r="J196" s="659">
        <v>0</v>
      </c>
      <c r="K196" s="659">
        <v>0</v>
      </c>
      <c r="L196" s="659">
        <v>0</v>
      </c>
      <c r="M196" s="659">
        <v>0</v>
      </c>
      <c r="N196" s="659">
        <v>0</v>
      </c>
      <c r="O196" s="659">
        <v>0</v>
      </c>
      <c r="P196" s="659">
        <v>0</v>
      </c>
      <c r="Q196" s="659">
        <v>0</v>
      </c>
      <c r="R196" s="659">
        <v>0</v>
      </c>
      <c r="S196" s="659">
        <v>0</v>
      </c>
      <c r="U196" s="2384" t="s">
        <v>5126</v>
      </c>
    </row>
    <row r="197" spans="1:21" x14ac:dyDescent="0.2">
      <c r="A197" s="335">
        <v>2390</v>
      </c>
      <c r="B197" s="3299" t="s">
        <v>389</v>
      </c>
      <c r="C197" s="3299"/>
      <c r="D197" s="3299"/>
      <c r="E197" s="3299"/>
      <c r="F197" s="649">
        <f t="shared" si="28"/>
        <v>0</v>
      </c>
      <c r="H197" s="659">
        <v>0</v>
      </c>
      <c r="I197" s="659">
        <v>0</v>
      </c>
      <c r="J197" s="659">
        <v>0</v>
      </c>
      <c r="K197" s="659">
        <v>0</v>
      </c>
      <c r="L197" s="659">
        <v>0</v>
      </c>
      <c r="M197" s="659">
        <v>0</v>
      </c>
      <c r="N197" s="659">
        <v>0</v>
      </c>
      <c r="O197" s="659">
        <v>0</v>
      </c>
      <c r="P197" s="659">
        <v>0</v>
      </c>
      <c r="Q197" s="659">
        <v>0</v>
      </c>
      <c r="R197" s="659">
        <v>0</v>
      </c>
      <c r="S197" s="659">
        <v>0</v>
      </c>
      <c r="U197" s="2384" t="s">
        <v>5127</v>
      </c>
    </row>
    <row r="198" spans="1:21" x14ac:dyDescent="0.2">
      <c r="A198" s="335">
        <v>2400</v>
      </c>
      <c r="B198" s="3206" t="s">
        <v>390</v>
      </c>
      <c r="C198" s="3206"/>
      <c r="D198" s="3206"/>
      <c r="E198" s="3206"/>
      <c r="F198" s="649">
        <f t="shared" si="28"/>
        <v>0</v>
      </c>
      <c r="H198" s="659">
        <v>0</v>
      </c>
      <c r="I198" s="659">
        <v>0</v>
      </c>
      <c r="J198" s="659">
        <v>0</v>
      </c>
      <c r="K198" s="659">
        <v>0</v>
      </c>
      <c r="L198" s="659">
        <v>0</v>
      </c>
      <c r="M198" s="659">
        <v>0</v>
      </c>
      <c r="N198" s="659">
        <v>0</v>
      </c>
      <c r="O198" s="659">
        <v>0</v>
      </c>
      <c r="P198" s="659">
        <v>0</v>
      </c>
      <c r="Q198" s="659">
        <v>0</v>
      </c>
      <c r="R198" s="659">
        <v>0</v>
      </c>
      <c r="S198" s="659">
        <v>0</v>
      </c>
      <c r="U198" s="2384" t="s">
        <v>5128</v>
      </c>
    </row>
    <row r="199" spans="1:21" x14ac:dyDescent="0.2">
      <c r="A199" s="335">
        <v>2410</v>
      </c>
      <c r="B199" s="3206" t="s">
        <v>391</v>
      </c>
      <c r="C199" s="3206"/>
      <c r="D199" s="3206"/>
      <c r="E199" s="3206"/>
      <c r="F199" s="649">
        <f t="shared" si="28"/>
        <v>0</v>
      </c>
      <c r="H199" s="659">
        <v>0</v>
      </c>
      <c r="I199" s="659">
        <v>0</v>
      </c>
      <c r="J199" s="659">
        <v>0</v>
      </c>
      <c r="K199" s="659">
        <v>0</v>
      </c>
      <c r="L199" s="659">
        <v>0</v>
      </c>
      <c r="M199" s="659">
        <v>0</v>
      </c>
      <c r="N199" s="659">
        <v>0</v>
      </c>
      <c r="O199" s="659">
        <v>0</v>
      </c>
      <c r="P199" s="659">
        <v>0</v>
      </c>
      <c r="Q199" s="659">
        <v>0</v>
      </c>
      <c r="R199" s="659">
        <v>0</v>
      </c>
      <c r="S199" s="659">
        <v>0</v>
      </c>
      <c r="U199" s="2367">
        <v>43200000</v>
      </c>
    </row>
    <row r="200" spans="1:21" x14ac:dyDescent="0.2">
      <c r="A200" s="335">
        <v>2420</v>
      </c>
      <c r="B200" s="3206" t="s">
        <v>783</v>
      </c>
      <c r="C200" s="3206"/>
      <c r="D200" s="3206"/>
      <c r="E200" s="3206"/>
      <c r="F200" s="649">
        <f t="shared" si="28"/>
        <v>0</v>
      </c>
      <c r="H200" s="659">
        <v>0</v>
      </c>
      <c r="I200" s="659">
        <v>0</v>
      </c>
      <c r="J200" s="659">
        <v>0</v>
      </c>
      <c r="K200" s="659">
        <v>0</v>
      </c>
      <c r="L200" s="659">
        <v>0</v>
      </c>
      <c r="M200" s="659">
        <v>0</v>
      </c>
      <c r="N200" s="659">
        <v>0</v>
      </c>
      <c r="O200" s="659">
        <v>0</v>
      </c>
      <c r="P200" s="659">
        <v>0</v>
      </c>
      <c r="Q200" s="659">
        <v>0</v>
      </c>
      <c r="R200" s="659">
        <v>0</v>
      </c>
      <c r="S200" s="659">
        <v>0</v>
      </c>
      <c r="U200" s="2367">
        <v>44410000</v>
      </c>
    </row>
    <row r="201" spans="1:21" x14ac:dyDescent="0.2">
      <c r="A201" s="335">
        <v>2430</v>
      </c>
      <c r="B201" s="3206" t="s">
        <v>8</v>
      </c>
      <c r="C201" s="3206"/>
      <c r="D201" s="3206"/>
      <c r="E201" s="3206"/>
      <c r="F201" s="649">
        <f t="shared" si="28"/>
        <v>0</v>
      </c>
      <c r="H201" s="659">
        <v>0</v>
      </c>
      <c r="I201" s="659">
        <v>0</v>
      </c>
      <c r="J201" s="659">
        <v>0</v>
      </c>
      <c r="K201" s="659">
        <v>0</v>
      </c>
      <c r="L201" s="659">
        <v>0</v>
      </c>
      <c r="M201" s="659">
        <v>0</v>
      </c>
      <c r="N201" s="659">
        <v>0</v>
      </c>
      <c r="O201" s="659">
        <v>0</v>
      </c>
      <c r="P201" s="659">
        <v>0</v>
      </c>
      <c r="Q201" s="659">
        <v>0</v>
      </c>
      <c r="R201" s="659">
        <v>0</v>
      </c>
      <c r="S201" s="659">
        <v>0</v>
      </c>
      <c r="U201" s="2367">
        <v>47993000</v>
      </c>
    </row>
    <row r="202" spans="1:21" x14ac:dyDescent="0.2">
      <c r="A202" s="335">
        <v>2450</v>
      </c>
      <c r="B202" s="3206" t="s">
        <v>643</v>
      </c>
      <c r="C202" s="3206"/>
      <c r="D202" s="3206"/>
      <c r="E202" s="3206"/>
      <c r="F202" s="649">
        <f t="shared" si="28"/>
        <v>0</v>
      </c>
      <c r="H202" s="659">
        <v>0</v>
      </c>
      <c r="I202" s="659">
        <v>0</v>
      </c>
      <c r="J202" s="659">
        <v>0</v>
      </c>
      <c r="K202" s="659">
        <v>0</v>
      </c>
      <c r="L202" s="659">
        <v>0</v>
      </c>
      <c r="M202" s="659">
        <v>0</v>
      </c>
      <c r="N202" s="659">
        <v>0</v>
      </c>
      <c r="O202" s="659">
        <v>0</v>
      </c>
      <c r="P202" s="659">
        <v>0</v>
      </c>
      <c r="Q202" s="659">
        <v>0</v>
      </c>
      <c r="R202" s="659">
        <v>0</v>
      </c>
      <c r="S202" s="659">
        <v>0</v>
      </c>
      <c r="U202" s="2367">
        <v>47111000</v>
      </c>
    </row>
    <row r="203" spans="1:21" x14ac:dyDescent="0.2">
      <c r="A203" s="785"/>
      <c r="B203" s="3295" t="s">
        <v>753</v>
      </c>
      <c r="C203" s="3295"/>
      <c r="D203" s="3295"/>
      <c r="E203" s="3295"/>
      <c r="F203" s="661">
        <f>SUM(F192:F202)</f>
        <v>0</v>
      </c>
      <c r="H203" s="661">
        <f t="shared" ref="H203:S203" si="29">SUM(H192:H202)</f>
        <v>0</v>
      </c>
      <c r="I203" s="661">
        <f t="shared" si="29"/>
        <v>0</v>
      </c>
      <c r="J203" s="661">
        <f t="shared" si="29"/>
        <v>0</v>
      </c>
      <c r="K203" s="661">
        <f t="shared" si="29"/>
        <v>0</v>
      </c>
      <c r="L203" s="661">
        <f t="shared" si="29"/>
        <v>0</v>
      </c>
      <c r="M203" s="661">
        <f t="shared" si="29"/>
        <v>0</v>
      </c>
      <c r="N203" s="661">
        <f t="shared" si="29"/>
        <v>0</v>
      </c>
      <c r="O203" s="661">
        <f t="shared" si="29"/>
        <v>0</v>
      </c>
      <c r="P203" s="661">
        <f t="shared" si="29"/>
        <v>0</v>
      </c>
      <c r="Q203" s="661">
        <f t="shared" si="29"/>
        <v>0</v>
      </c>
      <c r="R203" s="661">
        <f t="shared" si="29"/>
        <v>0</v>
      </c>
      <c r="S203" s="661">
        <f t="shared" si="29"/>
        <v>0</v>
      </c>
      <c r="T203" t="str">
        <f>IF(SUM(H203:S203)=F203,"OK ","Crossfoot error: sum of Col H thru S must equal total in Col F")</f>
        <v xml:space="preserve">OK </v>
      </c>
      <c r="U203" s="2377"/>
    </row>
    <row r="204" spans="1:21" ht="5.25" customHeight="1" x14ac:dyDescent="0.2">
      <c r="U204" s="2377"/>
    </row>
    <row r="205" spans="1:21" ht="13.5" customHeight="1" x14ac:dyDescent="0.2">
      <c r="B205" s="783" t="s">
        <v>755</v>
      </c>
      <c r="U205" s="2377"/>
    </row>
    <row r="206" spans="1:21" x14ac:dyDescent="0.2">
      <c r="A206" s="335">
        <v>2490</v>
      </c>
      <c r="B206" s="3294" t="s">
        <v>394</v>
      </c>
      <c r="C206" s="3294"/>
      <c r="D206" s="3294"/>
      <c r="E206" s="3294"/>
      <c r="F206" s="649">
        <f>SUM(H206:S206)</f>
        <v>0</v>
      </c>
      <c r="H206" s="659">
        <v>0</v>
      </c>
      <c r="I206" s="659">
        <v>0</v>
      </c>
      <c r="J206" s="659">
        <v>0</v>
      </c>
      <c r="K206" s="659">
        <v>0</v>
      </c>
      <c r="L206" s="659">
        <v>0</v>
      </c>
      <c r="M206" s="659">
        <v>0</v>
      </c>
      <c r="N206" s="659">
        <v>0</v>
      </c>
      <c r="O206" s="659">
        <v>0</v>
      </c>
      <c r="P206" s="659">
        <v>0</v>
      </c>
      <c r="Q206" s="659">
        <v>0</v>
      </c>
      <c r="R206" s="659">
        <v>0</v>
      </c>
      <c r="S206" s="659">
        <v>0</v>
      </c>
      <c r="U206" s="2367">
        <v>51110000</v>
      </c>
    </row>
    <row r="207" spans="1:21" x14ac:dyDescent="0.2">
      <c r="A207" s="335">
        <v>2510</v>
      </c>
      <c r="B207" s="3294" t="s">
        <v>3705</v>
      </c>
      <c r="C207" s="3294"/>
      <c r="D207" s="3294"/>
      <c r="E207" s="3294"/>
      <c r="F207" s="649">
        <f t="shared" ref="F207:F217" si="30">SUM(H207:S207)</f>
        <v>0</v>
      </c>
      <c r="H207" s="659">
        <v>0</v>
      </c>
      <c r="I207" s="659">
        <v>0</v>
      </c>
      <c r="J207" s="659">
        <v>0</v>
      </c>
      <c r="K207" s="659">
        <v>0</v>
      </c>
      <c r="L207" s="659">
        <v>0</v>
      </c>
      <c r="M207" s="659">
        <v>0</v>
      </c>
      <c r="N207" s="659">
        <v>0</v>
      </c>
      <c r="O207" s="659">
        <v>0</v>
      </c>
      <c r="P207" s="659">
        <v>0</v>
      </c>
      <c r="Q207" s="659">
        <v>0</v>
      </c>
      <c r="R207" s="659">
        <v>0</v>
      </c>
      <c r="S207" s="659">
        <v>0</v>
      </c>
      <c r="U207" s="2367">
        <v>53110000</v>
      </c>
    </row>
    <row r="208" spans="1:21" x14ac:dyDescent="0.2">
      <c r="A208" s="335">
        <v>2520</v>
      </c>
      <c r="B208" s="3299" t="s">
        <v>396</v>
      </c>
      <c r="C208" s="3299"/>
      <c r="D208" s="3299"/>
      <c r="E208" s="3299"/>
      <c r="F208" s="649">
        <f t="shared" si="30"/>
        <v>0</v>
      </c>
      <c r="H208" s="659">
        <v>0</v>
      </c>
      <c r="I208" s="659">
        <v>0</v>
      </c>
      <c r="J208" s="659">
        <v>0</v>
      </c>
      <c r="K208" s="659">
        <v>0</v>
      </c>
      <c r="L208" s="659">
        <v>0</v>
      </c>
      <c r="M208" s="659">
        <v>0</v>
      </c>
      <c r="N208" s="659">
        <v>0</v>
      </c>
      <c r="O208" s="659">
        <v>0</v>
      </c>
      <c r="P208" s="659">
        <v>0</v>
      </c>
      <c r="Q208" s="659">
        <v>0</v>
      </c>
      <c r="R208" s="659">
        <v>0</v>
      </c>
      <c r="S208" s="659">
        <v>0</v>
      </c>
      <c r="U208" s="2367">
        <v>52110000</v>
      </c>
    </row>
    <row r="209" spans="1:21" x14ac:dyDescent="0.2">
      <c r="A209" s="335">
        <v>2550</v>
      </c>
      <c r="B209" s="3206" t="s">
        <v>397</v>
      </c>
      <c r="C209" s="3206"/>
      <c r="D209" s="3206"/>
      <c r="E209" s="3206"/>
      <c r="F209" s="649">
        <f t="shared" si="30"/>
        <v>0</v>
      </c>
      <c r="H209" s="659">
        <v>0</v>
      </c>
      <c r="I209" s="659">
        <v>0</v>
      </c>
      <c r="J209" s="659">
        <v>0</v>
      </c>
      <c r="K209" s="659">
        <v>0</v>
      </c>
      <c r="L209" s="659">
        <v>0</v>
      </c>
      <c r="M209" s="659">
        <v>0</v>
      </c>
      <c r="N209" s="659">
        <v>0</v>
      </c>
      <c r="O209" s="659">
        <v>0</v>
      </c>
      <c r="P209" s="659">
        <v>0</v>
      </c>
      <c r="Q209" s="659">
        <v>0</v>
      </c>
      <c r="R209" s="659">
        <v>0</v>
      </c>
      <c r="S209" s="659">
        <v>0</v>
      </c>
      <c r="U209" s="2367">
        <v>53800000</v>
      </c>
    </row>
    <row r="210" spans="1:21" x14ac:dyDescent="0.2">
      <c r="A210" s="335">
        <v>2540</v>
      </c>
      <c r="B210" s="3206" t="s">
        <v>1171</v>
      </c>
      <c r="C210" s="3206"/>
      <c r="D210" s="3206"/>
      <c r="E210" s="3206"/>
      <c r="F210" s="649">
        <f t="shared" si="30"/>
        <v>0</v>
      </c>
      <c r="H210" s="659">
        <v>0</v>
      </c>
      <c r="I210" s="659">
        <v>0</v>
      </c>
      <c r="J210" s="659">
        <v>0</v>
      </c>
      <c r="K210" s="659">
        <v>0</v>
      </c>
      <c r="L210" s="659">
        <v>0</v>
      </c>
      <c r="M210" s="659">
        <v>0</v>
      </c>
      <c r="N210" s="659">
        <v>0</v>
      </c>
      <c r="O210" s="659">
        <v>0</v>
      </c>
      <c r="P210" s="659">
        <v>0</v>
      </c>
      <c r="Q210" s="659">
        <v>0</v>
      </c>
      <c r="R210" s="659">
        <v>0</v>
      </c>
      <c r="S210" s="659">
        <v>0</v>
      </c>
      <c r="U210" s="2367">
        <v>55210000</v>
      </c>
    </row>
    <row r="211" spans="1:21" x14ac:dyDescent="0.2">
      <c r="A211" s="335">
        <v>2560</v>
      </c>
      <c r="B211" s="3206" t="s">
        <v>379</v>
      </c>
      <c r="C211" s="3206"/>
      <c r="D211" s="3206"/>
      <c r="E211" s="3206"/>
      <c r="F211" s="649">
        <f t="shared" si="30"/>
        <v>0</v>
      </c>
      <c r="G211" s="14" t="str">
        <f>IF(F211='210'!M31," ","Should agree to total accumulated depreciation increases per ws 210, cell K25; provide explanation for difference on ws 210")</f>
        <v xml:space="preserve"> </v>
      </c>
      <c r="H211" s="659">
        <v>0</v>
      </c>
      <c r="I211" s="659">
        <v>0</v>
      </c>
      <c r="J211" s="659">
        <v>0</v>
      </c>
      <c r="K211" s="659">
        <v>0</v>
      </c>
      <c r="L211" s="659">
        <v>0</v>
      </c>
      <c r="M211" s="659">
        <v>0</v>
      </c>
      <c r="N211" s="659">
        <v>0</v>
      </c>
      <c r="O211" s="659">
        <v>0</v>
      </c>
      <c r="P211" s="659">
        <v>0</v>
      </c>
      <c r="Q211" s="659">
        <v>0</v>
      </c>
      <c r="R211" s="659">
        <v>0</v>
      </c>
      <c r="S211" s="659">
        <v>0</v>
      </c>
      <c r="U211" s="2367">
        <v>55430000</v>
      </c>
    </row>
    <row r="212" spans="1:21" x14ac:dyDescent="0.2">
      <c r="A212" s="335">
        <v>2570</v>
      </c>
      <c r="B212" s="3206" t="s">
        <v>1183</v>
      </c>
      <c r="C212" s="3206"/>
      <c r="D212" s="3206"/>
      <c r="E212" s="3206"/>
      <c r="F212" s="649">
        <f t="shared" si="30"/>
        <v>0</v>
      </c>
      <c r="H212" s="659">
        <v>0</v>
      </c>
      <c r="I212" s="659">
        <v>0</v>
      </c>
      <c r="J212" s="659">
        <v>0</v>
      </c>
      <c r="K212" s="659">
        <v>0</v>
      </c>
      <c r="L212" s="659">
        <v>0</v>
      </c>
      <c r="M212" s="659">
        <v>0</v>
      </c>
      <c r="N212" s="659">
        <v>0</v>
      </c>
      <c r="O212" s="659">
        <v>0</v>
      </c>
      <c r="P212" s="659">
        <v>0</v>
      </c>
      <c r="Q212" s="659">
        <v>0</v>
      </c>
      <c r="R212" s="659">
        <v>0</v>
      </c>
      <c r="S212" s="659">
        <v>0</v>
      </c>
      <c r="U212" s="2367">
        <v>52911000</v>
      </c>
    </row>
    <row r="213" spans="1:21" x14ac:dyDescent="0.2">
      <c r="A213" s="335">
        <v>2590</v>
      </c>
      <c r="B213" s="3294" t="s">
        <v>1428</v>
      </c>
      <c r="C213" s="3294"/>
      <c r="D213" s="3294"/>
      <c r="E213" s="3294"/>
      <c r="F213" s="649">
        <f t="shared" si="30"/>
        <v>0</v>
      </c>
      <c r="G213" s="14"/>
      <c r="H213" s="659">
        <v>0</v>
      </c>
      <c r="I213" s="659">
        <v>0</v>
      </c>
      <c r="J213" s="659">
        <v>0</v>
      </c>
      <c r="K213" s="659">
        <v>0</v>
      </c>
      <c r="L213" s="659">
        <v>0</v>
      </c>
      <c r="M213" s="659">
        <v>0</v>
      </c>
      <c r="N213" s="659">
        <v>0</v>
      </c>
      <c r="O213" s="659">
        <v>0</v>
      </c>
      <c r="P213" s="659">
        <v>0</v>
      </c>
      <c r="Q213" s="659">
        <v>0</v>
      </c>
      <c r="R213" s="659">
        <v>0</v>
      </c>
      <c r="S213" s="659">
        <v>0</v>
      </c>
      <c r="U213" s="2367">
        <v>56810000</v>
      </c>
    </row>
    <row r="214" spans="1:21" x14ac:dyDescent="0.2">
      <c r="A214" s="335"/>
      <c r="B214" s="335" t="s">
        <v>635</v>
      </c>
      <c r="C214" s="1436"/>
      <c r="D214" s="1436"/>
      <c r="E214" s="1436"/>
      <c r="F214" s="1436"/>
      <c r="G214" s="14"/>
      <c r="H214" s="649"/>
      <c r="I214" s="649"/>
      <c r="J214" s="649"/>
      <c r="K214" s="649"/>
      <c r="L214" s="649"/>
      <c r="M214" s="649"/>
      <c r="N214" s="649"/>
      <c r="O214" s="649"/>
      <c r="P214" s="649"/>
      <c r="Q214" s="649"/>
      <c r="R214" s="649"/>
      <c r="S214" s="649"/>
      <c r="U214" s="2367"/>
    </row>
    <row r="215" spans="1:21" x14ac:dyDescent="0.2">
      <c r="A215" s="335">
        <v>2610</v>
      </c>
      <c r="B215" s="3300" t="s">
        <v>1429</v>
      </c>
      <c r="C215" s="3300"/>
      <c r="D215" s="3300"/>
      <c r="E215" s="3300"/>
      <c r="F215" s="649">
        <f t="shared" si="30"/>
        <v>0</v>
      </c>
      <c r="G215" s="14"/>
      <c r="H215" s="659">
        <v>0</v>
      </c>
      <c r="I215" s="659">
        <v>0</v>
      </c>
      <c r="J215" s="659">
        <v>0</v>
      </c>
      <c r="K215" s="659">
        <v>0</v>
      </c>
      <c r="L215" s="659">
        <v>0</v>
      </c>
      <c r="M215" s="659">
        <v>0</v>
      </c>
      <c r="N215" s="659">
        <v>0</v>
      </c>
      <c r="O215" s="659">
        <v>0</v>
      </c>
      <c r="P215" s="659">
        <v>0</v>
      </c>
      <c r="Q215" s="659">
        <v>0</v>
      </c>
      <c r="R215" s="659">
        <v>0</v>
      </c>
      <c r="S215" s="659">
        <v>0</v>
      </c>
      <c r="U215" s="2367">
        <v>52410000</v>
      </c>
    </row>
    <row r="216" spans="1:21" x14ac:dyDescent="0.2">
      <c r="A216" s="335">
        <v>2625</v>
      </c>
      <c r="B216" s="3300" t="s">
        <v>1464</v>
      </c>
      <c r="C216" s="3300"/>
      <c r="D216" s="3300"/>
      <c r="E216" s="3300"/>
      <c r="F216" s="649">
        <f t="shared" si="30"/>
        <v>0</v>
      </c>
      <c r="G216" s="14"/>
      <c r="H216" s="659">
        <v>0</v>
      </c>
      <c r="I216" s="659">
        <v>0</v>
      </c>
      <c r="J216" s="659">
        <v>0</v>
      </c>
      <c r="K216" s="659">
        <v>0</v>
      </c>
      <c r="L216" s="659">
        <v>0</v>
      </c>
      <c r="M216" s="659">
        <v>0</v>
      </c>
      <c r="N216" s="659">
        <v>0</v>
      </c>
      <c r="O216" s="659">
        <v>0</v>
      </c>
      <c r="P216" s="659">
        <v>0</v>
      </c>
      <c r="Q216" s="659">
        <v>0</v>
      </c>
      <c r="R216" s="659">
        <v>0</v>
      </c>
      <c r="S216" s="659">
        <v>0</v>
      </c>
      <c r="U216" s="2384">
        <v>56900000</v>
      </c>
    </row>
    <row r="217" spans="1:21" x14ac:dyDescent="0.2">
      <c r="A217" s="335">
        <v>2630</v>
      </c>
      <c r="B217" s="3300" t="s">
        <v>1430</v>
      </c>
      <c r="C217" s="3300"/>
      <c r="D217" s="3300"/>
      <c r="E217" s="3300"/>
      <c r="F217" s="649">
        <f t="shared" si="30"/>
        <v>0</v>
      </c>
      <c r="G217" s="14"/>
      <c r="H217" s="659">
        <v>0</v>
      </c>
      <c r="I217" s="659">
        <v>0</v>
      </c>
      <c r="J217" s="659">
        <v>0</v>
      </c>
      <c r="K217" s="659">
        <v>0</v>
      </c>
      <c r="L217" s="659">
        <v>0</v>
      </c>
      <c r="M217" s="659">
        <v>0</v>
      </c>
      <c r="N217" s="659">
        <v>0</v>
      </c>
      <c r="O217" s="659">
        <v>0</v>
      </c>
      <c r="P217" s="659">
        <v>0</v>
      </c>
      <c r="Q217" s="659">
        <v>0</v>
      </c>
      <c r="R217" s="659">
        <v>0</v>
      </c>
      <c r="S217" s="659">
        <v>0</v>
      </c>
      <c r="U217" s="2367">
        <v>52511000</v>
      </c>
    </row>
    <row r="218" spans="1:21" x14ac:dyDescent="0.2">
      <c r="B218" s="3295" t="s">
        <v>756</v>
      </c>
      <c r="C218" s="3295"/>
      <c r="D218" s="3295"/>
      <c r="E218" s="3295"/>
      <c r="F218" s="706">
        <f>SUM(F206:F217)</f>
        <v>0</v>
      </c>
      <c r="H218" s="706">
        <f t="shared" ref="H218:S218" si="31">SUM(H206:H217)</f>
        <v>0</v>
      </c>
      <c r="I218" s="706">
        <f t="shared" si="31"/>
        <v>0</v>
      </c>
      <c r="J218" s="706">
        <f t="shared" si="31"/>
        <v>0</v>
      </c>
      <c r="K218" s="706">
        <f t="shared" si="31"/>
        <v>0</v>
      </c>
      <c r="L218" s="706">
        <f t="shared" si="31"/>
        <v>0</v>
      </c>
      <c r="M218" s="706">
        <f t="shared" si="31"/>
        <v>0</v>
      </c>
      <c r="N218" s="706">
        <f t="shared" si="31"/>
        <v>0</v>
      </c>
      <c r="O218" s="706">
        <f t="shared" si="31"/>
        <v>0</v>
      </c>
      <c r="P218" s="706">
        <f t="shared" si="31"/>
        <v>0</v>
      </c>
      <c r="Q218" s="706">
        <f t="shared" si="31"/>
        <v>0</v>
      </c>
      <c r="R218" s="706">
        <f t="shared" si="31"/>
        <v>0</v>
      </c>
      <c r="S218" s="706">
        <f t="shared" si="31"/>
        <v>0</v>
      </c>
      <c r="T218" t="str">
        <f>IF(SUM(H218:S218)=F218,"OK ","Crossfoot error: sum of Col H thru S must equal total in Col F")</f>
        <v xml:space="preserve">OK </v>
      </c>
      <c r="U218" s="2377"/>
    </row>
    <row r="219" spans="1:21" x14ac:dyDescent="0.2">
      <c r="B219" s="3295" t="s">
        <v>757</v>
      </c>
      <c r="C219" s="3295"/>
      <c r="D219" s="3295"/>
      <c r="E219" s="3295"/>
      <c r="F219" s="706">
        <f>F203-F218</f>
        <v>0</v>
      </c>
      <c r="H219" s="706">
        <f t="shared" ref="H219:S219" si="32">H203-H218</f>
        <v>0</v>
      </c>
      <c r="I219" s="706">
        <f t="shared" si="32"/>
        <v>0</v>
      </c>
      <c r="J219" s="706">
        <f t="shared" si="32"/>
        <v>0</v>
      </c>
      <c r="K219" s="706">
        <f t="shared" si="32"/>
        <v>0</v>
      </c>
      <c r="L219" s="706">
        <f t="shared" si="32"/>
        <v>0</v>
      </c>
      <c r="M219" s="706">
        <f t="shared" si="32"/>
        <v>0</v>
      </c>
      <c r="N219" s="706">
        <f t="shared" si="32"/>
        <v>0</v>
      </c>
      <c r="O219" s="706">
        <f t="shared" si="32"/>
        <v>0</v>
      </c>
      <c r="P219" s="706">
        <f t="shared" si="32"/>
        <v>0</v>
      </c>
      <c r="Q219" s="706">
        <f t="shared" si="32"/>
        <v>0</v>
      </c>
      <c r="R219" s="706">
        <f t="shared" si="32"/>
        <v>0</v>
      </c>
      <c r="S219" s="706">
        <f t="shared" si="32"/>
        <v>0</v>
      </c>
      <c r="T219" t="str">
        <f>IF(SUM(H219:S219)=F219,"OK ","Crossfoot error: sum of Col H thru S must equal total in Col F")</f>
        <v xml:space="preserve">OK </v>
      </c>
      <c r="U219" s="2377"/>
    </row>
    <row r="220" spans="1:21" ht="3.75" customHeight="1" x14ac:dyDescent="0.2">
      <c r="B220" s="691"/>
      <c r="C220" s="691"/>
      <c r="D220" s="691"/>
      <c r="E220" s="691"/>
      <c r="U220" s="2377"/>
    </row>
    <row r="221" spans="1:21" x14ac:dyDescent="0.2">
      <c r="B221" s="783" t="s">
        <v>1185</v>
      </c>
      <c r="U221" s="2377"/>
    </row>
    <row r="222" spans="1:21" x14ac:dyDescent="0.2">
      <c r="A222" s="335">
        <v>2690</v>
      </c>
      <c r="B222" s="3206" t="s">
        <v>898</v>
      </c>
      <c r="C222" s="3206"/>
      <c r="D222" s="3206"/>
      <c r="E222" s="3206"/>
      <c r="F222" s="649">
        <f>SUM(H222:S222)</f>
        <v>0</v>
      </c>
      <c r="G222" s="938"/>
      <c r="H222" s="659">
        <v>0</v>
      </c>
      <c r="I222" s="659">
        <v>0</v>
      </c>
      <c r="J222" s="659">
        <v>0</v>
      </c>
      <c r="K222" s="659">
        <v>0</v>
      </c>
      <c r="L222" s="659">
        <v>0</v>
      </c>
      <c r="M222" s="659">
        <v>0</v>
      </c>
      <c r="N222" s="659">
        <v>0</v>
      </c>
      <c r="O222" s="659">
        <v>0</v>
      </c>
      <c r="P222" s="659">
        <v>0</v>
      </c>
      <c r="Q222" s="659">
        <v>0</v>
      </c>
      <c r="R222" s="659">
        <v>0</v>
      </c>
      <c r="S222" s="659">
        <v>0</v>
      </c>
      <c r="U222" s="2367">
        <v>49100000</v>
      </c>
    </row>
    <row r="223" spans="1:21" x14ac:dyDescent="0.2">
      <c r="A223" s="335">
        <v>2691</v>
      </c>
      <c r="B223" s="3206" t="s">
        <v>1452</v>
      </c>
      <c r="C223" s="3206"/>
      <c r="D223" s="3206"/>
      <c r="E223" s="3206"/>
      <c r="F223" s="649">
        <f t="shared" ref="F223:F240" si="33">SUM(H223:S223)</f>
        <v>0</v>
      </c>
      <c r="G223" s="1070"/>
      <c r="H223" s="659">
        <v>0</v>
      </c>
      <c r="I223" s="659">
        <v>0</v>
      </c>
      <c r="J223" s="659">
        <v>0</v>
      </c>
      <c r="K223" s="659">
        <v>0</v>
      </c>
      <c r="L223" s="659">
        <v>0</v>
      </c>
      <c r="M223" s="659">
        <v>0</v>
      </c>
      <c r="N223" s="659">
        <v>0</v>
      </c>
      <c r="O223" s="659">
        <v>0</v>
      </c>
      <c r="P223" s="659">
        <v>0</v>
      </c>
      <c r="Q223" s="659">
        <v>0</v>
      </c>
      <c r="R223" s="659">
        <v>0</v>
      </c>
      <c r="S223" s="659">
        <v>0</v>
      </c>
      <c r="U223" s="2367">
        <v>42908000</v>
      </c>
    </row>
    <row r="224" spans="1:21" x14ac:dyDescent="0.2">
      <c r="A224" s="335">
        <v>2692</v>
      </c>
      <c r="B224" s="3206" t="s">
        <v>1339</v>
      </c>
      <c r="C224" s="3206"/>
      <c r="D224" s="3206"/>
      <c r="E224" s="3206"/>
      <c r="F224" s="649">
        <f t="shared" si="33"/>
        <v>0</v>
      </c>
      <c r="G224" s="938"/>
      <c r="H224" s="659">
        <v>0</v>
      </c>
      <c r="I224" s="659">
        <v>0</v>
      </c>
      <c r="J224" s="659">
        <v>0</v>
      </c>
      <c r="K224" s="659">
        <v>0</v>
      </c>
      <c r="L224" s="659">
        <v>0</v>
      </c>
      <c r="M224" s="659">
        <v>0</v>
      </c>
      <c r="N224" s="659">
        <v>0</v>
      </c>
      <c r="O224" s="659">
        <v>0</v>
      </c>
      <c r="P224" s="659">
        <v>0</v>
      </c>
      <c r="Q224" s="659">
        <v>0</v>
      </c>
      <c r="R224" s="659">
        <v>0</v>
      </c>
      <c r="S224" s="659">
        <v>0</v>
      </c>
      <c r="U224" s="2367">
        <v>42990000</v>
      </c>
    </row>
    <row r="225" spans="1:26" s="2151" customFormat="1" x14ac:dyDescent="0.2">
      <c r="A225" s="2080">
        <v>2693</v>
      </c>
      <c r="B225" s="3306" t="s">
        <v>5150</v>
      </c>
      <c r="C225" s="3306"/>
      <c r="D225" s="3306"/>
      <c r="E225" s="3306"/>
      <c r="F225" s="649">
        <f t="shared" si="33"/>
        <v>0</v>
      </c>
      <c r="G225" s="938"/>
      <c r="H225" s="659">
        <v>0</v>
      </c>
      <c r="I225" s="659">
        <v>0</v>
      </c>
      <c r="J225" s="659">
        <v>0</v>
      </c>
      <c r="K225" s="659">
        <v>0</v>
      </c>
      <c r="L225" s="659">
        <v>0</v>
      </c>
      <c r="M225" s="659">
        <v>0</v>
      </c>
      <c r="N225" s="659">
        <v>0</v>
      </c>
      <c r="O225" s="659">
        <v>0</v>
      </c>
      <c r="P225" s="659">
        <v>0</v>
      </c>
      <c r="Q225" s="659"/>
      <c r="R225" s="659">
        <v>0</v>
      </c>
      <c r="S225" s="659">
        <v>0</v>
      </c>
      <c r="U225" s="2384">
        <v>42905000</v>
      </c>
      <c r="V225" s="2358"/>
      <c r="W225" s="2358"/>
      <c r="X225" s="2358"/>
      <c r="Y225" s="2358"/>
      <c r="Z225" s="2292"/>
    </row>
    <row r="226" spans="1:26" x14ac:dyDescent="0.2">
      <c r="A226" s="2080">
        <v>2700</v>
      </c>
      <c r="B226" s="3296" t="s">
        <v>1186</v>
      </c>
      <c r="C226" s="3296"/>
      <c r="D226" s="3296"/>
      <c r="E226" s="3296"/>
      <c r="F226" s="649">
        <f t="shared" si="33"/>
        <v>0</v>
      </c>
      <c r="H226" s="659">
        <v>0</v>
      </c>
      <c r="I226" s="659">
        <v>0</v>
      </c>
      <c r="J226" s="659">
        <v>0</v>
      </c>
      <c r="K226" s="659">
        <v>0</v>
      </c>
      <c r="L226" s="659">
        <v>0</v>
      </c>
      <c r="M226" s="659">
        <v>0</v>
      </c>
      <c r="N226" s="659">
        <v>0</v>
      </c>
      <c r="O226" s="659">
        <v>0</v>
      </c>
      <c r="P226" s="659">
        <v>0</v>
      </c>
      <c r="Q226" s="659">
        <v>0</v>
      </c>
      <c r="R226" s="659">
        <v>0</v>
      </c>
      <c r="S226" s="659">
        <v>0</v>
      </c>
      <c r="U226" s="2384" t="s">
        <v>5129</v>
      </c>
    </row>
    <row r="227" spans="1:26" s="2159" customFormat="1" x14ac:dyDescent="0.2">
      <c r="A227" s="2080">
        <v>2701</v>
      </c>
      <c r="B227" s="3296" t="s">
        <v>4807</v>
      </c>
      <c r="C227" s="3296"/>
      <c r="D227" s="3296"/>
      <c r="E227" s="3296"/>
      <c r="F227" s="649">
        <f t="shared" si="33"/>
        <v>0</v>
      </c>
      <c r="H227" s="659">
        <v>0</v>
      </c>
      <c r="I227" s="659">
        <v>0</v>
      </c>
      <c r="J227" s="659">
        <v>0</v>
      </c>
      <c r="K227" s="659">
        <v>0</v>
      </c>
      <c r="L227" s="659">
        <v>0</v>
      </c>
      <c r="M227" s="659">
        <v>0</v>
      </c>
      <c r="N227" s="659">
        <v>0</v>
      </c>
      <c r="O227" s="659">
        <v>0</v>
      </c>
      <c r="P227" s="659">
        <v>0</v>
      </c>
      <c r="Q227" s="659"/>
      <c r="R227" s="659">
        <v>0</v>
      </c>
      <c r="S227" s="659">
        <v>0</v>
      </c>
      <c r="U227" s="2384" t="s">
        <v>5130</v>
      </c>
      <c r="V227" s="2358"/>
      <c r="W227" s="2358"/>
      <c r="X227" s="2358"/>
      <c r="Y227" s="2358"/>
      <c r="Z227" s="2292"/>
    </row>
    <row r="228" spans="1:26" x14ac:dyDescent="0.2">
      <c r="A228" s="335">
        <v>2710</v>
      </c>
      <c r="B228" s="3299" t="s">
        <v>1187</v>
      </c>
      <c r="C228" s="3299"/>
      <c r="D228" s="3299"/>
      <c r="E228" s="3299"/>
      <c r="F228" s="649">
        <f t="shared" si="33"/>
        <v>0</v>
      </c>
      <c r="H228" s="659">
        <v>0</v>
      </c>
      <c r="I228" s="659">
        <v>0</v>
      </c>
      <c r="J228" s="659">
        <v>0</v>
      </c>
      <c r="K228" s="659">
        <v>0</v>
      </c>
      <c r="L228" s="659">
        <v>0</v>
      </c>
      <c r="M228" s="659">
        <v>0</v>
      </c>
      <c r="N228" s="659">
        <v>0</v>
      </c>
      <c r="O228" s="659">
        <v>0</v>
      </c>
      <c r="P228" s="659">
        <v>0</v>
      </c>
      <c r="Q228" s="659">
        <v>0</v>
      </c>
      <c r="R228" s="659">
        <v>0</v>
      </c>
      <c r="S228" s="659">
        <v>0</v>
      </c>
      <c r="U228" s="2367">
        <v>46200000</v>
      </c>
    </row>
    <row r="229" spans="1:26" s="2038" customFormat="1" x14ac:dyDescent="0.2">
      <c r="A229" s="2080">
        <v>2711</v>
      </c>
      <c r="B229" s="3304" t="s">
        <v>5327</v>
      </c>
      <c r="C229" s="3304"/>
      <c r="D229" s="3304"/>
      <c r="E229" s="3304"/>
      <c r="F229" s="2050">
        <f t="shared" si="33"/>
        <v>0</v>
      </c>
      <c r="H229" s="2207">
        <v>0</v>
      </c>
      <c r="I229" s="2207">
        <v>0</v>
      </c>
      <c r="J229" s="2207">
        <v>0</v>
      </c>
      <c r="K229" s="2207">
        <v>0</v>
      </c>
      <c r="L229" s="2207">
        <v>0</v>
      </c>
      <c r="M229" s="2207">
        <v>0</v>
      </c>
      <c r="N229" s="2207">
        <v>0</v>
      </c>
      <c r="O229" s="2207">
        <v>0</v>
      </c>
      <c r="P229" s="2207">
        <v>0</v>
      </c>
      <c r="Q229" s="2207"/>
      <c r="R229" s="2207">
        <v>0</v>
      </c>
      <c r="S229" s="2207">
        <v>0</v>
      </c>
      <c r="U229" s="2401">
        <v>46207000</v>
      </c>
      <c r="V229" s="2400"/>
      <c r="W229" s="2400"/>
      <c r="X229" s="2400"/>
      <c r="Y229" s="2400"/>
    </row>
    <row r="230" spans="1:26" x14ac:dyDescent="0.2">
      <c r="A230" s="335">
        <v>2720</v>
      </c>
      <c r="B230" s="3206" t="s">
        <v>1188</v>
      </c>
      <c r="C230" s="3206"/>
      <c r="D230" s="3206"/>
      <c r="E230" s="3206"/>
      <c r="F230" s="649">
        <f t="shared" si="33"/>
        <v>0</v>
      </c>
      <c r="G230" s="1078" t="str">
        <f>IF(F230&gt;0, "Problem: Expense must be entered as negative number"," ")</f>
        <v xml:space="preserve"> </v>
      </c>
      <c r="H230" s="659">
        <v>0</v>
      </c>
      <c r="I230" s="659">
        <v>0</v>
      </c>
      <c r="J230" s="659">
        <v>0</v>
      </c>
      <c r="K230" s="659">
        <v>0</v>
      </c>
      <c r="L230" s="659">
        <v>0</v>
      </c>
      <c r="M230" s="659">
        <v>0</v>
      </c>
      <c r="N230" s="659">
        <v>0</v>
      </c>
      <c r="O230" s="659">
        <v>0</v>
      </c>
      <c r="P230" s="659">
        <v>0</v>
      </c>
      <c r="Q230" s="659">
        <v>0</v>
      </c>
      <c r="R230" s="659">
        <v>0</v>
      </c>
      <c r="S230" s="659">
        <v>0</v>
      </c>
      <c r="U230" s="2367">
        <v>55321000</v>
      </c>
    </row>
    <row r="231" spans="1:26" x14ac:dyDescent="0.2">
      <c r="A231" s="335">
        <v>2740</v>
      </c>
      <c r="B231" s="3206" t="s">
        <v>758</v>
      </c>
      <c r="C231" s="3206"/>
      <c r="D231" s="3206"/>
      <c r="E231" s="3206"/>
      <c r="F231" s="649">
        <f t="shared" si="33"/>
        <v>0</v>
      </c>
      <c r="G231" s="1078" t="str">
        <f>IF(F231&lt;0, "Problem: Gain must be entered as positive number; if loss, please key to loss caption below instead"," ")</f>
        <v xml:space="preserve"> </v>
      </c>
      <c r="H231" s="659">
        <v>0</v>
      </c>
      <c r="I231" s="659">
        <v>0</v>
      </c>
      <c r="J231" s="659">
        <v>0</v>
      </c>
      <c r="K231" s="659">
        <v>0</v>
      </c>
      <c r="L231" s="659">
        <v>0</v>
      </c>
      <c r="M231" s="659">
        <v>0</v>
      </c>
      <c r="N231" s="659">
        <v>0</v>
      </c>
      <c r="O231" s="659">
        <v>0</v>
      </c>
      <c r="P231" s="659">
        <v>0</v>
      </c>
      <c r="Q231" s="659">
        <v>0</v>
      </c>
      <c r="R231" s="659">
        <v>0</v>
      </c>
      <c r="S231" s="659">
        <v>0</v>
      </c>
      <c r="U231" s="2367">
        <v>44330000</v>
      </c>
    </row>
    <row r="232" spans="1:26" x14ac:dyDescent="0.2">
      <c r="A232" s="335">
        <v>2750</v>
      </c>
      <c r="B232" s="3206" t="s">
        <v>759</v>
      </c>
      <c r="C232" s="3206"/>
      <c r="D232" s="3206"/>
      <c r="E232" s="3206"/>
      <c r="F232" s="649">
        <f t="shared" si="33"/>
        <v>0</v>
      </c>
      <c r="G232" s="1078" t="str">
        <f>IF(F232&gt;0, "Problem: Expense/Loss must be entered as negative number; if gain, please key to gain caption above instead"," ")</f>
        <v xml:space="preserve"> </v>
      </c>
      <c r="H232" s="659">
        <v>0</v>
      </c>
      <c r="I232" s="659">
        <v>0</v>
      </c>
      <c r="J232" s="659">
        <v>0</v>
      </c>
      <c r="K232" s="659">
        <v>0</v>
      </c>
      <c r="L232" s="659">
        <v>0</v>
      </c>
      <c r="M232" s="659">
        <v>0</v>
      </c>
      <c r="N232" s="659">
        <v>0</v>
      </c>
      <c r="O232" s="659">
        <v>0</v>
      </c>
      <c r="P232" s="659">
        <v>0</v>
      </c>
      <c r="Q232" s="659">
        <v>0</v>
      </c>
      <c r="R232" s="659">
        <v>0</v>
      </c>
      <c r="S232" s="659">
        <v>0</v>
      </c>
      <c r="U232" s="2367">
        <v>55650000</v>
      </c>
    </row>
    <row r="233" spans="1:26" x14ac:dyDescent="0.2">
      <c r="A233" s="335">
        <v>2755</v>
      </c>
      <c r="B233" s="3206" t="s">
        <v>4487</v>
      </c>
      <c r="C233" s="3206"/>
      <c r="D233" s="3206"/>
      <c r="E233" s="3206"/>
      <c r="F233" s="649">
        <f t="shared" si="33"/>
        <v>0</v>
      </c>
      <c r="H233" s="659">
        <v>0</v>
      </c>
      <c r="I233" s="659">
        <v>0</v>
      </c>
      <c r="J233" s="659">
        <v>0</v>
      </c>
      <c r="K233" s="659">
        <v>0</v>
      </c>
      <c r="L233" s="659">
        <v>0</v>
      </c>
      <c r="M233" s="659">
        <v>0</v>
      </c>
      <c r="N233" s="659">
        <v>0</v>
      </c>
      <c r="O233" s="659">
        <v>0</v>
      </c>
      <c r="P233" s="659">
        <v>0</v>
      </c>
      <c r="Q233" s="659">
        <v>0</v>
      </c>
      <c r="R233" s="659">
        <v>0</v>
      </c>
      <c r="S233" s="659">
        <v>0</v>
      </c>
      <c r="U233" s="2367">
        <v>55341000</v>
      </c>
    </row>
    <row r="234" spans="1:26" x14ac:dyDescent="0.2">
      <c r="A234" s="335">
        <v>2760</v>
      </c>
      <c r="B234" s="3206" t="s">
        <v>1045</v>
      </c>
      <c r="C234" s="3206"/>
      <c r="D234" s="3206"/>
      <c r="E234" s="3206"/>
      <c r="F234" s="649">
        <f t="shared" si="33"/>
        <v>0</v>
      </c>
      <c r="H234" s="659">
        <v>0</v>
      </c>
      <c r="I234" s="659">
        <v>0</v>
      </c>
      <c r="J234" s="659">
        <v>0</v>
      </c>
      <c r="K234" s="659">
        <v>0</v>
      </c>
      <c r="L234" s="659">
        <v>0</v>
      </c>
      <c r="M234" s="659">
        <v>0</v>
      </c>
      <c r="N234" s="659">
        <v>0</v>
      </c>
      <c r="O234" s="659">
        <v>0</v>
      </c>
      <c r="P234" s="659">
        <v>0</v>
      </c>
      <c r="Q234" s="659">
        <v>0</v>
      </c>
      <c r="R234" s="659">
        <v>0</v>
      </c>
      <c r="S234" s="659">
        <v>0</v>
      </c>
      <c r="U234" s="2367">
        <v>43111000</v>
      </c>
    </row>
    <row r="235" spans="1:26" x14ac:dyDescent="0.2">
      <c r="A235" s="335">
        <v>2770</v>
      </c>
      <c r="B235" s="3206" t="s">
        <v>1076</v>
      </c>
      <c r="C235" s="3206"/>
      <c r="D235" s="3206"/>
      <c r="E235" s="3206"/>
      <c r="F235" s="649">
        <f t="shared" si="33"/>
        <v>0</v>
      </c>
      <c r="H235" s="659">
        <v>0</v>
      </c>
      <c r="I235" s="659">
        <v>0</v>
      </c>
      <c r="J235" s="659">
        <v>0</v>
      </c>
      <c r="K235" s="659">
        <v>0</v>
      </c>
      <c r="L235" s="659">
        <v>0</v>
      </c>
      <c r="M235" s="659">
        <v>0</v>
      </c>
      <c r="N235" s="659">
        <v>0</v>
      </c>
      <c r="O235" s="659">
        <v>0</v>
      </c>
      <c r="P235" s="659">
        <v>0</v>
      </c>
      <c r="Q235" s="659">
        <v>0</v>
      </c>
      <c r="R235" s="659">
        <v>0</v>
      </c>
      <c r="S235" s="659">
        <v>0</v>
      </c>
      <c r="U235" s="2367">
        <v>47116000</v>
      </c>
    </row>
    <row r="236" spans="1:26" x14ac:dyDescent="0.2">
      <c r="A236" s="335">
        <v>2780</v>
      </c>
      <c r="B236" s="3206" t="s">
        <v>799</v>
      </c>
      <c r="C236" s="3206"/>
      <c r="D236" s="3206"/>
      <c r="E236" s="3206"/>
      <c r="F236" s="649">
        <f t="shared" si="33"/>
        <v>0</v>
      </c>
      <c r="G236" s="1078" t="str">
        <f>IF(F236&gt;0, "Problem: Nonoperating expense must be entered as negative number; if grant revenue, please see captions above"," ")</f>
        <v xml:space="preserve"> </v>
      </c>
      <c r="H236" s="659">
        <v>0</v>
      </c>
      <c r="I236" s="659">
        <v>0</v>
      </c>
      <c r="J236" s="659">
        <v>0</v>
      </c>
      <c r="K236" s="659">
        <v>0</v>
      </c>
      <c r="L236" s="659">
        <v>0</v>
      </c>
      <c r="M236" s="659">
        <v>0</v>
      </c>
      <c r="N236" s="659">
        <v>0</v>
      </c>
      <c r="O236" s="659">
        <v>0</v>
      </c>
      <c r="P236" s="659">
        <v>0</v>
      </c>
      <c r="Q236" s="659">
        <v>0</v>
      </c>
      <c r="R236" s="659">
        <v>0</v>
      </c>
      <c r="S236" s="659">
        <v>0</v>
      </c>
      <c r="U236" s="2384" t="s">
        <v>5131</v>
      </c>
    </row>
    <row r="237" spans="1:26" x14ac:dyDescent="0.2">
      <c r="A237" s="335">
        <v>2785</v>
      </c>
      <c r="B237" s="3206" t="s">
        <v>1431</v>
      </c>
      <c r="C237" s="3206"/>
      <c r="D237" s="3206"/>
      <c r="E237" s="3206"/>
      <c r="F237" s="649">
        <f t="shared" si="33"/>
        <v>0</v>
      </c>
      <c r="G237" s="14"/>
      <c r="H237" s="659">
        <v>0</v>
      </c>
      <c r="I237" s="659">
        <v>0</v>
      </c>
      <c r="J237" s="659">
        <v>0</v>
      </c>
      <c r="K237" s="659">
        <v>0</v>
      </c>
      <c r="L237" s="659">
        <v>0</v>
      </c>
      <c r="M237" s="659">
        <v>0</v>
      </c>
      <c r="N237" s="659">
        <v>0</v>
      </c>
      <c r="O237" s="659">
        <v>0</v>
      </c>
      <c r="P237" s="659">
        <v>0</v>
      </c>
      <c r="Q237" s="659">
        <v>0</v>
      </c>
      <c r="R237" s="659">
        <v>0</v>
      </c>
      <c r="S237" s="659">
        <v>0</v>
      </c>
      <c r="U237" s="2367">
        <v>42907000</v>
      </c>
    </row>
    <row r="238" spans="1:26" s="2515" customFormat="1" x14ac:dyDescent="0.2">
      <c r="A238" s="2516">
        <v>2786</v>
      </c>
      <c r="B238" s="3307" t="s">
        <v>5527</v>
      </c>
      <c r="C238" s="3307"/>
      <c r="D238" s="3307"/>
      <c r="E238" s="3307"/>
      <c r="F238" s="649">
        <f t="shared" si="33"/>
        <v>0</v>
      </c>
      <c r="G238" s="14"/>
      <c r="H238" s="659">
        <v>0</v>
      </c>
      <c r="I238" s="659">
        <v>0</v>
      </c>
      <c r="J238" s="659">
        <v>0</v>
      </c>
      <c r="K238" s="659">
        <v>0</v>
      </c>
      <c r="L238" s="659">
        <v>0</v>
      </c>
      <c r="M238" s="659">
        <v>0</v>
      </c>
      <c r="N238" s="659">
        <v>0</v>
      </c>
      <c r="O238" s="659">
        <v>0</v>
      </c>
      <c r="P238" s="659">
        <v>0</v>
      </c>
      <c r="Q238" s="659"/>
      <c r="R238" s="659"/>
      <c r="S238" s="659"/>
      <c r="U238" s="2367">
        <v>47128000</v>
      </c>
      <c r="V238" s="2517"/>
      <c r="W238" s="2517"/>
      <c r="X238" s="2517"/>
      <c r="Y238" s="2517"/>
    </row>
    <row r="239" spans="1:26" x14ac:dyDescent="0.2">
      <c r="A239" s="335">
        <v>2800</v>
      </c>
      <c r="B239" s="3206" t="s">
        <v>800</v>
      </c>
      <c r="C239" s="3206"/>
      <c r="D239" s="3206"/>
      <c r="E239" s="3206"/>
      <c r="F239" s="649">
        <f t="shared" si="33"/>
        <v>0</v>
      </c>
      <c r="G239" s="1078" t="str">
        <f>IF(F239&lt;0, "Problem: Misc nonperating revenue must be entered as positive number; if expense key to nonoperating expense caption below"," ")</f>
        <v xml:space="preserve"> </v>
      </c>
      <c r="H239" s="659">
        <v>0</v>
      </c>
      <c r="I239" s="659">
        <v>0</v>
      </c>
      <c r="J239" s="659">
        <v>0</v>
      </c>
      <c r="K239" s="659">
        <v>0</v>
      </c>
      <c r="L239" s="659">
        <v>0</v>
      </c>
      <c r="M239" s="659">
        <v>0</v>
      </c>
      <c r="N239" s="659">
        <v>0</v>
      </c>
      <c r="O239" s="659">
        <v>0</v>
      </c>
      <c r="P239" s="659">
        <v>0</v>
      </c>
      <c r="Q239" s="659">
        <v>0</v>
      </c>
      <c r="R239" s="659">
        <v>0</v>
      </c>
      <c r="S239" s="659">
        <v>0</v>
      </c>
      <c r="U239" s="2367">
        <v>44321000</v>
      </c>
    </row>
    <row r="240" spans="1:26" x14ac:dyDescent="0.2">
      <c r="A240" s="335">
        <v>2810</v>
      </c>
      <c r="B240" s="3206" t="s">
        <v>801</v>
      </c>
      <c r="C240" s="3206"/>
      <c r="D240" s="3206"/>
      <c r="E240" s="3206"/>
      <c r="F240" s="649">
        <f t="shared" si="33"/>
        <v>0</v>
      </c>
      <c r="G240" s="1078" t="str">
        <f>IF(F240&gt;0, "Problem: Misc nonoperating expense must be entered as negative number; if revenue, key to nonoperating revenue caption above."," ")</f>
        <v xml:space="preserve"> </v>
      </c>
      <c r="H240" s="659">
        <v>0</v>
      </c>
      <c r="I240" s="659">
        <v>0</v>
      </c>
      <c r="J240" s="659">
        <v>0</v>
      </c>
      <c r="K240" s="659">
        <v>0</v>
      </c>
      <c r="L240" s="659">
        <v>0</v>
      </c>
      <c r="M240" s="659">
        <v>0</v>
      </c>
      <c r="N240" s="659">
        <v>0</v>
      </c>
      <c r="O240" s="659">
        <v>0</v>
      </c>
      <c r="P240" s="659">
        <v>0</v>
      </c>
      <c r="Q240" s="659">
        <v>0</v>
      </c>
      <c r="R240" s="659">
        <v>0</v>
      </c>
      <c r="S240" s="659">
        <v>0</v>
      </c>
      <c r="U240" s="2367">
        <v>55332000</v>
      </c>
    </row>
    <row r="241" spans="1:21" x14ac:dyDescent="0.2">
      <c r="B241" s="3295" t="s">
        <v>760</v>
      </c>
      <c r="C241" s="3295"/>
      <c r="D241" s="3295"/>
      <c r="E241" s="3295"/>
      <c r="F241" s="661">
        <f>SUM(F222:F240)</f>
        <v>0</v>
      </c>
      <c r="H241" s="661">
        <f t="shared" ref="H241:S241" si="34">SUM(H222:H240)</f>
        <v>0</v>
      </c>
      <c r="I241" s="661">
        <f t="shared" si="34"/>
        <v>0</v>
      </c>
      <c r="J241" s="661">
        <f t="shared" si="34"/>
        <v>0</v>
      </c>
      <c r="K241" s="661">
        <f t="shared" si="34"/>
        <v>0</v>
      </c>
      <c r="L241" s="661">
        <f t="shared" si="34"/>
        <v>0</v>
      </c>
      <c r="M241" s="661">
        <f t="shared" si="34"/>
        <v>0</v>
      </c>
      <c r="N241" s="661">
        <f t="shared" si="34"/>
        <v>0</v>
      </c>
      <c r="O241" s="661">
        <f t="shared" si="34"/>
        <v>0</v>
      </c>
      <c r="P241" s="661">
        <f t="shared" si="34"/>
        <v>0</v>
      </c>
      <c r="Q241" s="661">
        <f t="shared" si="34"/>
        <v>0</v>
      </c>
      <c r="R241" s="661">
        <f t="shared" si="34"/>
        <v>0</v>
      </c>
      <c r="S241" s="661">
        <f t="shared" si="34"/>
        <v>0</v>
      </c>
      <c r="T241" t="str">
        <f>IF(SUM(H241:S241)=F241,"OK ","Crossfoot error: sum of Col H thru S must equal total in Col F")</f>
        <v xml:space="preserve">OK </v>
      </c>
      <c r="U241" s="2377"/>
    </row>
    <row r="242" spans="1:21" x14ac:dyDescent="0.2">
      <c r="B242" s="3295" t="s">
        <v>761</v>
      </c>
      <c r="C242" s="3295"/>
      <c r="D242" s="3295"/>
      <c r="E242" s="3295"/>
      <c r="F242" s="661">
        <f>F219+F241</f>
        <v>0</v>
      </c>
      <c r="H242" s="661">
        <f t="shared" ref="H242:S242" si="35">H219+H241</f>
        <v>0</v>
      </c>
      <c r="I242" s="661">
        <f t="shared" si="35"/>
        <v>0</v>
      </c>
      <c r="J242" s="661">
        <f t="shared" si="35"/>
        <v>0</v>
      </c>
      <c r="K242" s="661">
        <f t="shared" si="35"/>
        <v>0</v>
      </c>
      <c r="L242" s="661">
        <f t="shared" si="35"/>
        <v>0</v>
      </c>
      <c r="M242" s="661">
        <f t="shared" si="35"/>
        <v>0</v>
      </c>
      <c r="N242" s="661">
        <f t="shared" si="35"/>
        <v>0</v>
      </c>
      <c r="O242" s="661">
        <f t="shared" si="35"/>
        <v>0</v>
      </c>
      <c r="P242" s="661">
        <f t="shared" si="35"/>
        <v>0</v>
      </c>
      <c r="Q242" s="661">
        <f t="shared" si="35"/>
        <v>0</v>
      </c>
      <c r="R242" s="661">
        <f t="shared" si="35"/>
        <v>0</v>
      </c>
      <c r="S242" s="661">
        <f t="shared" si="35"/>
        <v>0</v>
      </c>
      <c r="T242" t="str">
        <f>IF(SUM(H242:S242)=F242,"OK ","Crossfoot error: sum of Col H thru S must equal total in Col F")</f>
        <v xml:space="preserve">OK </v>
      </c>
      <c r="U242" s="2377"/>
    </row>
    <row r="243" spans="1:21" x14ac:dyDescent="0.2">
      <c r="A243" s="937">
        <v>2870</v>
      </c>
      <c r="B243" s="3294" t="s">
        <v>762</v>
      </c>
      <c r="C243" s="3294"/>
      <c r="D243" s="3294"/>
      <c r="E243" s="3294"/>
      <c r="F243" s="649">
        <f>SUM(H243:S243)</f>
        <v>0</v>
      </c>
      <c r="G243" s="938"/>
      <c r="H243" s="659">
        <v>0</v>
      </c>
      <c r="I243" s="659">
        <v>0</v>
      </c>
      <c r="J243" s="659">
        <v>0</v>
      </c>
      <c r="K243" s="659">
        <v>0</v>
      </c>
      <c r="L243" s="659">
        <v>0</v>
      </c>
      <c r="M243" s="659">
        <v>0</v>
      </c>
      <c r="N243" s="659">
        <v>0</v>
      </c>
      <c r="O243" s="659">
        <v>0</v>
      </c>
      <c r="P243" s="659">
        <v>0</v>
      </c>
      <c r="Q243" s="659">
        <v>0</v>
      </c>
      <c r="R243" s="659">
        <v>0</v>
      </c>
      <c r="S243" s="659">
        <v>0</v>
      </c>
      <c r="U243" s="2367">
        <v>42901000</v>
      </c>
    </row>
    <row r="244" spans="1:21" x14ac:dyDescent="0.2">
      <c r="A244" s="335">
        <v>2880</v>
      </c>
      <c r="B244" s="3294" t="s">
        <v>241</v>
      </c>
      <c r="C244" s="3294"/>
      <c r="D244" s="3294"/>
      <c r="E244" s="3294"/>
      <c r="F244" s="649">
        <f>SUM(H244:S244)</f>
        <v>0</v>
      </c>
      <c r="H244" s="659">
        <v>0</v>
      </c>
      <c r="I244" s="659">
        <v>0</v>
      </c>
      <c r="J244" s="659">
        <v>0</v>
      </c>
      <c r="K244" s="659">
        <v>0</v>
      </c>
      <c r="L244" s="659">
        <v>0</v>
      </c>
      <c r="M244" s="659">
        <v>0</v>
      </c>
      <c r="N244" s="659">
        <v>0</v>
      </c>
      <c r="O244" s="659">
        <v>0</v>
      </c>
      <c r="P244" s="659">
        <v>0</v>
      </c>
      <c r="Q244" s="659">
        <v>0</v>
      </c>
      <c r="R244" s="659">
        <v>0</v>
      </c>
      <c r="S244" s="659">
        <v>0</v>
      </c>
      <c r="U244" s="2384" t="s">
        <v>5132</v>
      </c>
    </row>
    <row r="245" spans="1:21" x14ac:dyDescent="0.2">
      <c r="A245" s="335">
        <v>2890</v>
      </c>
      <c r="B245" s="3294" t="s">
        <v>242</v>
      </c>
      <c r="C245" s="3294"/>
      <c r="D245" s="3294"/>
      <c r="E245" s="3294"/>
      <c r="F245" s="649">
        <f>SUM(H245:S245)</f>
        <v>0</v>
      </c>
      <c r="H245" s="659">
        <v>0</v>
      </c>
      <c r="I245" s="659">
        <v>0</v>
      </c>
      <c r="J245" s="659">
        <v>0</v>
      </c>
      <c r="K245" s="659">
        <v>0</v>
      </c>
      <c r="L245" s="659">
        <v>0</v>
      </c>
      <c r="M245" s="659">
        <v>0</v>
      </c>
      <c r="N245" s="659">
        <v>0</v>
      </c>
      <c r="O245" s="659">
        <v>0</v>
      </c>
      <c r="P245" s="659">
        <v>0</v>
      </c>
      <c r="Q245" s="659">
        <v>0</v>
      </c>
      <c r="R245" s="659">
        <v>0</v>
      </c>
      <c r="S245" s="659">
        <v>0</v>
      </c>
      <c r="U245" s="2367">
        <v>46203000</v>
      </c>
    </row>
    <row r="246" spans="1:21" x14ac:dyDescent="0.2">
      <c r="A246" s="335">
        <v>2900</v>
      </c>
      <c r="B246" s="3206" t="s">
        <v>1432</v>
      </c>
      <c r="C246" s="3206"/>
      <c r="D246" s="3206"/>
      <c r="E246" s="3206"/>
      <c r="F246" s="649">
        <f>SUM(H246:S246)</f>
        <v>0</v>
      </c>
      <c r="G246" s="14"/>
      <c r="H246" s="659">
        <v>0</v>
      </c>
      <c r="I246" s="659">
        <v>0</v>
      </c>
      <c r="J246" s="659">
        <v>0</v>
      </c>
      <c r="K246" s="659">
        <v>0</v>
      </c>
      <c r="L246" s="659">
        <v>0</v>
      </c>
      <c r="M246" s="659">
        <v>0</v>
      </c>
      <c r="N246" s="659">
        <v>0</v>
      </c>
      <c r="O246" s="659">
        <v>0</v>
      </c>
      <c r="P246" s="659">
        <v>0</v>
      </c>
      <c r="Q246" s="659">
        <v>0</v>
      </c>
      <c r="R246" s="659">
        <v>0</v>
      </c>
      <c r="S246" s="659">
        <v>0</v>
      </c>
      <c r="U246" s="2367">
        <v>46205000</v>
      </c>
    </row>
    <row r="247" spans="1:21" x14ac:dyDescent="0.2">
      <c r="A247" s="1129">
        <v>2940</v>
      </c>
      <c r="B247" s="3206" t="s">
        <v>1433</v>
      </c>
      <c r="C247" s="3206"/>
      <c r="D247" s="3206"/>
      <c r="E247" s="3206"/>
      <c r="F247" s="1036">
        <f>'565'!H29</f>
        <v>0</v>
      </c>
      <c r="G247" t="str">
        <f>IF(F247='565'!H29," ","Problem: Must agree to ws 565 total Interinstitutional transfers")</f>
        <v xml:space="preserve"> </v>
      </c>
      <c r="H247" s="1079">
        <v>0</v>
      </c>
      <c r="I247" s="1079">
        <v>0</v>
      </c>
      <c r="J247" s="1079">
        <v>0</v>
      </c>
      <c r="K247" s="1079">
        <v>0</v>
      </c>
      <c r="L247" s="1079">
        <v>0</v>
      </c>
      <c r="M247" s="1079">
        <v>0</v>
      </c>
      <c r="N247" s="1079">
        <v>0</v>
      </c>
      <c r="O247" s="1079">
        <v>0</v>
      </c>
      <c r="P247" s="1079">
        <v>0</v>
      </c>
      <c r="Q247" s="1079">
        <v>0</v>
      </c>
      <c r="R247" s="1079">
        <v>0</v>
      </c>
      <c r="S247" s="1079">
        <v>0</v>
      </c>
      <c r="U247" s="2367">
        <v>48700000</v>
      </c>
    </row>
    <row r="248" spans="1:21" x14ac:dyDescent="0.2">
      <c r="A248" s="335">
        <v>2950</v>
      </c>
      <c r="B248" s="3294" t="s">
        <v>243</v>
      </c>
      <c r="C248" s="3294"/>
      <c r="D248" s="3294"/>
      <c r="E248" s="3294"/>
      <c r="F248" s="1071">
        <f>SUM(H248:S248)</f>
        <v>0</v>
      </c>
      <c r="G248" s="864" t="str">
        <f>IF(AND(ABS(F248)&gt;=1,ABS(F248)&lt;10000000),"Problem: Under $10 million threshold - reclassify to another rev or exp"," ")</f>
        <v xml:space="preserve"> </v>
      </c>
      <c r="H248" s="659">
        <v>0</v>
      </c>
      <c r="I248" s="659">
        <v>0</v>
      </c>
      <c r="J248" s="659">
        <v>0</v>
      </c>
      <c r="K248" s="659">
        <v>0</v>
      </c>
      <c r="L248" s="659">
        <v>0</v>
      </c>
      <c r="M248" s="659">
        <v>0</v>
      </c>
      <c r="N248" s="659">
        <v>0</v>
      </c>
      <c r="O248" s="659">
        <v>0</v>
      </c>
      <c r="P248" s="659">
        <v>0</v>
      </c>
      <c r="Q248" s="659">
        <v>0</v>
      </c>
      <c r="R248" s="659">
        <v>0</v>
      </c>
      <c r="S248" s="659">
        <v>0</v>
      </c>
      <c r="U248" s="2367">
        <v>47750000</v>
      </c>
    </row>
    <row r="249" spans="1:21" x14ac:dyDescent="0.2">
      <c r="A249" s="335">
        <v>2960</v>
      </c>
      <c r="B249" s="3294" t="s">
        <v>244</v>
      </c>
      <c r="C249" s="3294"/>
      <c r="D249" s="3294"/>
      <c r="E249" s="3294"/>
      <c r="F249" s="1071">
        <f>SUM(H249:S249)</f>
        <v>0</v>
      </c>
      <c r="G249" s="864" t="str">
        <f>IF(AND(ABS(F249)&gt;=1,ABS(F249)&lt;10000000),"Problem: Under $10 million threshold - reclassify to another rev or exp"," ")</f>
        <v xml:space="preserve"> </v>
      </c>
      <c r="H249" s="659">
        <v>0</v>
      </c>
      <c r="I249" s="659">
        <v>0</v>
      </c>
      <c r="J249" s="659">
        <v>0</v>
      </c>
      <c r="K249" s="659">
        <v>0</v>
      </c>
      <c r="L249" s="659">
        <v>0</v>
      </c>
      <c r="M249" s="659">
        <v>0</v>
      </c>
      <c r="N249" s="659">
        <v>0</v>
      </c>
      <c r="O249" s="659">
        <v>0</v>
      </c>
      <c r="P249" s="659">
        <v>0</v>
      </c>
      <c r="Q249" s="659">
        <v>0</v>
      </c>
      <c r="R249" s="659">
        <v>0</v>
      </c>
      <c r="S249" s="659">
        <v>0</v>
      </c>
      <c r="U249" s="2367">
        <v>47700000</v>
      </c>
    </row>
    <row r="250" spans="1:21" x14ac:dyDescent="0.2">
      <c r="B250" s="3295" t="s">
        <v>1898</v>
      </c>
      <c r="C250" s="3295"/>
      <c r="D250" s="3295"/>
      <c r="E250" s="3295"/>
      <c r="F250" s="1072">
        <f>SUM(F242:F249)</f>
        <v>0</v>
      </c>
      <c r="H250" s="1072">
        <f t="shared" ref="H250:M250" si="36">SUM(H242:H249)</f>
        <v>0</v>
      </c>
      <c r="I250" s="1072">
        <f t="shared" si="36"/>
        <v>0</v>
      </c>
      <c r="J250" s="1072">
        <f t="shared" si="36"/>
        <v>0</v>
      </c>
      <c r="K250" s="1072">
        <f t="shared" si="36"/>
        <v>0</v>
      </c>
      <c r="L250" s="1072">
        <f t="shared" si="36"/>
        <v>0</v>
      </c>
      <c r="M250" s="1072">
        <f t="shared" si="36"/>
        <v>0</v>
      </c>
      <c r="N250" s="1072">
        <f t="shared" ref="N250:S250" si="37">SUM(N242:N249)</f>
        <v>0</v>
      </c>
      <c r="O250" s="1072">
        <f t="shared" si="37"/>
        <v>0</v>
      </c>
      <c r="P250" s="1072">
        <f t="shared" si="37"/>
        <v>0</v>
      </c>
      <c r="Q250" s="1072">
        <f t="shared" si="37"/>
        <v>0</v>
      </c>
      <c r="R250" s="1072">
        <f t="shared" si="37"/>
        <v>0</v>
      </c>
      <c r="S250" s="1072">
        <f t="shared" si="37"/>
        <v>0</v>
      </c>
      <c r="U250" s="2367"/>
    </row>
    <row r="251" spans="1:21" x14ac:dyDescent="0.2">
      <c r="A251" s="785">
        <v>2980</v>
      </c>
      <c r="B251" s="3294" t="s">
        <v>1896</v>
      </c>
      <c r="C251" s="3294"/>
      <c r="D251" s="3294"/>
      <c r="E251" s="3294"/>
      <c r="F251" s="1036">
        <f>SUM(H251:S251)</f>
        <v>2194239572.1999998</v>
      </c>
      <c r="H251" s="1036">
        <v>0</v>
      </c>
      <c r="I251" s="1036">
        <f>INDEX(NetAssetsData,MATCH('905Hosp'!$I$9,NetAssetsDataRow,0),3)</f>
        <v>965313253.44000006</v>
      </c>
      <c r="J251" s="1036">
        <f>INDEX(NetAssetsData,MATCH('905Hosp'!$J$9,NetAssetsDataRow,0),3)</f>
        <v>129352347.98999999</v>
      </c>
      <c r="K251" s="1036">
        <f>INDEX(NetAssetsData,MATCH('905Hosp'!$K$9,NetAssetsDataRow,0),3)</f>
        <v>31789089</v>
      </c>
      <c r="L251" s="1036">
        <f>INDEX(NetAssetsData,MATCH('905Hosp'!$L$9,NetAssetsDataRow,0),3)</f>
        <v>944825557.21000004</v>
      </c>
      <c r="M251" s="1036">
        <f>INDEX(NetAssetsData,MATCH('905Hosp'!$M$9,NetAssetsDataRow,0),3)</f>
        <v>-882532.79</v>
      </c>
      <c r="N251" s="1036">
        <f>INDEX(NetAssetsData,MATCH('905Hosp'!$N$9,NetAssetsDataRow,0),3)</f>
        <v>37257576.869999997</v>
      </c>
      <c r="O251" s="1036">
        <f>INDEX(NetAssetsData,MATCH('905Hosp'!$O$9,NetAssetsDataRow,0),3)</f>
        <v>14154557.119999999</v>
      </c>
      <c r="P251" s="1036">
        <f>INDEX(NetAssetsData,MATCH('905Hosp'!$P$9,NetAssetsDataRow,0),3)</f>
        <v>72429723.359999999</v>
      </c>
      <c r="Q251" s="1036">
        <f>INDEX(NetAssetsData,MATCH('905Hosp'!$Q$9,NetAssetsDataRow,0),3)</f>
        <v>0</v>
      </c>
      <c r="R251" s="1036">
        <v>0</v>
      </c>
      <c r="S251" s="1036">
        <v>0</v>
      </c>
      <c r="T251" t="str">
        <f>IF(SUM(H251:S251)=F251,"OK ","Crossfoot error: sum of Col H thru S must equal total in Col F")</f>
        <v xml:space="preserve">OK </v>
      </c>
      <c r="U251" s="2367"/>
    </row>
    <row r="252" spans="1:21" x14ac:dyDescent="0.2">
      <c r="A252" s="785">
        <v>2990</v>
      </c>
      <c r="B252" s="3294" t="s">
        <v>1054</v>
      </c>
      <c r="C252" s="3294"/>
      <c r="D252" s="3294"/>
      <c r="E252" s="3294"/>
      <c r="F252" s="649">
        <f>SUM(H252:S252)</f>
        <v>0</v>
      </c>
      <c r="H252" s="659">
        <v>0</v>
      </c>
      <c r="I252" s="659">
        <v>0</v>
      </c>
      <c r="J252" s="659">
        <v>0</v>
      </c>
      <c r="K252" s="659">
        <v>0</v>
      </c>
      <c r="L252" s="659">
        <v>0</v>
      </c>
      <c r="M252" s="659">
        <v>0</v>
      </c>
      <c r="N252" s="659">
        <v>0</v>
      </c>
      <c r="O252" s="659">
        <v>0</v>
      </c>
      <c r="P252" s="659">
        <v>0</v>
      </c>
      <c r="Q252" s="659">
        <v>0</v>
      </c>
      <c r="R252" s="659">
        <v>0</v>
      </c>
      <c r="S252" s="659">
        <v>0</v>
      </c>
      <c r="U252" s="2367">
        <v>33000100</v>
      </c>
    </row>
    <row r="253" spans="1:21" ht="13.5" thickBot="1" x14ac:dyDescent="0.25">
      <c r="A253" s="785"/>
      <c r="B253" s="3294" t="s">
        <v>1895</v>
      </c>
      <c r="C253" s="3294"/>
      <c r="D253" s="3294"/>
      <c r="E253" s="3294"/>
      <c r="F253" s="804">
        <f>SUM(F250:F252)</f>
        <v>2194239572.1999998</v>
      </c>
      <c r="H253" s="804">
        <f t="shared" ref="H253:M253" si="38">SUM(H250:H252)</f>
        <v>0</v>
      </c>
      <c r="I253" s="804">
        <f t="shared" si="38"/>
        <v>965313253.44000006</v>
      </c>
      <c r="J253" s="804">
        <f t="shared" si="38"/>
        <v>129352347.98999999</v>
      </c>
      <c r="K253" s="804">
        <f t="shared" si="38"/>
        <v>31789089</v>
      </c>
      <c r="L253" s="804">
        <f t="shared" si="38"/>
        <v>944825557.21000004</v>
      </c>
      <c r="M253" s="804">
        <f t="shared" si="38"/>
        <v>-882532.79</v>
      </c>
      <c r="N253" s="804">
        <f t="shared" ref="N253:S253" si="39">SUM(N250:N252)</f>
        <v>37257576.869999997</v>
      </c>
      <c r="O253" s="804">
        <f t="shared" si="39"/>
        <v>14154557.119999999</v>
      </c>
      <c r="P253" s="804">
        <f t="shared" si="39"/>
        <v>72429723.359999999</v>
      </c>
      <c r="Q253" s="804">
        <f t="shared" si="39"/>
        <v>0</v>
      </c>
      <c r="R253" s="804">
        <f t="shared" si="39"/>
        <v>0</v>
      </c>
      <c r="S253" s="804">
        <f t="shared" si="39"/>
        <v>0</v>
      </c>
      <c r="T253" t="str">
        <f>IF(SUM(H253:S253)=F253,"OK ","Crossfoot error: sum of Col H thru S must equal total in Col F")</f>
        <v xml:space="preserve">OK </v>
      </c>
      <c r="U253" s="2377"/>
    </row>
    <row r="254" spans="1:21" ht="9.75" customHeight="1" thickTop="1" x14ac:dyDescent="0.2">
      <c r="U254" s="2377"/>
    </row>
    <row r="255" spans="1:21" x14ac:dyDescent="0.2">
      <c r="B255" s="335" t="s">
        <v>1897</v>
      </c>
      <c r="F255" s="805" t="str">
        <f>IF(ROUND(F186-F253,2)=0,"OK", "Error")</f>
        <v>Error</v>
      </c>
      <c r="H255" s="805" t="str">
        <f t="shared" ref="H255:S255" si="40">IF(ROUND(H186-H253,2)=0,"OK", "Error")</f>
        <v>OK</v>
      </c>
      <c r="I255" s="805" t="str">
        <f t="shared" si="40"/>
        <v>Error</v>
      </c>
      <c r="J255" s="805" t="str">
        <f t="shared" si="40"/>
        <v>Error</v>
      </c>
      <c r="K255" s="805" t="str">
        <f t="shared" si="40"/>
        <v>Error</v>
      </c>
      <c r="L255" s="805" t="str">
        <f t="shared" si="40"/>
        <v>Error</v>
      </c>
      <c r="M255" s="805" t="str">
        <f t="shared" si="40"/>
        <v>Error</v>
      </c>
      <c r="N255" s="805" t="str">
        <f t="shared" si="40"/>
        <v>Error</v>
      </c>
      <c r="O255" s="805" t="str">
        <f t="shared" si="40"/>
        <v>Error</v>
      </c>
      <c r="P255" s="805" t="str">
        <f t="shared" si="40"/>
        <v>Error</v>
      </c>
      <c r="Q255" s="805" t="str">
        <f t="shared" si="40"/>
        <v>OK</v>
      </c>
      <c r="R255" s="805" t="str">
        <f t="shared" si="40"/>
        <v>OK</v>
      </c>
      <c r="S255" s="805" t="str">
        <f t="shared" si="40"/>
        <v>OK</v>
      </c>
    </row>
    <row r="257" spans="1:7" x14ac:dyDescent="0.2">
      <c r="B257" s="330" t="s">
        <v>4956</v>
      </c>
      <c r="F257" s="1077" t="str">
        <f>IF(ROUND(SUM(H251:S251),2)=F251,"OK","Problem: Sum of beginning net assets must equal total prior year ending per CAFR")</f>
        <v>OK</v>
      </c>
    </row>
    <row r="258" spans="1:7" ht="13.5" thickBot="1" x14ac:dyDescent="0.25"/>
    <row r="259" spans="1:7" x14ac:dyDescent="0.2">
      <c r="A259" s="1557" t="s">
        <v>4045</v>
      </c>
      <c r="B259" s="1020"/>
      <c r="C259" s="1020"/>
      <c r="D259" s="1020"/>
      <c r="E259" s="1020"/>
      <c r="F259" s="1021"/>
      <c r="G259" s="1022"/>
    </row>
    <row r="260" spans="1:7" x14ac:dyDescent="0.2">
      <c r="A260" s="1556" t="s">
        <v>4049</v>
      </c>
      <c r="B260" s="1024"/>
      <c r="C260" s="1024"/>
      <c r="D260" s="1024"/>
      <c r="E260" s="1024"/>
      <c r="F260" s="1025"/>
      <c r="G260" s="1026"/>
    </row>
    <row r="261" spans="1:7" x14ac:dyDescent="0.2">
      <c r="A261" s="1556" t="s">
        <v>4050</v>
      </c>
      <c r="B261" s="1024"/>
      <c r="C261" s="1024"/>
      <c r="D261" s="1024"/>
      <c r="E261" s="1024"/>
      <c r="F261" s="1025"/>
      <c r="G261" s="1026"/>
    </row>
    <row r="262" spans="1:7" x14ac:dyDescent="0.2">
      <c r="A262" s="1556" t="s">
        <v>4957</v>
      </c>
      <c r="B262" s="1024"/>
      <c r="C262" s="1024"/>
      <c r="D262" s="1024"/>
      <c r="E262" s="1024"/>
      <c r="F262" s="1025"/>
      <c r="G262" s="1026"/>
    </row>
    <row r="263" spans="1:7" x14ac:dyDescent="0.2">
      <c r="A263" s="1556" t="s">
        <v>4086</v>
      </c>
      <c r="B263" s="1024"/>
      <c r="C263" s="1024"/>
      <c r="D263" s="1024"/>
      <c r="E263" s="1024"/>
      <c r="F263" s="1025"/>
      <c r="G263" s="1026"/>
    </row>
    <row r="264" spans="1:7" x14ac:dyDescent="0.2">
      <c r="A264" s="1556"/>
      <c r="B264" s="1024"/>
      <c r="C264" s="1024"/>
      <c r="D264" s="1024"/>
      <c r="E264" s="1024"/>
      <c r="F264" s="1025"/>
      <c r="G264" s="1026"/>
    </row>
    <row r="265" spans="1:7" x14ac:dyDescent="0.2">
      <c r="A265" s="3297"/>
      <c r="B265" s="3298"/>
      <c r="C265" s="3298"/>
      <c r="D265" s="3298"/>
      <c r="E265" s="1024"/>
      <c r="F265" s="3301"/>
      <c r="G265" s="3302"/>
    </row>
    <row r="266" spans="1:7" x14ac:dyDescent="0.2">
      <c r="A266" s="1023" t="s">
        <v>1451</v>
      </c>
      <c r="B266" s="1024"/>
      <c r="C266" s="1024"/>
      <c r="D266" s="1024"/>
      <c r="E266" s="1024"/>
      <c r="F266" s="1025" t="s">
        <v>1307</v>
      </c>
      <c r="G266" s="1026"/>
    </row>
    <row r="267" spans="1:7" ht="13.5" thickBot="1" x14ac:dyDescent="0.25">
      <c r="A267" s="1028"/>
      <c r="B267" s="1029"/>
      <c r="C267" s="1029"/>
      <c r="D267" s="1029"/>
      <c r="E267" s="1029"/>
      <c r="F267" s="1030"/>
      <c r="G267" s="1031"/>
    </row>
    <row r="269" spans="1:7" x14ac:dyDescent="0.2">
      <c r="A269" s="272" t="s">
        <v>3589</v>
      </c>
    </row>
    <row r="273" spans="1:1" x14ac:dyDescent="0.2">
      <c r="A273" s="272"/>
    </row>
  </sheetData>
  <sheetProtection algorithmName="SHA-512" hashValue="Rg2dlAfl2aRilKW5db/rlpdeVWjn1V6pKf2igMayHiJoPhIA2cBddCB3ENhnffa73dgZSBivY4oMCmC+Hjn0Xg==" saltValue="BjvHtoRrMCXohjxNPGHFtQ==" spinCount="100000" sheet="1" objects="1" scenarios="1" autoFilter="0"/>
  <customSheetViews>
    <customSheetView guid="{B08879A4-635B-4C39-9937-AC7883D562FC}">
      <pane xSplit="6" ySplit="8" topLeftCell="G36" activePane="bottomRight" state="frozen"/>
      <selection pane="bottomRight" activeCell="B45" sqref="B45:E45"/>
      <pageMargins left="0.5" right="0.5" top="0.5" bottom="0.5" header="0.5" footer="0.25"/>
      <printOptions headings="1" gridLines="1"/>
      <pageSetup scale="95" fitToHeight="3" orientation="portrait" r:id="rId1"/>
      <headerFooter alignWithMargins="0">
        <oddFooter>&amp;R&amp;A (&amp;P of &amp;N)</oddFooter>
      </headerFooter>
    </customSheetView>
    <customSheetView guid="{9FCFC836-1CA5-48BF-958D-24D2EA94B219}">
      <pane xSplit="6" ySplit="8" topLeftCell="G36" activePane="bottomRight" state="frozen"/>
      <selection pane="bottomRight" activeCell="B45" sqref="B45:E45"/>
      <pageMargins left="0.5" right="0.5" top="0.5" bottom="0.5" header="0.5" footer="0.25"/>
      <printOptions headings="1" gridLines="1"/>
      <pageSetup scale="95" fitToHeight="3" orientation="portrait" r:id="rId2"/>
      <headerFooter alignWithMargins="0">
        <oddFooter>&amp;R&amp;A (&amp;P of &amp;N)</oddFooter>
      </headerFooter>
    </customSheetView>
  </customSheetViews>
  <mergeCells count="222">
    <mergeCell ref="B155:E155"/>
    <mergeCell ref="B167:E167"/>
    <mergeCell ref="B169:E169"/>
    <mergeCell ref="B233:E233"/>
    <mergeCell ref="A8:F8"/>
    <mergeCell ref="A265:D265"/>
    <mergeCell ref="F265:G265"/>
    <mergeCell ref="B154:E154"/>
    <mergeCell ref="B168:E168"/>
    <mergeCell ref="B170:E170"/>
    <mergeCell ref="A9:D9"/>
    <mergeCell ref="B252:E252"/>
    <mergeCell ref="B253:E253"/>
    <mergeCell ref="B246:E246"/>
    <mergeCell ref="B247:E247"/>
    <mergeCell ref="B248:E248"/>
    <mergeCell ref="B249:E249"/>
    <mergeCell ref="B250:E250"/>
    <mergeCell ref="B251:E251"/>
    <mergeCell ref="B240:E240"/>
    <mergeCell ref="B241:E241"/>
    <mergeCell ref="B242:E242"/>
    <mergeCell ref="B243:E243"/>
    <mergeCell ref="B244:E244"/>
    <mergeCell ref="B245:E245"/>
    <mergeCell ref="B232:E232"/>
    <mergeCell ref="B234:E234"/>
    <mergeCell ref="B235:E235"/>
    <mergeCell ref="B236:E236"/>
    <mergeCell ref="B237:E237"/>
    <mergeCell ref="B239:E239"/>
    <mergeCell ref="B223:E223"/>
    <mergeCell ref="B224:E224"/>
    <mergeCell ref="B226:E226"/>
    <mergeCell ref="B228:E228"/>
    <mergeCell ref="B230:E230"/>
    <mergeCell ref="B231:E231"/>
    <mergeCell ref="B225:E225"/>
    <mergeCell ref="B227:E227"/>
    <mergeCell ref="B229:E229"/>
    <mergeCell ref="B238:E238"/>
    <mergeCell ref="B216:E216"/>
    <mergeCell ref="B217:E217"/>
    <mergeCell ref="B218:E218"/>
    <mergeCell ref="B219:E219"/>
    <mergeCell ref="B222:E222"/>
    <mergeCell ref="B210:E210"/>
    <mergeCell ref="B211:E211"/>
    <mergeCell ref="B212:E212"/>
    <mergeCell ref="B213:E213"/>
    <mergeCell ref="B215:E215"/>
    <mergeCell ref="B202:E202"/>
    <mergeCell ref="B203:E203"/>
    <mergeCell ref="B206:E206"/>
    <mergeCell ref="B207:E207"/>
    <mergeCell ref="B208:E208"/>
    <mergeCell ref="B209:E209"/>
    <mergeCell ref="B196:E196"/>
    <mergeCell ref="B197:E197"/>
    <mergeCell ref="B198:E198"/>
    <mergeCell ref="B199:E199"/>
    <mergeCell ref="B200:E200"/>
    <mergeCell ref="B201:E201"/>
    <mergeCell ref="B186:E186"/>
    <mergeCell ref="B190:E190"/>
    <mergeCell ref="B192:E192"/>
    <mergeCell ref="B193:E193"/>
    <mergeCell ref="B194:E194"/>
    <mergeCell ref="B195:E195"/>
    <mergeCell ref="B179:E179"/>
    <mergeCell ref="B180:E180"/>
    <mergeCell ref="B182:E182"/>
    <mergeCell ref="B183:E183"/>
    <mergeCell ref="B184:E184"/>
    <mergeCell ref="B185:E185"/>
    <mergeCell ref="B156:E156"/>
    <mergeCell ref="B157:E157"/>
    <mergeCell ref="B158:E158"/>
    <mergeCell ref="B160:E160"/>
    <mergeCell ref="B176:E176"/>
    <mergeCell ref="B178:E178"/>
    <mergeCell ref="B163:E163"/>
    <mergeCell ref="B164:E164"/>
    <mergeCell ref="B173:E173"/>
    <mergeCell ref="B172:E172"/>
    <mergeCell ref="B165:E165"/>
    <mergeCell ref="B166:E166"/>
    <mergeCell ref="B171:E171"/>
    <mergeCell ref="B146:E146"/>
    <mergeCell ref="B147:E147"/>
    <mergeCell ref="B148:E148"/>
    <mergeCell ref="B150:E150"/>
    <mergeCell ref="B151:E151"/>
    <mergeCell ref="B153:E153"/>
    <mergeCell ref="B149:E149"/>
    <mergeCell ref="B141:E141"/>
    <mergeCell ref="B142:E142"/>
    <mergeCell ref="B143:E143"/>
    <mergeCell ref="B144:E144"/>
    <mergeCell ref="B152:E152"/>
    <mergeCell ref="B145:E145"/>
    <mergeCell ref="B132:E132"/>
    <mergeCell ref="B133:E133"/>
    <mergeCell ref="B137:E137"/>
    <mergeCell ref="B138:E138"/>
    <mergeCell ref="B139:E139"/>
    <mergeCell ref="B140:E140"/>
    <mergeCell ref="B122:E122"/>
    <mergeCell ref="B123:E123"/>
    <mergeCell ref="B125:E125"/>
    <mergeCell ref="B126:E126"/>
    <mergeCell ref="B128:E128"/>
    <mergeCell ref="B131:E131"/>
    <mergeCell ref="B124:E124"/>
    <mergeCell ref="B129:E129"/>
    <mergeCell ref="B130:E130"/>
    <mergeCell ref="B127:E127"/>
    <mergeCell ref="B117:E117"/>
    <mergeCell ref="B118:E118"/>
    <mergeCell ref="B119:E119"/>
    <mergeCell ref="B121:E121"/>
    <mergeCell ref="B111:E111"/>
    <mergeCell ref="B112:E112"/>
    <mergeCell ref="B113:E113"/>
    <mergeCell ref="B114:E114"/>
    <mergeCell ref="B115:E115"/>
    <mergeCell ref="B116:E116"/>
    <mergeCell ref="B120:E120"/>
    <mergeCell ref="B102:E102"/>
    <mergeCell ref="B103:E103"/>
    <mergeCell ref="B104:E104"/>
    <mergeCell ref="B106:E106"/>
    <mergeCell ref="B107:E107"/>
    <mergeCell ref="B110:E110"/>
    <mergeCell ref="B81:E81"/>
    <mergeCell ref="B82:E82"/>
    <mergeCell ref="B83:E83"/>
    <mergeCell ref="B85:E85"/>
    <mergeCell ref="B100:E100"/>
    <mergeCell ref="B101:E101"/>
    <mergeCell ref="B88:E88"/>
    <mergeCell ref="B92:E92"/>
    <mergeCell ref="B93:E93"/>
    <mergeCell ref="B94:E94"/>
    <mergeCell ref="B95:E95"/>
    <mergeCell ref="B91:E91"/>
    <mergeCell ref="B90:E90"/>
    <mergeCell ref="B108:E108"/>
    <mergeCell ref="B109:E109"/>
    <mergeCell ref="B71:E71"/>
    <mergeCell ref="B72:E72"/>
    <mergeCell ref="B73:E73"/>
    <mergeCell ref="B78:E78"/>
    <mergeCell ref="B79:E79"/>
    <mergeCell ref="B80:E80"/>
    <mergeCell ref="B64:E64"/>
    <mergeCell ref="B65:E65"/>
    <mergeCell ref="B66:E66"/>
    <mergeCell ref="B68:E68"/>
    <mergeCell ref="B69:E69"/>
    <mergeCell ref="B70:E70"/>
    <mergeCell ref="B67:E67"/>
    <mergeCell ref="B74:E74"/>
    <mergeCell ref="B75:E75"/>
    <mergeCell ref="B76:E76"/>
    <mergeCell ref="B77:E77"/>
    <mergeCell ref="B57:E57"/>
    <mergeCell ref="B60:E60"/>
    <mergeCell ref="B61:E61"/>
    <mergeCell ref="B62:E62"/>
    <mergeCell ref="B63:E63"/>
    <mergeCell ref="B51:E51"/>
    <mergeCell ref="B52:E52"/>
    <mergeCell ref="B53:E53"/>
    <mergeCell ref="B54:E54"/>
    <mergeCell ref="B55:E55"/>
    <mergeCell ref="B56:E56"/>
    <mergeCell ref="B58:E58"/>
    <mergeCell ref="B59:E59"/>
    <mergeCell ref="B23:E23"/>
    <mergeCell ref="B25:E25"/>
    <mergeCell ref="B26:E26"/>
    <mergeCell ref="B44:E44"/>
    <mergeCell ref="B45:E45"/>
    <mergeCell ref="B46:E46"/>
    <mergeCell ref="B47:E47"/>
    <mergeCell ref="B48:E48"/>
    <mergeCell ref="B50:E50"/>
    <mergeCell ref="B34:E34"/>
    <mergeCell ref="B37:E37"/>
    <mergeCell ref="B38:E38"/>
    <mergeCell ref="B41:E41"/>
    <mergeCell ref="B42:E42"/>
    <mergeCell ref="B35:E35"/>
    <mergeCell ref="B36:E36"/>
    <mergeCell ref="B24:E24"/>
    <mergeCell ref="B31:E31"/>
    <mergeCell ref="B49:E49"/>
    <mergeCell ref="A1:G1"/>
    <mergeCell ref="A2:G2"/>
    <mergeCell ref="A4:G4"/>
    <mergeCell ref="F5:G5"/>
    <mergeCell ref="C6:D6"/>
    <mergeCell ref="F6:G6"/>
    <mergeCell ref="A3:G3"/>
    <mergeCell ref="A10:D10"/>
    <mergeCell ref="B89:E89"/>
    <mergeCell ref="B11:E11"/>
    <mergeCell ref="B14:E14"/>
    <mergeCell ref="B15:E15"/>
    <mergeCell ref="B16:E16"/>
    <mergeCell ref="B27:E27"/>
    <mergeCell ref="B28:E28"/>
    <mergeCell ref="B29:E29"/>
    <mergeCell ref="B30:E30"/>
    <mergeCell ref="B32:E32"/>
    <mergeCell ref="B17:E17"/>
    <mergeCell ref="B18:E18"/>
    <mergeCell ref="B33:E33"/>
    <mergeCell ref="B20:E20"/>
    <mergeCell ref="B21:E21"/>
    <mergeCell ref="B22:E22"/>
  </mergeCells>
  <hyperlinks>
    <hyperlink ref="A1:G1" location="Index!A1" display="Index!A1" xr:uid="{00000000-0004-0000-4C00-000000000000}"/>
  </hyperlinks>
  <printOptions headings="1" gridLines="1"/>
  <pageMargins left="0.5" right="0.5" top="0.5" bottom="0.5" header="0.5" footer="0.25"/>
  <pageSetup scale="59" fitToHeight="3" orientation="portrait" r:id="rId3"/>
  <headerFooter alignWithMargins="0">
    <oddFooter xml:space="preserve">&amp;L&amp;D &amp;T&amp;R&amp;A </oddFooter>
  </headerFooter>
  <rowBreaks count="4" manualBreakCount="4">
    <brk id="60" max="18" man="1"/>
    <brk id="133" max="18" man="1"/>
    <brk id="189" max="18" man="1"/>
    <brk id="258" max="18" man="1"/>
  </rowBreaks>
  <colBreaks count="2" manualBreakCount="2">
    <brk id="7" max="241" man="1"/>
    <brk id="13" max="241" man="1"/>
  </colBreaks>
  <legacyDrawing r:id="rId4"/>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workbookViewId="0">
      <selection sqref="A1:XFD1"/>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2" width="4.5703125" style="675" customWidth="1"/>
    <col min="13" max="13" width="18.5703125" style="675" customWidth="1"/>
    <col min="14" max="15" width="9.42578125" style="675"/>
    <col min="16" max="16" width="15.5703125" style="2357" bestFit="1" customWidth="1"/>
    <col min="17" max="17" width="14.140625" style="2358" bestFit="1" customWidth="1"/>
    <col min="18" max="18" width="11.42578125" style="2358" customWidth="1"/>
    <col min="19" max="19" width="9.42578125" style="2358"/>
    <col min="20" max="16384" width="9.42578125" style="675"/>
  </cols>
  <sheetData>
    <row r="1" spans="2:23" ht="25.15" customHeight="1" x14ac:dyDescent="0.25">
      <c r="B1" s="2767" t="str">
        <f>+Index!$A$1</f>
        <v xml:space="preserve">                                                               Office of the State Controller                                                                </v>
      </c>
      <c r="C1" s="2767"/>
      <c r="D1" s="2767"/>
      <c r="E1" s="2767"/>
      <c r="F1" s="2767"/>
      <c r="G1" s="2767"/>
      <c r="H1" s="2767"/>
      <c r="I1" s="2767"/>
      <c r="J1" s="2767"/>
      <c r="K1" s="2654" t="str">
        <f>IF(Index!$B$104="na","NA","")</f>
        <v/>
      </c>
      <c r="L1" s="674"/>
      <c r="M1" s="674"/>
      <c r="N1" s="674"/>
      <c r="O1" s="674"/>
      <c r="P1" s="2304"/>
      <c r="Q1" s="2295"/>
      <c r="R1" s="2354" t="s">
        <v>5117</v>
      </c>
      <c r="S1" s="2354" t="s">
        <v>5135</v>
      </c>
      <c r="T1" s="674"/>
      <c r="U1" s="674"/>
      <c r="V1" s="674"/>
    </row>
    <row r="2" spans="2:23" ht="16.5" x14ac:dyDescent="0.3">
      <c r="B2" s="2749" t="str">
        <f>+Index!$A$2</f>
        <v>2022 ACFR Worksheets</v>
      </c>
      <c r="C2" s="2749"/>
      <c r="D2" s="2749"/>
      <c r="E2" s="2749"/>
      <c r="F2" s="2749"/>
      <c r="G2" s="2749"/>
      <c r="H2" s="2749"/>
      <c r="I2" s="2749"/>
      <c r="J2" s="2749"/>
      <c r="K2" s="2654"/>
      <c r="L2" s="676"/>
      <c r="M2" s="676"/>
      <c r="N2" s="676"/>
      <c r="O2" s="677"/>
      <c r="P2" s="2355"/>
      <c r="Q2" s="2356"/>
      <c r="R2" s="2354" t="s">
        <v>5119</v>
      </c>
      <c r="S2" s="2354" t="s">
        <v>5136</v>
      </c>
      <c r="T2" s="677"/>
      <c r="U2" s="677"/>
      <c r="V2" s="677"/>
    </row>
    <row r="3" spans="2:23" ht="33" customHeight="1" x14ac:dyDescent="0.3">
      <c r="B3" s="3327" t="s">
        <v>1948</v>
      </c>
      <c r="C3" s="3327"/>
      <c r="D3" s="3327"/>
      <c r="E3" s="3327"/>
      <c r="F3" s="3327"/>
      <c r="G3" s="3327"/>
      <c r="H3" s="3327"/>
      <c r="I3" s="3327"/>
      <c r="J3" s="3327"/>
      <c r="K3" s="2654"/>
      <c r="L3" s="676"/>
      <c r="M3" s="676"/>
      <c r="N3" s="676"/>
      <c r="O3" s="677"/>
      <c r="P3" s="2355"/>
      <c r="Q3" s="2356"/>
      <c r="R3" s="2356"/>
      <c r="S3" s="2356"/>
      <c r="T3" s="677"/>
      <c r="U3" s="677"/>
      <c r="V3" s="677"/>
    </row>
    <row r="4" spans="2:23" x14ac:dyDescent="0.2">
      <c r="B4" s="1295" t="s">
        <v>3693</v>
      </c>
      <c r="C4" s="1291"/>
      <c r="D4" s="1291"/>
      <c r="E4" s="1291"/>
      <c r="F4" s="1291"/>
      <c r="G4" s="1291"/>
      <c r="H4" s="1291"/>
      <c r="I4" s="1291"/>
      <c r="J4" s="1292"/>
    </row>
    <row r="5" spans="2:23" s="678" customFormat="1" ht="15" customHeight="1" x14ac:dyDescent="0.2">
      <c r="B5" s="200" t="s">
        <v>327</v>
      </c>
      <c r="C5" s="200"/>
      <c r="D5" s="636" t="s">
        <v>1093</v>
      </c>
      <c r="E5" s="635"/>
      <c r="F5" s="200" t="s">
        <v>972</v>
      </c>
      <c r="G5" s="200"/>
      <c r="H5" s="3311" t="str">
        <f>+CONCATENATE(Index!$E$12," ",Index!$E$14)</f>
        <v xml:space="preserve"> </v>
      </c>
      <c r="I5" s="3311"/>
      <c r="J5" s="3311"/>
      <c r="O5" s="679"/>
      <c r="P5" s="2359"/>
      <c r="Q5" s="2360"/>
      <c r="R5" s="2360"/>
      <c r="S5" s="2360"/>
      <c r="W5" s="680"/>
    </row>
    <row r="6" spans="2:23" s="678" customFormat="1" ht="15" customHeight="1" x14ac:dyDescent="0.2">
      <c r="B6" s="200" t="s">
        <v>1154</v>
      </c>
      <c r="C6" s="200"/>
      <c r="D6" s="3326" t="s">
        <v>1938</v>
      </c>
      <c r="E6" s="3326"/>
      <c r="F6" s="3326"/>
      <c r="G6" s="3326"/>
      <c r="H6" s="200"/>
      <c r="I6" s="200"/>
      <c r="J6" s="200"/>
      <c r="O6" s="681"/>
      <c r="P6" s="2361"/>
      <c r="Q6" s="2362"/>
      <c r="R6" s="2362"/>
      <c r="S6" s="2362"/>
      <c r="T6" s="681"/>
      <c r="U6" s="681"/>
      <c r="V6" s="682"/>
      <c r="W6" s="680"/>
    </row>
    <row r="7" spans="2:23" s="678" customFormat="1" ht="15" customHeight="1" x14ac:dyDescent="0.2">
      <c r="B7" s="2360" t="s">
        <v>477</v>
      </c>
      <c r="D7" s="1066">
        <f>INDEX(NetAssetsData,MATCH('906-6B'!$D$5,NetAssetsDataRow,0),4)</f>
        <v>3324</v>
      </c>
      <c r="F7" s="813" t="s">
        <v>348</v>
      </c>
      <c r="G7" s="3320">
        <f>+Index!$E$13</f>
        <v>0</v>
      </c>
      <c r="H7" s="3320"/>
      <c r="I7" s="3320"/>
      <c r="J7" s="3320"/>
      <c r="P7" s="2359"/>
      <c r="Q7" s="2360"/>
      <c r="R7" s="2360"/>
      <c r="S7" s="2360"/>
      <c r="W7" s="680"/>
    </row>
    <row r="8" spans="2:23" s="684" customFormat="1" ht="12" customHeight="1" x14ac:dyDescent="0.2">
      <c r="B8" s="3323" t="s">
        <v>1834</v>
      </c>
      <c r="C8" s="3324"/>
      <c r="D8" s="3324"/>
      <c r="E8" s="3324"/>
      <c r="F8" s="3324"/>
      <c r="G8" s="3324"/>
      <c r="H8" s="3324"/>
      <c r="I8" s="3324"/>
      <c r="J8" s="3325"/>
      <c r="P8" s="2363"/>
      <c r="Q8" s="2364"/>
      <c r="R8" s="2364"/>
      <c r="S8" s="2364"/>
    </row>
    <row r="9" spans="2:23" x14ac:dyDescent="0.2">
      <c r="B9" s="726"/>
      <c r="C9" s="38"/>
      <c r="D9" s="38"/>
      <c r="E9" s="38"/>
      <c r="F9" s="38"/>
      <c r="G9" s="1254"/>
      <c r="H9" s="38"/>
      <c r="J9" s="2447" t="s">
        <v>1833</v>
      </c>
      <c r="M9" s="1229" t="s">
        <v>1819</v>
      </c>
    </row>
    <row r="10" spans="2:23" x14ac:dyDescent="0.2">
      <c r="B10" s="1298" t="s">
        <v>303</v>
      </c>
      <c r="C10" s="819"/>
      <c r="D10" s="819"/>
      <c r="E10" s="2441"/>
      <c r="F10" s="2441"/>
      <c r="G10" s="2441"/>
      <c r="H10" s="2441"/>
      <c r="I10" s="2441"/>
      <c r="J10" s="2448" t="str">
        <f>TEXT(Data!$A$2,"mmmm d,yyyy")</f>
        <v>June 30,2022</v>
      </c>
      <c r="K10" s="687"/>
      <c r="L10" s="687"/>
      <c r="M10" s="1087" t="str">
        <f>TEXT(Data!$A$4,"mmmm d,yyyy")</f>
        <v>June 30,2021</v>
      </c>
      <c r="N10" s="687"/>
    </row>
    <row r="11" spans="2:23" x14ac:dyDescent="0.2">
      <c r="B11" s="3321" t="s">
        <v>630</v>
      </c>
      <c r="C11" s="3321"/>
      <c r="D11" s="3321"/>
      <c r="E11" s="3321"/>
      <c r="F11" s="3321"/>
      <c r="G11" s="3321"/>
      <c r="H11" s="3321"/>
      <c r="I11" s="3321"/>
      <c r="J11" s="396">
        <v>0</v>
      </c>
      <c r="K11" s="688"/>
      <c r="L11" s="688"/>
      <c r="M11" s="842">
        <f>HLOOKUP($D$5,PriorYr906!$J$9:$K$87,3,FALSE)</f>
        <v>0</v>
      </c>
      <c r="N11" s="688"/>
      <c r="P11" s="2365">
        <v>11111000</v>
      </c>
    </row>
    <row r="12" spans="2:23" x14ac:dyDescent="0.2">
      <c r="B12" s="567" t="s">
        <v>483</v>
      </c>
      <c r="C12" s="819"/>
      <c r="D12" s="2441"/>
      <c r="E12" s="2441"/>
      <c r="F12" s="2441"/>
      <c r="G12" s="2441"/>
      <c r="H12" s="2441"/>
      <c r="I12" s="2441"/>
      <c r="J12" s="689"/>
      <c r="K12" s="688"/>
      <c r="L12" s="688"/>
      <c r="M12" s="643"/>
      <c r="N12" s="690"/>
    </row>
    <row r="13" spans="2:23" x14ac:dyDescent="0.2">
      <c r="B13" s="3321" t="s">
        <v>1219</v>
      </c>
      <c r="C13" s="3321"/>
      <c r="D13" s="3321"/>
      <c r="E13" s="3321"/>
      <c r="F13" s="3321"/>
      <c r="G13" s="3321"/>
      <c r="H13" s="3321"/>
      <c r="I13" s="3321"/>
      <c r="J13" s="397">
        <v>0</v>
      </c>
      <c r="K13" s="688"/>
      <c r="L13" s="688"/>
      <c r="M13" s="393">
        <f>HLOOKUP($D$5,PriorYr906!$J$9:$K$87,5,FALSE)</f>
        <v>0</v>
      </c>
      <c r="N13" s="690"/>
      <c r="P13" s="2365">
        <v>11210100</v>
      </c>
    </row>
    <row r="14" spans="2:23" x14ac:dyDescent="0.2">
      <c r="B14" s="3321" t="s">
        <v>1217</v>
      </c>
      <c r="C14" s="3321"/>
      <c r="D14" s="3321"/>
      <c r="E14" s="3321"/>
      <c r="F14" s="3321"/>
      <c r="G14" s="3321"/>
      <c r="H14" s="3321"/>
      <c r="I14" s="3321"/>
      <c r="J14" s="397">
        <v>0</v>
      </c>
      <c r="K14" s="688"/>
      <c r="L14" s="688"/>
      <c r="M14" s="393">
        <f>HLOOKUP($D$5,PriorYr906!$J$9:$K$87,6,FALSE)</f>
        <v>0</v>
      </c>
      <c r="N14" s="690"/>
      <c r="R14" s="2366" t="s">
        <v>5137</v>
      </c>
    </row>
    <row r="15" spans="2:23" x14ac:dyDescent="0.2">
      <c r="B15" s="3321" t="s">
        <v>1218</v>
      </c>
      <c r="C15" s="3321"/>
      <c r="D15" s="3321"/>
      <c r="E15" s="3321"/>
      <c r="F15" s="3321"/>
      <c r="G15" s="3321"/>
      <c r="H15" s="3321"/>
      <c r="I15" s="3321"/>
      <c r="J15" s="397">
        <v>0</v>
      </c>
      <c r="K15" s="688"/>
      <c r="L15" s="688"/>
      <c r="M15" s="393">
        <f>HLOOKUP($D$5,PriorYr906!$J$9:$K$87,7,FALSE)</f>
        <v>0</v>
      </c>
      <c r="N15" s="690"/>
      <c r="P15" s="2357">
        <v>11212400</v>
      </c>
      <c r="R15" s="2366"/>
    </row>
    <row r="16" spans="2:23" x14ac:dyDescent="0.2">
      <c r="B16" s="3321" t="s">
        <v>1220</v>
      </c>
      <c r="C16" s="3321"/>
      <c r="D16" s="3321"/>
      <c r="E16" s="3321"/>
      <c r="F16" s="3321"/>
      <c r="G16" s="3321"/>
      <c r="H16" s="3321"/>
      <c r="I16" s="3321"/>
      <c r="J16" s="397">
        <v>0</v>
      </c>
      <c r="K16" s="688"/>
      <c r="L16" s="688"/>
      <c r="M16" s="393">
        <f>HLOOKUP($D$5,PriorYr906!$J$9:$K$87,8,FALSE)</f>
        <v>0</v>
      </c>
      <c r="N16" s="690"/>
      <c r="P16" s="2365">
        <v>11211100</v>
      </c>
    </row>
    <row r="17" spans="2:18" x14ac:dyDescent="0.2">
      <c r="B17" s="3321" t="s">
        <v>1215</v>
      </c>
      <c r="C17" s="3321"/>
      <c r="D17" s="3321"/>
      <c r="E17" s="3321"/>
      <c r="F17" s="3321"/>
      <c r="G17" s="3321"/>
      <c r="H17" s="3321"/>
      <c r="I17" s="3321"/>
      <c r="J17" s="397">
        <v>0</v>
      </c>
      <c r="K17" s="688"/>
      <c r="L17" s="688"/>
      <c r="M17" s="393">
        <f>HLOOKUP($D$5,PriorYr906!$J$9:$K$87,9,FALSE)</f>
        <v>0</v>
      </c>
      <c r="N17" s="690"/>
      <c r="R17" s="2366" t="s">
        <v>5137</v>
      </c>
    </row>
    <row r="18" spans="2:18" x14ac:dyDescent="0.2">
      <c r="B18" s="3321" t="s">
        <v>1566</v>
      </c>
      <c r="C18" s="3321"/>
      <c r="D18" s="3321"/>
      <c r="E18" s="3321"/>
      <c r="F18" s="3321"/>
      <c r="G18" s="3321"/>
      <c r="H18" s="3321"/>
      <c r="I18" s="3321"/>
      <c r="J18" s="397">
        <v>0</v>
      </c>
      <c r="K18" s="688"/>
      <c r="L18" s="688"/>
      <c r="M18" s="393">
        <f>HLOOKUP($D$5,PriorYr906!$J$9:$K$87,10,FALSE)</f>
        <v>0</v>
      </c>
      <c r="N18" s="690"/>
      <c r="R18" s="2366" t="s">
        <v>5137</v>
      </c>
    </row>
    <row r="19" spans="2:18" x14ac:dyDescent="0.2">
      <c r="B19" s="3321" t="s">
        <v>1216</v>
      </c>
      <c r="C19" s="3321"/>
      <c r="D19" s="3321"/>
      <c r="E19" s="3321"/>
      <c r="F19" s="3321"/>
      <c r="G19" s="3321"/>
      <c r="H19" s="3321"/>
      <c r="I19" s="3321"/>
      <c r="J19" s="397">
        <v>0</v>
      </c>
      <c r="K19" s="688"/>
      <c r="L19" s="688"/>
      <c r="M19" s="393">
        <f>HLOOKUP($D$5,PriorYr906!$J$9:$K$87,11,FALSE)</f>
        <v>0</v>
      </c>
      <c r="N19" s="690"/>
      <c r="P19" s="2365">
        <v>11210500</v>
      </c>
    </row>
    <row r="20" spans="2:18" x14ac:dyDescent="0.2">
      <c r="B20" s="3321" t="s">
        <v>492</v>
      </c>
      <c r="C20" s="3321"/>
      <c r="D20" s="3321"/>
      <c r="E20" s="3321"/>
      <c r="F20" s="3321"/>
      <c r="G20" s="3321"/>
      <c r="H20" s="3321"/>
      <c r="I20" s="3321"/>
      <c r="J20" s="397">
        <v>0</v>
      </c>
      <c r="K20" s="688"/>
      <c r="L20" s="688"/>
      <c r="M20" s="393">
        <f>HLOOKUP($D$5,PriorYr906!$J$9:$K$87,12,FALSE)</f>
        <v>0</v>
      </c>
      <c r="N20" s="690"/>
      <c r="P20" s="2365">
        <v>11210600</v>
      </c>
    </row>
    <row r="21" spans="2:18" x14ac:dyDescent="0.2">
      <c r="B21" s="3321" t="s">
        <v>487</v>
      </c>
      <c r="C21" s="3321"/>
      <c r="D21" s="3321"/>
      <c r="E21" s="3321"/>
      <c r="F21" s="3321"/>
      <c r="G21" s="3321"/>
      <c r="H21" s="3321"/>
      <c r="I21" s="3321"/>
      <c r="J21" s="397">
        <v>0</v>
      </c>
      <c r="K21" s="688"/>
      <c r="L21" s="688"/>
      <c r="M21" s="393">
        <f>HLOOKUP($D$5,PriorYr906!$J$9:$K$87,13,FALSE)</f>
        <v>0</v>
      </c>
      <c r="N21" s="690"/>
      <c r="P21" s="2357">
        <v>11210800</v>
      </c>
    </row>
    <row r="22" spans="2:18" x14ac:dyDescent="0.2">
      <c r="B22" s="3321" t="s">
        <v>491</v>
      </c>
      <c r="C22" s="3321"/>
      <c r="D22" s="3321"/>
      <c r="E22" s="3321"/>
      <c r="F22" s="3321"/>
      <c r="G22" s="3321"/>
      <c r="H22" s="3321"/>
      <c r="I22" s="3321"/>
      <c r="J22" s="397">
        <v>0</v>
      </c>
      <c r="K22" s="688"/>
      <c r="L22" s="688"/>
      <c r="M22" s="393">
        <f>HLOOKUP($D$5,PriorYr906!$J$9:$K$87,14,FALSE)</f>
        <v>0</v>
      </c>
      <c r="N22" s="690"/>
      <c r="P22" s="2357">
        <v>11211000</v>
      </c>
    </row>
    <row r="23" spans="2:18" x14ac:dyDescent="0.2">
      <c r="B23" s="3321" t="s">
        <v>495</v>
      </c>
      <c r="C23" s="3321"/>
      <c r="D23" s="3321"/>
      <c r="E23" s="3321"/>
      <c r="F23" s="3321"/>
      <c r="G23" s="3321"/>
      <c r="H23" s="3321"/>
      <c r="I23" s="3321"/>
      <c r="J23" s="397">
        <v>0</v>
      </c>
      <c r="K23" s="688"/>
      <c r="L23" s="688"/>
      <c r="M23" s="393">
        <f>HLOOKUP($D$5,PriorYr906!$J$9:$K$87,15,FALSE)</f>
        <v>0</v>
      </c>
      <c r="N23" s="690"/>
      <c r="P23" s="2357">
        <v>11211300</v>
      </c>
    </row>
    <row r="24" spans="2:18" x14ac:dyDescent="0.2">
      <c r="B24" s="3322" t="s">
        <v>1850</v>
      </c>
      <c r="C24" s="3321"/>
      <c r="D24" s="3321"/>
      <c r="E24" s="3321"/>
      <c r="F24" s="3321"/>
      <c r="G24" s="3321"/>
      <c r="H24" s="3321"/>
      <c r="I24" s="3321"/>
      <c r="J24" s="397">
        <v>0</v>
      </c>
      <c r="K24" s="688"/>
      <c r="L24" s="688"/>
      <c r="M24" s="393">
        <f>HLOOKUP($D$5,PriorYr906!$J$9:$K$87,16,FALSE)</f>
        <v>7988892.4299999997</v>
      </c>
      <c r="N24" s="690"/>
      <c r="P24" s="2357" t="s">
        <v>5138</v>
      </c>
    </row>
    <row r="25" spans="2:18" x14ac:dyDescent="0.2">
      <c r="B25" s="3321" t="s">
        <v>1681</v>
      </c>
      <c r="C25" s="3321"/>
      <c r="D25" s="3321"/>
      <c r="E25" s="3321"/>
      <c r="F25" s="3321"/>
      <c r="G25" s="3321"/>
      <c r="H25" s="3321"/>
      <c r="I25" s="3321"/>
      <c r="J25" s="397">
        <v>0</v>
      </c>
      <c r="K25" s="688"/>
      <c r="L25" s="688"/>
      <c r="M25" s="393">
        <f>HLOOKUP($D$5,PriorYr906!$J$9:$K$87,17,FALSE)</f>
        <v>0</v>
      </c>
      <c r="N25" s="690"/>
      <c r="R25" s="2366" t="s">
        <v>5137</v>
      </c>
    </row>
    <row r="26" spans="2:18" x14ac:dyDescent="0.2">
      <c r="B26" s="3321" t="s">
        <v>1691</v>
      </c>
      <c r="C26" s="3321"/>
      <c r="D26" s="3321"/>
      <c r="E26" s="3321"/>
      <c r="F26" s="3321"/>
      <c r="G26" s="3321"/>
      <c r="H26" s="3321"/>
      <c r="I26" s="3321"/>
      <c r="J26" s="397">
        <v>0</v>
      </c>
      <c r="K26" s="688"/>
      <c r="L26" s="688"/>
      <c r="M26" s="393">
        <f>HLOOKUP($D$5,PriorYr906!$J$9:$K$87,18,FALSE)</f>
        <v>40639376.659999996</v>
      </c>
      <c r="N26" s="690"/>
      <c r="P26" s="2357" t="s">
        <v>5139</v>
      </c>
    </row>
    <row r="27" spans="2:18" x14ac:dyDescent="0.2">
      <c r="B27" s="3321" t="s">
        <v>1692</v>
      </c>
      <c r="C27" s="3321"/>
      <c r="D27" s="3321"/>
      <c r="E27" s="3321"/>
      <c r="F27" s="3321"/>
      <c r="G27" s="3321"/>
      <c r="H27" s="3321"/>
      <c r="I27" s="3321"/>
      <c r="J27" s="397">
        <v>0</v>
      </c>
      <c r="K27" s="688"/>
      <c r="L27" s="688"/>
      <c r="M27" s="393">
        <f>HLOOKUP($D$5,PriorYr906!$J$9:$K$87,19,FALSE)</f>
        <v>343463706.67000002</v>
      </c>
      <c r="N27" s="690"/>
      <c r="P27" s="2357" t="s">
        <v>5140</v>
      </c>
    </row>
    <row r="28" spans="2:18" x14ac:dyDescent="0.2">
      <c r="B28" s="3321" t="s">
        <v>1401</v>
      </c>
      <c r="C28" s="3321"/>
      <c r="D28" s="3321"/>
      <c r="E28" s="3321"/>
      <c r="F28" s="3321"/>
      <c r="G28" s="3321"/>
      <c r="H28" s="3321"/>
      <c r="I28" s="3321"/>
      <c r="J28" s="397">
        <v>0</v>
      </c>
      <c r="K28" s="688"/>
      <c r="L28" s="688"/>
      <c r="M28" s="393">
        <f>HLOOKUP($D$5,PriorYr906!$J$9:$K$87,20,FALSE)</f>
        <v>1381533393.1400001</v>
      </c>
      <c r="N28" s="690"/>
      <c r="P28" s="2357">
        <v>11212300</v>
      </c>
    </row>
    <row r="29" spans="2:18" x14ac:dyDescent="0.2">
      <c r="B29" s="3321" t="s">
        <v>1403</v>
      </c>
      <c r="C29" s="3321"/>
      <c r="D29" s="3321"/>
      <c r="E29" s="3321"/>
      <c r="F29" s="3321"/>
      <c r="G29" s="3321"/>
      <c r="H29" s="3321"/>
      <c r="I29" s="3321"/>
      <c r="J29" s="397">
        <v>0</v>
      </c>
      <c r="K29" s="688"/>
      <c r="L29" s="688"/>
      <c r="M29" s="393">
        <f>HLOOKUP($D$5,PriorYr906!$J$9:$K$87,21,FALSE)</f>
        <v>0</v>
      </c>
      <c r="N29" s="690"/>
      <c r="P29" s="2357">
        <v>11230000</v>
      </c>
    </row>
    <row r="30" spans="2:18" x14ac:dyDescent="0.2">
      <c r="B30" s="819" t="s">
        <v>198</v>
      </c>
      <c r="C30" s="819"/>
      <c r="D30" s="2441"/>
      <c r="E30" s="2441"/>
      <c r="F30" s="2441"/>
      <c r="G30" s="2441"/>
      <c r="H30" s="2441"/>
      <c r="I30" s="2441"/>
      <c r="K30" s="688"/>
      <c r="L30" s="688"/>
      <c r="M30" s="393">
        <f>HLOOKUP($D$5,PriorYr906!$J$9:$K$87,22,FALSE)</f>
        <v>0</v>
      </c>
      <c r="N30" s="690"/>
    </row>
    <row r="31" spans="2:18" x14ac:dyDescent="0.2">
      <c r="B31" s="3321" t="s">
        <v>829</v>
      </c>
      <c r="C31" s="3321"/>
      <c r="D31" s="3321"/>
      <c r="E31" s="3321"/>
      <c r="F31" s="3321"/>
      <c r="G31" s="3321"/>
      <c r="H31" s="3321"/>
      <c r="I31" s="3321"/>
      <c r="J31" s="397">
        <v>0</v>
      </c>
      <c r="K31" s="688"/>
      <c r="L31" s="688"/>
      <c r="M31" s="393">
        <f>HLOOKUP($D$5,PriorYr906!$J$9:$K$87,23,FALSE)</f>
        <v>86.19</v>
      </c>
      <c r="N31" s="690"/>
      <c r="P31" s="2357">
        <v>11320000</v>
      </c>
    </row>
    <row r="32" spans="2:18" x14ac:dyDescent="0.2">
      <c r="B32" s="3321" t="s">
        <v>830</v>
      </c>
      <c r="C32" s="3321"/>
      <c r="D32" s="3321"/>
      <c r="E32" s="3321"/>
      <c r="F32" s="3321"/>
      <c r="G32" s="3321"/>
      <c r="H32" s="3321"/>
      <c r="I32" s="3321"/>
      <c r="J32" s="397">
        <v>0</v>
      </c>
      <c r="K32" s="688"/>
      <c r="L32" s="688"/>
      <c r="M32" s="393">
        <f>HLOOKUP($D$5,PriorYr906!$J$9:$K$87,24,FALSE)</f>
        <v>0</v>
      </c>
      <c r="N32" s="690"/>
      <c r="P32" s="2357">
        <v>11352000</v>
      </c>
    </row>
    <row r="33" spans="2:18" x14ac:dyDescent="0.2">
      <c r="B33" s="3321" t="s">
        <v>831</v>
      </c>
      <c r="C33" s="3321"/>
      <c r="D33" s="3321"/>
      <c r="E33" s="3321"/>
      <c r="F33" s="3321"/>
      <c r="G33" s="3321"/>
      <c r="H33" s="3321"/>
      <c r="I33" s="3321"/>
      <c r="J33" s="397">
        <v>0</v>
      </c>
      <c r="K33" s="688"/>
      <c r="L33" s="688"/>
      <c r="M33" s="393">
        <f>HLOOKUP($D$5,PriorYr906!$J$9:$K$87,25,FALSE)</f>
        <v>1061351.3999999999</v>
      </c>
      <c r="N33" s="690"/>
      <c r="P33" s="2357">
        <v>11370000</v>
      </c>
    </row>
    <row r="34" spans="2:18" x14ac:dyDescent="0.2">
      <c r="B34" s="3321" t="s">
        <v>549</v>
      </c>
      <c r="C34" s="3321"/>
      <c r="D34" s="3321"/>
      <c r="E34" s="3321"/>
      <c r="F34" s="3321"/>
      <c r="G34" s="3321"/>
      <c r="H34" s="3321"/>
      <c r="I34" s="3321"/>
      <c r="J34" s="397">
        <v>0</v>
      </c>
      <c r="K34" s="688"/>
      <c r="L34" s="688"/>
      <c r="M34" s="393">
        <f>HLOOKUP($D$5,PriorYr906!$J$9:$K$87,26,FALSE)</f>
        <v>21588810.329999998</v>
      </c>
      <c r="N34" s="690"/>
      <c r="P34" s="2357">
        <v>11510000</v>
      </c>
    </row>
    <row r="35" spans="2:18" x14ac:dyDescent="0.2">
      <c r="B35" s="3321" t="s">
        <v>931</v>
      </c>
      <c r="C35" s="3321"/>
      <c r="D35" s="3321"/>
      <c r="E35" s="3321"/>
      <c r="F35" s="3321"/>
      <c r="G35" s="3321"/>
      <c r="H35" s="3321"/>
      <c r="I35" s="3321"/>
      <c r="J35" s="397">
        <v>0</v>
      </c>
      <c r="K35" s="688"/>
      <c r="L35" s="688"/>
      <c r="M35" s="393">
        <f>HLOOKUP($D$5,PriorYr906!$J$9:$K$87,27,FALSE)</f>
        <v>0</v>
      </c>
      <c r="N35" s="690"/>
      <c r="P35" s="2357">
        <v>11699000</v>
      </c>
    </row>
    <row r="36" spans="2:18" x14ac:dyDescent="0.2">
      <c r="B36" s="3321" t="s">
        <v>1095</v>
      </c>
      <c r="C36" s="3321"/>
      <c r="D36" s="3321"/>
      <c r="E36" s="3321"/>
      <c r="F36" s="3321"/>
      <c r="G36" s="3321"/>
      <c r="H36" s="3321"/>
      <c r="I36" s="3321"/>
      <c r="J36" s="397">
        <v>0</v>
      </c>
      <c r="K36" s="688"/>
      <c r="L36" s="688"/>
      <c r="M36" s="393">
        <f>HLOOKUP($D$5,PriorYr906!$J$9:$K$87,28,FALSE)</f>
        <v>0</v>
      </c>
      <c r="N36" s="690"/>
      <c r="P36" s="2357">
        <v>11930000</v>
      </c>
      <c r="R36" s="2366"/>
    </row>
    <row r="37" spans="2:18" x14ac:dyDescent="0.2">
      <c r="B37" s="3321" t="s">
        <v>484</v>
      </c>
      <c r="C37" s="3321"/>
      <c r="D37" s="3321"/>
      <c r="E37" s="3321"/>
      <c r="F37" s="3321"/>
      <c r="G37" s="3321"/>
      <c r="H37" s="3321"/>
      <c r="I37" s="3321"/>
      <c r="J37" s="397">
        <v>0</v>
      </c>
      <c r="K37" s="688"/>
      <c r="L37" s="688"/>
      <c r="M37" s="393">
        <f>HLOOKUP($D$5,PriorYr906!$J$9:$K$87,29,FALSE)</f>
        <v>0</v>
      </c>
      <c r="N37" s="690"/>
      <c r="P37" s="2357">
        <v>12700000</v>
      </c>
    </row>
    <row r="38" spans="2:18" x14ac:dyDescent="0.2">
      <c r="B38" s="3321" t="s">
        <v>485</v>
      </c>
      <c r="C38" s="3321"/>
      <c r="D38" s="3321"/>
      <c r="E38" s="3321"/>
      <c r="F38" s="3321"/>
      <c r="G38" s="3321"/>
      <c r="H38" s="3321"/>
      <c r="I38" s="3321"/>
      <c r="J38" s="644">
        <v>0</v>
      </c>
      <c r="K38" s="688"/>
      <c r="L38" s="688"/>
      <c r="M38" s="393">
        <f>HLOOKUP($D$5,PriorYr906!$J$9:$K$87,30,FALSE)</f>
        <v>0</v>
      </c>
      <c r="N38" s="690"/>
      <c r="P38" s="2357">
        <v>12710000</v>
      </c>
    </row>
    <row r="39" spans="2:18" x14ac:dyDescent="0.2">
      <c r="B39" s="3321" t="s">
        <v>272</v>
      </c>
      <c r="C39" s="3321"/>
      <c r="D39" s="3321"/>
      <c r="E39" s="3321"/>
      <c r="F39" s="3321"/>
      <c r="G39" s="3321"/>
      <c r="H39" s="3321"/>
      <c r="I39" s="3321"/>
      <c r="J39" s="706">
        <f>SUM(J10:J38)</f>
        <v>0</v>
      </c>
      <c r="K39" s="688"/>
      <c r="L39" s="688"/>
      <c r="M39" s="706">
        <f>SUM(M10:M38)</f>
        <v>1796275616.8199999</v>
      </c>
      <c r="N39" s="690"/>
    </row>
    <row r="40" spans="2:18" x14ac:dyDescent="0.2">
      <c r="B40" s="1300"/>
      <c r="C40" s="819"/>
      <c r="D40" s="2441"/>
      <c r="E40" s="2441"/>
      <c r="F40" s="2441"/>
      <c r="G40" s="2441"/>
      <c r="H40" s="2441"/>
      <c r="I40" s="2441"/>
      <c r="J40" s="695"/>
      <c r="K40" s="688"/>
      <c r="L40" s="688"/>
      <c r="M40" s="643"/>
      <c r="N40" s="690"/>
    </row>
    <row r="41" spans="2:18" x14ac:dyDescent="0.2">
      <c r="B41" s="1298" t="s">
        <v>486</v>
      </c>
      <c r="C41" s="819"/>
      <c r="D41" s="2441"/>
      <c r="E41" s="2441"/>
      <c r="F41" s="2441"/>
      <c r="G41" s="2441"/>
      <c r="H41" s="2441"/>
      <c r="I41" s="2441"/>
      <c r="J41" s="695"/>
      <c r="K41" s="688"/>
      <c r="L41" s="688"/>
      <c r="M41" s="643"/>
      <c r="N41" s="690"/>
    </row>
    <row r="42" spans="2:18" x14ac:dyDescent="0.2">
      <c r="B42" s="2442" t="s">
        <v>275</v>
      </c>
      <c r="C42" s="819"/>
      <c r="D42" s="2441"/>
      <c r="E42" s="2441"/>
      <c r="F42" s="2441"/>
      <c r="G42" s="2441"/>
      <c r="H42" s="2441"/>
      <c r="I42" s="2441"/>
      <c r="J42" s="695"/>
      <c r="K42" s="688"/>
      <c r="L42" s="688"/>
      <c r="M42" s="643"/>
      <c r="N42" s="690"/>
    </row>
    <row r="43" spans="2:18" x14ac:dyDescent="0.2">
      <c r="B43" s="3328" t="s">
        <v>1060</v>
      </c>
      <c r="C43" s="3328"/>
      <c r="D43" s="3328"/>
      <c r="E43" s="3328"/>
      <c r="F43" s="3328"/>
      <c r="G43" s="3328"/>
      <c r="H43" s="3328"/>
      <c r="I43" s="3328"/>
      <c r="J43" s="397">
        <v>0</v>
      </c>
      <c r="K43" s="688"/>
      <c r="L43" s="688"/>
      <c r="M43" s="393">
        <f>HLOOKUP($D$5,PriorYr906!$J$9:$K$87,35,FALSE)</f>
        <v>248343.51</v>
      </c>
      <c r="N43" s="690"/>
      <c r="P43" s="2365">
        <v>21110000</v>
      </c>
    </row>
    <row r="44" spans="2:18" x14ac:dyDescent="0.2">
      <c r="B44" s="3328" t="s">
        <v>816</v>
      </c>
      <c r="C44" s="3328"/>
      <c r="D44" s="3328"/>
      <c r="E44" s="3328"/>
      <c r="F44" s="3328"/>
      <c r="G44" s="3328"/>
      <c r="H44" s="3328"/>
      <c r="I44" s="3328"/>
      <c r="J44" s="397">
        <v>0</v>
      </c>
      <c r="K44" s="688"/>
      <c r="L44" s="688"/>
      <c r="M44" s="393">
        <f>HLOOKUP($D$5,PriorYr906!$J$9:$K$87,36,FALSE)</f>
        <v>0</v>
      </c>
      <c r="N44" s="690"/>
      <c r="P44" s="2365">
        <v>21131000</v>
      </c>
    </row>
    <row r="45" spans="2:18" x14ac:dyDescent="0.2">
      <c r="B45" s="3328" t="s">
        <v>1078</v>
      </c>
      <c r="C45" s="3328"/>
      <c r="D45" s="3328"/>
      <c r="E45" s="3328"/>
      <c r="F45" s="3328"/>
      <c r="G45" s="3328"/>
      <c r="H45" s="3328"/>
      <c r="I45" s="3328"/>
      <c r="J45" s="397">
        <v>0</v>
      </c>
      <c r="K45" s="688"/>
      <c r="L45" s="688"/>
      <c r="M45" s="393">
        <f>HLOOKUP($D$5,PriorYr906!$J$9:$K$87,37,FALSE)</f>
        <v>0</v>
      </c>
      <c r="N45" s="690"/>
      <c r="P45" s="2365">
        <v>21511000</v>
      </c>
    </row>
    <row r="46" spans="2:18" x14ac:dyDescent="0.2">
      <c r="B46" s="3331" t="s">
        <v>1402</v>
      </c>
      <c r="C46" s="3331"/>
      <c r="D46" s="3331"/>
      <c r="E46" s="3331"/>
      <c r="F46" s="3331"/>
      <c r="G46" s="3331"/>
      <c r="H46" s="3331"/>
      <c r="I46" s="3331"/>
      <c r="J46" s="397">
        <v>0</v>
      </c>
      <c r="K46" s="688"/>
      <c r="L46" s="688"/>
      <c r="M46" s="393">
        <f>HLOOKUP($D$5,PriorYr906!$J$9:$K$87,38,FALSE)</f>
        <v>0</v>
      </c>
      <c r="N46" s="690"/>
      <c r="P46" s="2365">
        <v>21315000</v>
      </c>
    </row>
    <row r="47" spans="2:18" x14ac:dyDescent="0.2">
      <c r="B47" s="3331" t="s">
        <v>569</v>
      </c>
      <c r="C47" s="3331"/>
      <c r="D47" s="3331"/>
      <c r="E47" s="3331"/>
      <c r="F47" s="3331"/>
      <c r="G47" s="3331"/>
      <c r="H47" s="3331"/>
      <c r="I47" s="3331"/>
      <c r="J47" s="397">
        <v>0</v>
      </c>
      <c r="K47" s="688"/>
      <c r="L47" s="688"/>
      <c r="M47" s="393">
        <f>HLOOKUP($D$5,PriorYr906!$J$9:$K$87,39,FALSE)</f>
        <v>0</v>
      </c>
      <c r="N47" s="690"/>
      <c r="P47" s="2365">
        <v>21811000</v>
      </c>
    </row>
    <row r="48" spans="2:18" x14ac:dyDescent="0.2">
      <c r="B48" s="3331" t="s">
        <v>739</v>
      </c>
      <c r="C48" s="3331"/>
      <c r="D48" s="3331"/>
      <c r="E48" s="3331"/>
      <c r="F48" s="3331"/>
      <c r="G48" s="3331"/>
      <c r="H48" s="3331"/>
      <c r="I48" s="3331"/>
      <c r="J48" s="397">
        <v>0</v>
      </c>
      <c r="K48" s="688"/>
      <c r="L48" s="688"/>
      <c r="M48" s="393">
        <f>HLOOKUP($D$5,PriorYr906!$J$9:$K$87,40,FALSE)</f>
        <v>0</v>
      </c>
      <c r="N48" s="690"/>
      <c r="P48" s="2365">
        <v>21712000</v>
      </c>
    </row>
    <row r="49" spans="2:17" x14ac:dyDescent="0.2">
      <c r="B49" s="3321" t="s">
        <v>701</v>
      </c>
      <c r="C49" s="3321"/>
      <c r="D49" s="3321"/>
      <c r="E49" s="3321"/>
      <c r="F49" s="3321"/>
      <c r="G49" s="3321"/>
      <c r="H49" s="3321"/>
      <c r="I49" s="3321"/>
      <c r="J49" s="397">
        <v>0</v>
      </c>
      <c r="K49" s="688"/>
      <c r="L49" s="688"/>
      <c r="M49" s="393">
        <f>HLOOKUP($D$5,PriorYr906!$J$9:$K$87,41,FALSE)</f>
        <v>0</v>
      </c>
      <c r="N49" s="690"/>
      <c r="P49" s="2365">
        <v>21719000</v>
      </c>
    </row>
    <row r="50" spans="2:17" x14ac:dyDescent="0.2">
      <c r="B50" s="3331" t="s">
        <v>80</v>
      </c>
      <c r="C50" s="3331"/>
      <c r="D50" s="3331"/>
      <c r="E50" s="3331"/>
      <c r="F50" s="3331"/>
      <c r="G50" s="3331"/>
      <c r="H50" s="3331"/>
      <c r="I50" s="3331"/>
      <c r="J50" s="644">
        <v>0</v>
      </c>
      <c r="K50" s="688"/>
      <c r="L50" s="688"/>
      <c r="M50" s="393">
        <f>HLOOKUP($D$5,PriorYr906!$J$9:$K$87,42,FALSE)</f>
        <v>0</v>
      </c>
      <c r="N50" s="690"/>
      <c r="P50" s="2365">
        <v>21192000</v>
      </c>
    </row>
    <row r="51" spans="2:17" x14ac:dyDescent="0.2">
      <c r="B51" s="3321" t="s">
        <v>791</v>
      </c>
      <c r="C51" s="3321"/>
      <c r="D51" s="3321"/>
      <c r="E51" s="3321"/>
      <c r="F51" s="3321"/>
      <c r="G51" s="3321"/>
      <c r="H51" s="3321"/>
      <c r="I51" s="3321"/>
      <c r="J51" s="706">
        <f>SUM(J42:J50)</f>
        <v>0</v>
      </c>
      <c r="K51" s="688"/>
      <c r="L51" s="688"/>
      <c r="M51" s="706">
        <f>SUM(M42:M50)</f>
        <v>248343.51</v>
      </c>
      <c r="N51" s="690"/>
      <c r="P51" s="2365"/>
    </row>
    <row r="52" spans="2:17" x14ac:dyDescent="0.2">
      <c r="B52" s="1302"/>
      <c r="C52" s="1302"/>
      <c r="D52" s="2441"/>
      <c r="E52" s="2441"/>
      <c r="F52" s="2441"/>
      <c r="G52" s="2441"/>
      <c r="H52" s="2441"/>
      <c r="I52" s="2441"/>
      <c r="J52" s="698"/>
      <c r="K52" s="688"/>
      <c r="L52" s="688"/>
      <c r="M52" s="399"/>
      <c r="N52" s="690"/>
      <c r="P52" s="2365"/>
    </row>
    <row r="53" spans="2:17" x14ac:dyDescent="0.2">
      <c r="B53" s="2443" t="s">
        <v>1888</v>
      </c>
      <c r="C53" s="2441"/>
      <c r="D53" s="2441"/>
      <c r="E53" s="2441"/>
      <c r="F53" s="2441"/>
      <c r="G53" s="2441"/>
      <c r="H53" s="2441"/>
      <c r="I53" s="2441"/>
      <c r="K53" s="688"/>
      <c r="L53" s="688"/>
      <c r="M53" s="399"/>
      <c r="N53" s="690"/>
      <c r="P53" s="2365"/>
    </row>
    <row r="54" spans="2:17" x14ac:dyDescent="0.2">
      <c r="B54" s="3336" t="s">
        <v>792</v>
      </c>
      <c r="C54" s="3337"/>
      <c r="D54" s="3337"/>
      <c r="E54" s="3337"/>
      <c r="F54" s="3337"/>
      <c r="G54" s="3337"/>
      <c r="H54" s="3337"/>
      <c r="I54" s="3337"/>
      <c r="K54" s="688"/>
      <c r="L54" s="688"/>
      <c r="M54" s="399"/>
      <c r="N54" s="690"/>
      <c r="P54" s="2365"/>
    </row>
    <row r="55" spans="2:17" x14ac:dyDescent="0.2">
      <c r="B55" s="3333" t="s">
        <v>3843</v>
      </c>
      <c r="C55" s="3331"/>
      <c r="D55" s="3331"/>
      <c r="E55" s="3331"/>
      <c r="F55" s="3331"/>
      <c r="G55" s="3331"/>
      <c r="H55" s="3331"/>
      <c r="I55" s="3331"/>
      <c r="J55" s="397">
        <v>0</v>
      </c>
      <c r="K55" s="688"/>
      <c r="L55" s="688"/>
      <c r="M55" s="393">
        <f>HLOOKUP($D$5,PriorYr906!$J$9:$K$87,47,FALSE)</f>
        <v>1796027273.3099999</v>
      </c>
      <c r="N55" s="690"/>
      <c r="P55" s="2365" t="s">
        <v>5141</v>
      </c>
      <c r="Q55" s="2367"/>
    </row>
    <row r="56" spans="2:17" ht="13.5" thickBot="1" x14ac:dyDescent="0.25">
      <c r="B56" s="3329" t="s">
        <v>1889</v>
      </c>
      <c r="C56" s="3330"/>
      <c r="D56" s="3330"/>
      <c r="E56" s="3330"/>
      <c r="F56" s="3330"/>
      <c r="G56" s="3330"/>
      <c r="H56" s="3330"/>
      <c r="I56" s="3330"/>
      <c r="J56" s="707">
        <f>SUM(J54:J55)</f>
        <v>0</v>
      </c>
      <c r="K56" s="688"/>
      <c r="L56" s="688"/>
      <c r="M56" s="707">
        <f>SUM(M54:M55)</f>
        <v>1796027273.3099999</v>
      </c>
      <c r="N56" s="690"/>
      <c r="P56" s="2365"/>
    </row>
    <row r="57" spans="2:17" ht="13.5" thickTop="1" x14ac:dyDescent="0.2">
      <c r="B57" s="2444"/>
      <c r="C57" s="2444"/>
      <c r="D57" s="2444"/>
      <c r="E57" s="2444"/>
      <c r="F57" s="2444"/>
      <c r="G57" s="2444"/>
      <c r="H57" s="2444"/>
      <c r="I57" s="2444"/>
      <c r="K57" s="688"/>
      <c r="L57" s="688"/>
      <c r="M57" s="398"/>
      <c r="N57" s="690"/>
      <c r="P57" s="2365"/>
    </row>
    <row r="58" spans="2:17" x14ac:dyDescent="0.2">
      <c r="B58" s="3329" t="s">
        <v>1899</v>
      </c>
      <c r="C58" s="3330"/>
      <c r="D58" s="3330"/>
      <c r="E58" s="3330"/>
      <c r="F58" s="3330"/>
      <c r="G58" s="3330"/>
      <c r="H58" s="3330"/>
      <c r="I58" s="3330"/>
      <c r="J58" s="2449" t="str">
        <f>IF(J39-J51=J56,"In Balance","NOT BALANCED")</f>
        <v>In Balance</v>
      </c>
      <c r="K58" s="688"/>
      <c r="L58" s="688"/>
      <c r="M58" s="1258" t="str">
        <f>IF(M39-M51=M56,"In Balance","NOT BALANCED")</f>
        <v>In Balance</v>
      </c>
      <c r="N58" s="690"/>
      <c r="P58" s="2365"/>
    </row>
    <row r="59" spans="2:17" x14ac:dyDescent="0.2">
      <c r="B59" s="2441"/>
      <c r="C59" s="2441"/>
      <c r="D59" s="2441"/>
      <c r="E59" s="2441"/>
      <c r="F59" s="2441"/>
      <c r="G59" s="2441"/>
      <c r="H59" s="2441"/>
      <c r="I59" s="2441"/>
      <c r="K59" s="688"/>
      <c r="L59" s="688"/>
      <c r="M59" s="398"/>
      <c r="N59" s="690"/>
      <c r="P59" s="2365"/>
    </row>
    <row r="60" spans="2:17" x14ac:dyDescent="0.2">
      <c r="B60" s="2445" t="s">
        <v>986</v>
      </c>
      <c r="C60" s="2441"/>
      <c r="D60" s="2441"/>
      <c r="E60" s="2441"/>
      <c r="F60" s="2441"/>
      <c r="G60" s="2441"/>
      <c r="H60" s="2441"/>
      <c r="I60" s="2441"/>
      <c r="J60" s="1253" t="str">
        <f>CONCATENATE("FYE ",+TEXT(Data!$A$2,"mmmm d,yyyy"))</f>
        <v>FYE June 30,2022</v>
      </c>
      <c r="K60" s="688"/>
      <c r="L60" s="688"/>
      <c r="M60" s="1255" t="str">
        <f>CONCATENATE("FYE ",+TEXT(Data!$A$4,"mmmm d,yyyy"))</f>
        <v>FYE June 30,2021</v>
      </c>
      <c r="N60" s="690"/>
      <c r="P60" s="2365"/>
    </row>
    <row r="61" spans="2:17" x14ac:dyDescent="0.2">
      <c r="B61" s="3335" t="s">
        <v>463</v>
      </c>
      <c r="C61" s="3335"/>
      <c r="D61" s="3335"/>
      <c r="E61" s="3335"/>
      <c r="F61" s="3335"/>
      <c r="G61" s="3335"/>
      <c r="H61" s="3335"/>
      <c r="I61" s="3335"/>
      <c r="K61" s="688"/>
      <c r="L61" s="688"/>
      <c r="M61" s="398"/>
      <c r="N61" s="690"/>
      <c r="P61" s="2365"/>
    </row>
    <row r="62" spans="2:17" x14ac:dyDescent="0.2">
      <c r="B62" s="3334" t="s">
        <v>1081</v>
      </c>
      <c r="C62" s="3334"/>
      <c r="D62" s="3334"/>
      <c r="E62" s="3334"/>
      <c r="F62" s="3334"/>
      <c r="G62" s="3334"/>
      <c r="H62" s="3334"/>
      <c r="I62" s="3334"/>
      <c r="J62" s="396">
        <v>0</v>
      </c>
      <c r="K62" s="688"/>
      <c r="L62" s="688"/>
      <c r="M62" s="842">
        <f>HLOOKUP($D$5,PriorYr906!$J$9:$K$87,54,FALSE)</f>
        <v>4301073.83</v>
      </c>
      <c r="N62" s="690"/>
      <c r="P62" s="2365">
        <v>46110000</v>
      </c>
    </row>
    <row r="63" spans="2:17" x14ac:dyDescent="0.2">
      <c r="B63" s="3334" t="s">
        <v>1082</v>
      </c>
      <c r="C63" s="3334"/>
      <c r="D63" s="3334"/>
      <c r="E63" s="3334"/>
      <c r="F63" s="3334"/>
      <c r="G63" s="3334"/>
      <c r="H63" s="3334"/>
      <c r="I63" s="3334"/>
      <c r="J63" s="397">
        <v>0</v>
      </c>
      <c r="K63" s="688"/>
      <c r="L63" s="688"/>
      <c r="M63" s="393">
        <f>HLOOKUP($D$5,PriorYr906!$J$9:$K$87,55,FALSE)</f>
        <v>79969153.569999993</v>
      </c>
      <c r="N63" s="690"/>
      <c r="P63" s="2365">
        <v>46120000</v>
      </c>
    </row>
    <row r="64" spans="2:17" x14ac:dyDescent="0.2">
      <c r="B64" s="3339" t="s">
        <v>1083</v>
      </c>
      <c r="C64" s="3339"/>
      <c r="D64" s="3339"/>
      <c r="E64" s="3339"/>
      <c r="F64" s="3339"/>
      <c r="G64" s="3339"/>
      <c r="H64" s="3339"/>
      <c r="I64" s="3339"/>
      <c r="J64" s="397">
        <v>0</v>
      </c>
      <c r="K64" s="688"/>
      <c r="L64" s="688"/>
      <c r="M64" s="393">
        <f>HLOOKUP($D$5,PriorYr906!$J$9:$K$87,56,FALSE)</f>
        <v>0</v>
      </c>
      <c r="N64" s="690"/>
      <c r="P64" s="2365">
        <v>46160000</v>
      </c>
    </row>
    <row r="65" spans="2:16" x14ac:dyDescent="0.2">
      <c r="B65" s="3334" t="s">
        <v>1084</v>
      </c>
      <c r="C65" s="3334"/>
      <c r="D65" s="3334"/>
      <c r="E65" s="3334"/>
      <c r="F65" s="3334"/>
      <c r="G65" s="3334"/>
      <c r="H65" s="3334"/>
      <c r="I65" s="3334"/>
      <c r="J65" s="644">
        <v>0</v>
      </c>
      <c r="K65" s="688"/>
      <c r="L65" s="688"/>
      <c r="M65" s="393">
        <f>HLOOKUP($D$5,PriorYr906!$J$9:$K$87,57,FALSE)</f>
        <v>0</v>
      </c>
      <c r="N65" s="690"/>
      <c r="P65" s="2365">
        <v>42990000</v>
      </c>
    </row>
    <row r="66" spans="2:16" x14ac:dyDescent="0.2">
      <c r="B66" s="3334" t="s">
        <v>1080</v>
      </c>
      <c r="C66" s="3334"/>
      <c r="D66" s="3334"/>
      <c r="E66" s="3334"/>
      <c r="F66" s="3334"/>
      <c r="G66" s="3334"/>
      <c r="H66" s="3334"/>
      <c r="I66" s="3334"/>
      <c r="J66" s="706">
        <f>SUM(J62:J65)</f>
        <v>0</v>
      </c>
      <c r="K66" s="688"/>
      <c r="L66" s="688"/>
      <c r="M66" s="706">
        <f>SUM(M62:M65)</f>
        <v>84270227.400000006</v>
      </c>
      <c r="N66" s="690"/>
      <c r="P66" s="2365"/>
    </row>
    <row r="67" spans="2:16" x14ac:dyDescent="0.2">
      <c r="B67" s="3335" t="s">
        <v>464</v>
      </c>
      <c r="C67" s="3335"/>
      <c r="D67" s="3335"/>
      <c r="E67" s="3335"/>
      <c r="F67" s="3335"/>
      <c r="G67" s="3335"/>
      <c r="H67" s="3335"/>
      <c r="I67" s="3335"/>
      <c r="K67" s="688"/>
      <c r="L67" s="688"/>
      <c r="M67" s="643"/>
      <c r="N67" s="690"/>
      <c r="P67" s="2365"/>
    </row>
    <row r="68" spans="2:16" x14ac:dyDescent="0.2">
      <c r="B68" s="3334" t="s">
        <v>1085</v>
      </c>
      <c r="C68" s="3334"/>
      <c r="D68" s="3334"/>
      <c r="E68" s="3334"/>
      <c r="F68" s="3334"/>
      <c r="G68" s="3334"/>
      <c r="H68" s="3334"/>
      <c r="I68" s="3334"/>
      <c r="J68" s="397">
        <v>0</v>
      </c>
      <c r="K68" s="688"/>
      <c r="L68" s="688"/>
      <c r="M68" s="393">
        <f>HLOOKUP($D$5,PriorYr906!$J$9:$K$87,60,FALSE)</f>
        <v>207403402.94999999</v>
      </c>
      <c r="N68" s="690"/>
      <c r="P68" s="2365">
        <v>43110000</v>
      </c>
    </row>
    <row r="69" spans="2:16" x14ac:dyDescent="0.2">
      <c r="B69" s="3334" t="s">
        <v>1086</v>
      </c>
      <c r="C69" s="3334"/>
      <c r="D69" s="3334"/>
      <c r="E69" s="3334"/>
      <c r="F69" s="3334"/>
      <c r="G69" s="3334"/>
      <c r="H69" s="3334"/>
      <c r="I69" s="3334"/>
      <c r="J69" s="644">
        <v>0</v>
      </c>
      <c r="K69" s="688"/>
      <c r="L69" s="688"/>
      <c r="M69" s="393">
        <f>HLOOKUP($D$5,PriorYr906!$J$9:$K$87,61,FALSE)</f>
        <v>0</v>
      </c>
      <c r="N69" s="690"/>
      <c r="P69" s="2365">
        <v>52120110</v>
      </c>
    </row>
    <row r="70" spans="2:16" x14ac:dyDescent="0.2">
      <c r="B70" s="3334" t="s">
        <v>1087</v>
      </c>
      <c r="C70" s="3334"/>
      <c r="D70" s="3334"/>
      <c r="E70" s="3334"/>
      <c r="F70" s="3334"/>
      <c r="G70" s="3334"/>
      <c r="H70" s="3334"/>
      <c r="I70" s="3334"/>
      <c r="J70" s="706">
        <f>SUM(J68:J69)</f>
        <v>0</v>
      </c>
      <c r="K70" s="688"/>
      <c r="L70" s="688"/>
      <c r="M70" s="706">
        <f>SUM(M68:M69)</f>
        <v>207403402.94999999</v>
      </c>
      <c r="N70" s="690"/>
      <c r="P70" s="2365"/>
    </row>
    <row r="71" spans="2:16" x14ac:dyDescent="0.2">
      <c r="B71" s="3335" t="s">
        <v>465</v>
      </c>
      <c r="C71" s="3335"/>
      <c r="D71" s="3335"/>
      <c r="E71" s="3335"/>
      <c r="F71" s="3335"/>
      <c r="G71" s="3335"/>
      <c r="H71" s="3335"/>
      <c r="I71" s="3335"/>
      <c r="K71" s="688"/>
      <c r="L71" s="688"/>
      <c r="M71" s="399"/>
      <c r="N71" s="690"/>
      <c r="P71" s="2365"/>
    </row>
    <row r="72" spans="2:16" x14ac:dyDescent="0.2">
      <c r="B72" s="3334" t="s">
        <v>1088</v>
      </c>
      <c r="C72" s="3334"/>
      <c r="D72" s="3334"/>
      <c r="E72" s="3334"/>
      <c r="F72" s="3334"/>
      <c r="G72" s="3334"/>
      <c r="H72" s="3334"/>
      <c r="I72" s="3334"/>
      <c r="J72" s="397">
        <v>0</v>
      </c>
      <c r="K72" s="688"/>
      <c r="L72" s="688"/>
      <c r="M72" s="393">
        <f>HLOOKUP($D$5,PriorYr906!$J$9:$K$87,64,FALSE)</f>
        <v>0</v>
      </c>
      <c r="N72" s="690"/>
      <c r="P72" s="2365">
        <v>45100000</v>
      </c>
    </row>
    <row r="73" spans="2:16" x14ac:dyDescent="0.2">
      <c r="B73" s="3334" t="s">
        <v>944</v>
      </c>
      <c r="C73" s="3334"/>
      <c r="D73" s="3334"/>
      <c r="E73" s="3334"/>
      <c r="F73" s="3334"/>
      <c r="G73" s="3334"/>
      <c r="H73" s="3334"/>
      <c r="I73" s="3334"/>
      <c r="J73" s="397">
        <v>0</v>
      </c>
      <c r="K73" s="688"/>
      <c r="L73" s="688"/>
      <c r="M73" s="393">
        <f>HLOOKUP($D$5,PriorYr906!$J$9:$K$87,65,FALSE)</f>
        <v>1247575.3400000001</v>
      </c>
      <c r="N73" s="690"/>
      <c r="P73" s="2365">
        <v>43200000</v>
      </c>
    </row>
    <row r="74" spans="2:16" x14ac:dyDescent="0.2">
      <c r="B74" s="3334" t="s">
        <v>945</v>
      </c>
      <c r="C74" s="3334"/>
      <c r="D74" s="3334"/>
      <c r="E74" s="3334"/>
      <c r="F74" s="3334"/>
      <c r="G74" s="3334"/>
      <c r="H74" s="3334"/>
      <c r="I74" s="3334"/>
      <c r="J74" s="397">
        <v>0</v>
      </c>
      <c r="K74" s="688"/>
      <c r="L74" s="688"/>
      <c r="M74" s="393">
        <f>HLOOKUP($D$5,PriorYr906!$J$9:$K$87,66,FALSE)</f>
        <v>24399.67</v>
      </c>
      <c r="N74" s="690"/>
      <c r="P74" s="2365">
        <v>47111000</v>
      </c>
    </row>
    <row r="75" spans="2:16" x14ac:dyDescent="0.2">
      <c r="B75" s="3334" t="s">
        <v>503</v>
      </c>
      <c r="C75" s="3334"/>
      <c r="D75" s="3334"/>
      <c r="E75" s="3334"/>
      <c r="F75" s="3334"/>
      <c r="G75" s="3334"/>
      <c r="H75" s="3334"/>
      <c r="I75" s="3334"/>
      <c r="J75" s="706">
        <f>SUM(J72:J74)</f>
        <v>0</v>
      </c>
      <c r="K75" s="688"/>
      <c r="L75" s="688"/>
      <c r="M75" s="706">
        <f>SUM(M72:M74)</f>
        <v>1271975.01</v>
      </c>
      <c r="N75" s="690"/>
      <c r="P75" s="2365"/>
    </row>
    <row r="76" spans="2:16" x14ac:dyDescent="0.2">
      <c r="B76" s="3334" t="s">
        <v>466</v>
      </c>
      <c r="C76" s="3334"/>
      <c r="D76" s="3334"/>
      <c r="E76" s="3334"/>
      <c r="F76" s="3334"/>
      <c r="G76" s="3334"/>
      <c r="H76" s="3334"/>
      <c r="I76" s="3334"/>
      <c r="J76" s="706">
        <f>J66+J70+J75</f>
        <v>0</v>
      </c>
      <c r="K76" s="688"/>
      <c r="L76" s="688"/>
      <c r="M76" s="706">
        <f>M66+M70+M75</f>
        <v>292945605.36000001</v>
      </c>
      <c r="N76" s="690"/>
      <c r="P76" s="2365"/>
    </row>
    <row r="77" spans="2:16" x14ac:dyDescent="0.2">
      <c r="B77" s="2446"/>
      <c r="C77" s="2441"/>
      <c r="D77" s="2441"/>
      <c r="E77" s="2441"/>
      <c r="F77" s="2441"/>
      <c r="G77" s="2441"/>
      <c r="H77" s="2441"/>
      <c r="I77" s="2441"/>
      <c r="K77" s="688"/>
      <c r="L77" s="688"/>
      <c r="M77" s="398"/>
      <c r="N77" s="690"/>
      <c r="P77" s="2365"/>
    </row>
    <row r="78" spans="2:16" x14ac:dyDescent="0.2">
      <c r="B78" s="3332" t="s">
        <v>467</v>
      </c>
      <c r="C78" s="3332"/>
      <c r="D78" s="3332"/>
      <c r="E78" s="3332"/>
      <c r="F78" s="3332"/>
      <c r="G78" s="3332"/>
      <c r="H78" s="3332"/>
      <c r="I78" s="3332"/>
      <c r="K78" s="688"/>
      <c r="L78" s="688"/>
      <c r="M78" s="398"/>
      <c r="N78" s="690"/>
      <c r="P78" s="2365"/>
    </row>
    <row r="79" spans="2:16" x14ac:dyDescent="0.2">
      <c r="B79" s="3334" t="s">
        <v>1171</v>
      </c>
      <c r="C79" s="3334"/>
      <c r="D79" s="3334"/>
      <c r="E79" s="3334"/>
      <c r="F79" s="3334"/>
      <c r="G79" s="3334"/>
      <c r="H79" s="3334"/>
      <c r="I79" s="3334"/>
      <c r="J79" s="397">
        <v>0</v>
      </c>
      <c r="K79" s="688"/>
      <c r="L79" s="688"/>
      <c r="M79" s="393">
        <f>HLOOKUP($D$5,PriorYr906!$J$9:$K$87,71,FALSE)</f>
        <v>81117303.370000005</v>
      </c>
      <c r="N79" s="690"/>
      <c r="P79" s="2365">
        <v>55210000</v>
      </c>
    </row>
    <row r="80" spans="2:16" x14ac:dyDescent="0.2">
      <c r="B80" s="3334" t="s">
        <v>468</v>
      </c>
      <c r="C80" s="3334"/>
      <c r="D80" s="3334"/>
      <c r="E80" s="3334"/>
      <c r="F80" s="3334"/>
      <c r="G80" s="3334"/>
      <c r="H80" s="3334"/>
      <c r="I80" s="3334"/>
      <c r="J80" s="397">
        <v>0</v>
      </c>
      <c r="K80" s="688"/>
      <c r="L80" s="688"/>
      <c r="M80" s="393">
        <f>HLOOKUP($D$5,PriorYr906!$J$9:$K$87,72,FALSE)</f>
        <v>0</v>
      </c>
      <c r="N80" s="690"/>
      <c r="P80" s="2365">
        <v>55218000</v>
      </c>
    </row>
    <row r="81" spans="2:16" x14ac:dyDescent="0.2">
      <c r="B81" s="3334" t="s">
        <v>469</v>
      </c>
      <c r="C81" s="3334"/>
      <c r="D81" s="3334"/>
      <c r="E81" s="3334"/>
      <c r="F81" s="3334"/>
      <c r="G81" s="3334"/>
      <c r="H81" s="3334"/>
      <c r="I81" s="3334"/>
      <c r="J81" s="397">
        <v>0</v>
      </c>
      <c r="K81" s="688"/>
      <c r="L81" s="688"/>
      <c r="M81" s="393">
        <f>HLOOKUP($D$5,PriorYr906!$J$9:$K$87,73,FALSE)</f>
        <v>2119514.67</v>
      </c>
      <c r="N81" s="690"/>
      <c r="P81" s="2365" t="s">
        <v>5142</v>
      </c>
    </row>
    <row r="82" spans="2:16" x14ac:dyDescent="0.2">
      <c r="B82" s="3334" t="s">
        <v>470</v>
      </c>
      <c r="C82" s="3334"/>
      <c r="D82" s="3334"/>
      <c r="E82" s="3334"/>
      <c r="F82" s="3334"/>
      <c r="G82" s="3334"/>
      <c r="H82" s="3334"/>
      <c r="I82" s="3334"/>
      <c r="J82" s="644">
        <v>0</v>
      </c>
      <c r="K82" s="688"/>
      <c r="L82" s="688"/>
      <c r="M82" s="393">
        <f>HLOOKUP($D$5,PriorYr906!$J$9:$K$87,74,FALSE)</f>
        <v>0</v>
      </c>
      <c r="N82" s="690"/>
      <c r="P82" s="2365">
        <v>55610000</v>
      </c>
    </row>
    <row r="83" spans="2:16" x14ac:dyDescent="0.2">
      <c r="B83" s="3334" t="s">
        <v>504</v>
      </c>
      <c r="C83" s="3334"/>
      <c r="D83" s="3334"/>
      <c r="E83" s="3334"/>
      <c r="F83" s="3334"/>
      <c r="G83" s="3334"/>
      <c r="H83" s="3334"/>
      <c r="I83" s="3334"/>
      <c r="J83" s="706">
        <f>SUM(J79:J82)</f>
        <v>0</v>
      </c>
      <c r="K83" s="688"/>
      <c r="L83" s="688"/>
      <c r="M83" s="706">
        <f>SUM(M79:M82)</f>
        <v>83236818.040000007</v>
      </c>
      <c r="N83" s="690"/>
      <c r="P83" s="2365"/>
    </row>
    <row r="84" spans="2:16" x14ac:dyDescent="0.2">
      <c r="B84" s="3338" t="s">
        <v>1900</v>
      </c>
      <c r="C84" s="3334"/>
      <c r="D84" s="3334"/>
      <c r="E84" s="3334"/>
      <c r="F84" s="3334"/>
      <c r="G84" s="3334"/>
      <c r="H84" s="3334"/>
      <c r="I84" s="3334"/>
      <c r="J84" s="1252">
        <f>J76-J83</f>
        <v>0</v>
      </c>
      <c r="K84" s="688"/>
      <c r="L84" s="688"/>
      <c r="M84" s="1252">
        <f>M76-M83</f>
        <v>209708787.31999999</v>
      </c>
      <c r="N84" s="690"/>
      <c r="P84" s="2365"/>
    </row>
    <row r="85" spans="2:16" x14ac:dyDescent="0.2">
      <c r="B85" s="3333" t="s">
        <v>1901</v>
      </c>
      <c r="C85" s="3331"/>
      <c r="D85" s="3331"/>
      <c r="E85" s="3331"/>
      <c r="F85" s="3331"/>
      <c r="G85" s="3331"/>
      <c r="H85" s="3331"/>
      <c r="I85" s="3331"/>
      <c r="J85" s="1065">
        <f>INDEX(NetAssetsData,MATCH('906-6B'!$D$5,NetAssetsDataRow,0),3)</f>
        <v>1796027273.3099999</v>
      </c>
      <c r="K85" s="688"/>
      <c r="L85" s="688"/>
      <c r="M85" s="1065">
        <f>HLOOKUP($D$5,PriorYr906!$J$9:$K$87,77,FALSE)</f>
        <v>1586318485.99</v>
      </c>
      <c r="N85" s="690"/>
      <c r="P85" s="2365"/>
    </row>
    <row r="86" spans="2:16" x14ac:dyDescent="0.2">
      <c r="B86" s="3331" t="s">
        <v>645</v>
      </c>
      <c r="C86" s="3331"/>
      <c r="D86" s="3331"/>
      <c r="E86" s="3331"/>
      <c r="F86" s="3331"/>
      <c r="G86" s="3331"/>
      <c r="H86" s="3331"/>
      <c r="I86" s="3331"/>
      <c r="J86" s="644">
        <v>0</v>
      </c>
      <c r="K86" s="688"/>
      <c r="L86" s="688"/>
      <c r="M86" s="393">
        <f>HLOOKUP($D$5,PriorYr906!$J$9:$K$87,78,FALSE)</f>
        <v>0</v>
      </c>
      <c r="N86" s="690"/>
      <c r="P86" s="2365">
        <v>33000100</v>
      </c>
    </row>
    <row r="87" spans="2:16" ht="13.5" thickBot="1" x14ac:dyDescent="0.25">
      <c r="B87" s="3333" t="s">
        <v>1902</v>
      </c>
      <c r="C87" s="3331"/>
      <c r="D87" s="3331"/>
      <c r="E87" s="3331"/>
      <c r="F87" s="3331"/>
      <c r="G87" s="3331"/>
      <c r="H87" s="3331"/>
      <c r="I87" s="3331"/>
      <c r="J87" s="708">
        <f>SUM(J84:J86)</f>
        <v>1796027273.3099999</v>
      </c>
      <c r="K87" s="688"/>
      <c r="L87" s="688"/>
      <c r="M87" s="708">
        <f>SUM(M84:M86)</f>
        <v>1796027273.3099999</v>
      </c>
      <c r="N87" s="692"/>
    </row>
    <row r="88" spans="2:16" ht="13.5" thickTop="1" x14ac:dyDescent="0.2">
      <c r="B88" s="2441"/>
      <c r="C88" s="2441"/>
      <c r="D88" s="2441"/>
      <c r="E88" s="2441"/>
      <c r="F88" s="2441"/>
      <c r="G88" s="2441"/>
      <c r="H88" s="2441"/>
      <c r="I88" s="2441"/>
      <c r="K88" s="704"/>
      <c r="L88" s="704"/>
      <c r="M88" s="403"/>
      <c r="N88" s="704"/>
    </row>
    <row r="89" spans="2:16" x14ac:dyDescent="0.2">
      <c r="B89" s="2441"/>
      <c r="C89" s="2441"/>
      <c r="D89" s="2441"/>
      <c r="E89" s="2441"/>
      <c r="F89" s="2441"/>
      <c r="G89" s="2441"/>
      <c r="H89" s="2441"/>
      <c r="I89" s="2441"/>
      <c r="K89" s="692"/>
      <c r="L89" s="692"/>
      <c r="M89" s="335"/>
      <c r="N89" s="692"/>
    </row>
    <row r="90" spans="2:16" x14ac:dyDescent="0.2">
      <c r="B90" s="3329" t="s">
        <v>1903</v>
      </c>
      <c r="C90" s="3330"/>
      <c r="D90" s="3330"/>
      <c r="E90" s="3330"/>
      <c r="F90" s="3330"/>
      <c r="G90" s="3330"/>
      <c r="H90" s="3330"/>
      <c r="I90" s="3330"/>
      <c r="J90" s="2449" t="str">
        <f>IF(J56=J87,"In Balance","NOT BALANCED")</f>
        <v>NOT BALANCED</v>
      </c>
      <c r="K90" s="693"/>
      <c r="L90" s="693"/>
      <c r="M90" s="1258" t="str">
        <f>IF(M56=M87,"In Balance","NOT BALANCED")</f>
        <v>In Balance</v>
      </c>
      <c r="N90" s="693"/>
    </row>
    <row r="91" spans="2:16" x14ac:dyDescent="0.2">
      <c r="K91" s="693"/>
      <c r="L91" s="693"/>
      <c r="M91" s="693"/>
      <c r="N91" s="693"/>
    </row>
    <row r="92" spans="2:16" x14ac:dyDescent="0.2">
      <c r="K92" s="691"/>
      <c r="L92" s="691"/>
      <c r="M92" s="691"/>
      <c r="N92" s="691"/>
    </row>
    <row r="93" spans="2:16" x14ac:dyDescent="0.2">
      <c r="K93" s="691"/>
      <c r="L93" s="691"/>
      <c r="M93" s="691"/>
      <c r="N93" s="691"/>
    </row>
    <row r="94" spans="2:16" x14ac:dyDescent="0.2">
      <c r="K94" s="691"/>
      <c r="L94" s="691"/>
      <c r="M94" s="691"/>
      <c r="N94" s="691"/>
    </row>
    <row r="95" spans="2:16" x14ac:dyDescent="0.2">
      <c r="K95" s="691"/>
      <c r="L95" s="691"/>
      <c r="M95" s="691"/>
      <c r="N95" s="691"/>
    </row>
    <row r="96" spans="2:16"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kQdGB1UzprKjIpN35U/PXksnAxMCnBe01Ki5DSagK0bQjYEcoZMohOD+UA/RQiSaW9MX1sn3JZVgJ+8zjMrOKQ==" saltValue="B4Ntft3tl9pmA+3moR6bdQ==" spinCount="100000" sheet="1" objects="1" scenarios="1" autoFilter="0"/>
  <customSheetViews>
    <customSheetView guid="{B08879A4-635B-4C39-9937-AC7883D562FC}" showGridLines="0" fitToPage="1" topLeftCell="A73">
      <selection activeCell="B12" sqref="B12"/>
      <rowBreaks count="1" manualBreakCount="1">
        <brk id="59" max="16383" man="1"/>
      </rowBreaks>
      <pageMargins left="0.75" right="0.5" top="0.5" bottom="0.5" header="0.5" footer="0.25"/>
      <pageSetup scale="98" fitToHeight="2" orientation="portrait" r:id="rId1"/>
      <headerFooter alignWithMargins="0">
        <oddFooter>&amp;R&amp;A (&amp;P of &amp;N)</oddFooter>
      </headerFooter>
    </customSheetView>
    <customSheetView guid="{9FCFC836-1CA5-48BF-958D-24D2EA94B219}" showGridLines="0" fitToPage="1" topLeftCell="A73">
      <selection activeCell="B12" sqref="B12"/>
      <rowBreaks count="1" manualBreakCount="1">
        <brk id="59" max="16383" man="1"/>
      </rowBreaks>
      <pageMargins left="0.75" right="0.5" top="0.5" bottom="0.5" header="0.5" footer="0.25"/>
      <pageSetup scale="98" fitToHeight="2" orientation="portrait" r:id="rId2"/>
      <headerFooter alignWithMargins="0">
        <oddFooter>&amp;R&amp;A (&amp;P of &amp;N)</oddFooter>
      </headerFooter>
    </customSheetView>
  </customSheetViews>
  <mergeCells count="74">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39:I39"/>
    <mergeCell ref="B45:I45"/>
    <mergeCell ref="B44:I44"/>
    <mergeCell ref="B43:I43"/>
    <mergeCell ref="B11:I11"/>
    <mergeCell ref="B23:I23"/>
    <mergeCell ref="B13:I13"/>
    <mergeCell ref="B18:I18"/>
    <mergeCell ref="B16:I16"/>
    <mergeCell ref="B17:I17"/>
    <mergeCell ref="B22:I22"/>
    <mergeCell ref="H5:J5"/>
    <mergeCell ref="D6:G6"/>
    <mergeCell ref="B1:J1"/>
    <mergeCell ref="B2:J2"/>
    <mergeCell ref="B3:J3"/>
    <mergeCell ref="G7:J7"/>
    <mergeCell ref="B31:I31"/>
    <mergeCell ref="B15:I15"/>
    <mergeCell ref="B33:I33"/>
    <mergeCell ref="B14:I14"/>
    <mergeCell ref="B24:I24"/>
    <mergeCell ref="B25:I25"/>
    <mergeCell ref="B26:I26"/>
    <mergeCell ref="B27:I27"/>
    <mergeCell ref="B8:J8"/>
  </mergeCells>
  <phoneticPr fontId="15" type="noConversion"/>
  <conditionalFormatting sqref="K1:K3">
    <cfRule type="cellIs" dxfId="10"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zoomScaleNormal="100" workbookViewId="0">
      <selection activeCell="O5" sqref="O5"/>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2" width="4.5703125" style="675" customWidth="1"/>
    <col min="13" max="13" width="18.5703125" style="675" customWidth="1"/>
    <col min="14" max="15" width="9.42578125" style="675"/>
    <col min="16" max="16" width="15.5703125" style="2357" bestFit="1" customWidth="1"/>
    <col min="17" max="17" width="9.5703125" style="2358" customWidth="1"/>
    <col min="18" max="18" width="11.42578125" style="2358" customWidth="1"/>
    <col min="19" max="19" width="9.42578125" style="2358"/>
    <col min="20" max="16384" width="9.42578125" style="675"/>
  </cols>
  <sheetData>
    <row r="1" spans="2:23" ht="25.15" customHeight="1" x14ac:dyDescent="0.25">
      <c r="B1" s="2767" t="str">
        <f>+Index!$A$1</f>
        <v xml:space="preserve">                                                               Office of the State Controller                                                                </v>
      </c>
      <c r="C1" s="2767"/>
      <c r="D1" s="2767"/>
      <c r="E1" s="2767"/>
      <c r="F1" s="2767"/>
      <c r="G1" s="2767"/>
      <c r="H1" s="2767"/>
      <c r="I1" s="2767"/>
      <c r="J1" s="2767"/>
      <c r="K1" s="2654" t="str">
        <f>IF(Index!$B$105="na","NA","")</f>
        <v/>
      </c>
      <c r="L1" s="674"/>
      <c r="M1" s="674"/>
      <c r="N1" s="674"/>
      <c r="O1" s="674"/>
      <c r="P1" s="2304"/>
      <c r="Q1" s="2295"/>
      <c r="R1" s="2354" t="s">
        <v>5117</v>
      </c>
      <c r="S1" s="2354" t="s">
        <v>5143</v>
      </c>
      <c r="T1" s="674"/>
      <c r="U1" s="674"/>
      <c r="V1" s="674"/>
    </row>
    <row r="2" spans="2:23" ht="16.5" x14ac:dyDescent="0.3">
      <c r="B2" s="2749" t="str">
        <f>+Index!$A$2</f>
        <v>2022 ACFR Worksheets</v>
      </c>
      <c r="C2" s="2749"/>
      <c r="D2" s="2749"/>
      <c r="E2" s="2749"/>
      <c r="F2" s="2749"/>
      <c r="G2" s="2749"/>
      <c r="H2" s="2749"/>
      <c r="I2" s="2749"/>
      <c r="J2" s="2749"/>
      <c r="K2" s="2654"/>
      <c r="L2" s="676"/>
      <c r="M2" s="676"/>
      <c r="N2" s="676"/>
      <c r="O2" s="677"/>
      <c r="P2" s="2355"/>
      <c r="Q2" s="2356"/>
      <c r="R2" s="2354" t="s">
        <v>5119</v>
      </c>
      <c r="S2" s="2354" t="s">
        <v>5136</v>
      </c>
      <c r="T2" s="677"/>
      <c r="U2" s="677"/>
      <c r="V2" s="677"/>
    </row>
    <row r="3" spans="2:23" ht="33" customHeight="1" x14ac:dyDescent="0.3">
      <c r="B3" s="3327" t="s">
        <v>1947</v>
      </c>
      <c r="C3" s="3327"/>
      <c r="D3" s="3327"/>
      <c r="E3" s="3327"/>
      <c r="F3" s="3327"/>
      <c r="G3" s="3327"/>
      <c r="H3" s="3327"/>
      <c r="I3" s="3327"/>
      <c r="J3" s="3327"/>
      <c r="K3" s="2654"/>
      <c r="L3" s="676"/>
      <c r="M3" s="676"/>
      <c r="N3" s="676"/>
      <c r="O3" s="677"/>
      <c r="P3" s="2355"/>
      <c r="Q3" s="2356"/>
      <c r="R3" s="2356"/>
      <c r="S3" s="2356"/>
      <c r="T3" s="677"/>
      <c r="U3" s="677"/>
      <c r="V3" s="677"/>
    </row>
    <row r="4" spans="2:23" x14ac:dyDescent="0.2">
      <c r="B4" s="1295" t="s">
        <v>3721</v>
      </c>
      <c r="C4" s="1291"/>
      <c r="D4" s="1291"/>
      <c r="E4" s="1291"/>
      <c r="F4" s="1291"/>
      <c r="G4" s="1291"/>
      <c r="H4" s="1291"/>
      <c r="I4" s="1291"/>
      <c r="J4" s="1292"/>
    </row>
    <row r="5" spans="2:23" s="678" customFormat="1" ht="15" customHeight="1" x14ac:dyDescent="0.2">
      <c r="B5" s="200" t="s">
        <v>327</v>
      </c>
      <c r="C5" s="200"/>
      <c r="D5" s="636" t="s">
        <v>149</v>
      </c>
      <c r="E5" s="635"/>
      <c r="F5" s="200" t="s">
        <v>972</v>
      </c>
      <c r="G5" s="200"/>
      <c r="H5" s="3311" t="str">
        <f>+CONCATENATE(Index!$E$12," ",Index!$E$14)</f>
        <v xml:space="preserve"> </v>
      </c>
      <c r="I5" s="3311"/>
      <c r="J5" s="3311"/>
      <c r="O5" s="679"/>
      <c r="P5" s="2359"/>
      <c r="Q5" s="2360"/>
      <c r="R5" s="2360"/>
      <c r="S5" s="2360"/>
      <c r="W5" s="680"/>
    </row>
    <row r="6" spans="2:23" s="678" customFormat="1" ht="15" customHeight="1" x14ac:dyDescent="0.2">
      <c r="B6" s="200" t="s">
        <v>1154</v>
      </c>
      <c r="C6" s="200"/>
      <c r="D6" s="3326" t="s">
        <v>1020</v>
      </c>
      <c r="E6" s="3326"/>
      <c r="F6" s="3326"/>
      <c r="G6" s="3326"/>
      <c r="H6" s="200"/>
      <c r="I6" s="200"/>
      <c r="J6" s="200"/>
      <c r="O6" s="681"/>
      <c r="P6" s="2361"/>
      <c r="Q6" s="2362"/>
      <c r="R6" s="2362"/>
      <c r="S6" s="2362"/>
      <c r="T6" s="681"/>
      <c r="U6" s="681"/>
      <c r="V6" s="682"/>
      <c r="W6" s="680"/>
    </row>
    <row r="7" spans="2:23" s="678" customFormat="1" ht="15" customHeight="1" x14ac:dyDescent="0.2">
      <c r="B7" s="2360" t="s">
        <v>477</v>
      </c>
      <c r="D7" s="1066">
        <f>INDEX(NetAssetsData,MATCH('906-6C'!$D$5,NetAssetsDataRow,0),4)</f>
        <v>3318</v>
      </c>
      <c r="F7" s="813" t="s">
        <v>348</v>
      </c>
      <c r="G7" s="3320">
        <f>+Index!$E$13</f>
        <v>0</v>
      </c>
      <c r="H7" s="3320"/>
      <c r="I7" s="3320"/>
      <c r="J7" s="3320"/>
      <c r="P7" s="2359"/>
      <c r="Q7" s="2360"/>
      <c r="R7" s="2360"/>
      <c r="S7" s="2360"/>
      <c r="W7" s="680"/>
    </row>
    <row r="8" spans="2:23" s="684" customFormat="1" ht="12" customHeight="1" x14ac:dyDescent="0.2">
      <c r="B8" s="3323" t="s">
        <v>1834</v>
      </c>
      <c r="C8" s="3324"/>
      <c r="D8" s="3324"/>
      <c r="E8" s="3324"/>
      <c r="F8" s="3324"/>
      <c r="G8" s="3324"/>
      <c r="H8" s="3324"/>
      <c r="I8" s="3324"/>
      <c r="J8" s="3325"/>
      <c r="P8" s="2363"/>
      <c r="Q8" s="2364"/>
      <c r="R8" s="2364"/>
      <c r="S8" s="2364"/>
    </row>
    <row r="9" spans="2:23" x14ac:dyDescent="0.2">
      <c r="B9" s="726"/>
      <c r="C9" s="38"/>
      <c r="D9" s="38"/>
      <c r="E9" s="38"/>
      <c r="F9" s="38"/>
      <c r="G9" s="1254"/>
      <c r="H9" s="38"/>
      <c r="J9" s="2447" t="s">
        <v>1833</v>
      </c>
      <c r="M9" s="1229" t="s">
        <v>1819</v>
      </c>
    </row>
    <row r="10" spans="2:23" x14ac:dyDescent="0.2">
      <c r="B10" s="1298" t="s">
        <v>303</v>
      </c>
      <c r="C10" s="819"/>
      <c r="D10" s="819"/>
      <c r="E10" s="2441"/>
      <c r="F10" s="2441"/>
      <c r="G10" s="2441"/>
      <c r="H10" s="2441"/>
      <c r="I10" s="2441"/>
      <c r="J10" s="2448" t="str">
        <f>TEXT(Data!$A$2,"mmmm d,yyyy")</f>
        <v>June 30,2022</v>
      </c>
      <c r="K10" s="687"/>
      <c r="L10" s="687"/>
      <c r="M10" s="1087" t="str">
        <f>TEXT(Data!$A$4,"mmmm d,yyyy")</f>
        <v>June 30,2021</v>
      </c>
      <c r="N10" s="687"/>
    </row>
    <row r="11" spans="2:23" x14ac:dyDescent="0.2">
      <c r="B11" s="3321" t="s">
        <v>630</v>
      </c>
      <c r="C11" s="3321"/>
      <c r="D11" s="3321"/>
      <c r="E11" s="3321"/>
      <c r="F11" s="3321"/>
      <c r="G11" s="3321"/>
      <c r="H11" s="3321"/>
      <c r="I11" s="3321"/>
      <c r="J11" s="396">
        <v>0</v>
      </c>
      <c r="K11" s="688"/>
      <c r="L11" s="688"/>
      <c r="M11" s="842">
        <f>HLOOKUP($D$5,PriorYr906!$J$9:$K$87,3,FALSE)</f>
        <v>0</v>
      </c>
      <c r="N11" s="688"/>
      <c r="P11" s="2365">
        <v>11111000</v>
      </c>
    </row>
    <row r="12" spans="2:23" x14ac:dyDescent="0.2">
      <c r="B12" s="567" t="s">
        <v>483</v>
      </c>
      <c r="C12" s="819"/>
      <c r="D12" s="2441"/>
      <c r="E12" s="2441"/>
      <c r="F12" s="2441"/>
      <c r="G12" s="2441"/>
      <c r="H12" s="2441"/>
      <c r="I12" s="2441"/>
      <c r="J12" s="689"/>
      <c r="K12" s="688"/>
      <c r="L12" s="688"/>
      <c r="M12" s="643"/>
      <c r="N12" s="690"/>
    </row>
    <row r="13" spans="2:23" x14ac:dyDescent="0.2">
      <c r="B13" s="3321" t="s">
        <v>1219</v>
      </c>
      <c r="C13" s="3321"/>
      <c r="D13" s="3321"/>
      <c r="E13" s="3321"/>
      <c r="F13" s="3321"/>
      <c r="G13" s="3321"/>
      <c r="H13" s="3321"/>
      <c r="I13" s="3321"/>
      <c r="J13" s="397">
        <v>0</v>
      </c>
      <c r="K13" s="688"/>
      <c r="L13" s="688"/>
      <c r="M13" s="393">
        <f>HLOOKUP($D$5,PriorYr906!$J$9:$K$87,5,FALSE)</f>
        <v>0</v>
      </c>
      <c r="N13" s="690"/>
      <c r="P13" s="2365">
        <v>11210100</v>
      </c>
    </row>
    <row r="14" spans="2:23" x14ac:dyDescent="0.2">
      <c r="B14" s="3321" t="s">
        <v>1217</v>
      </c>
      <c r="C14" s="3321"/>
      <c r="D14" s="3321"/>
      <c r="E14" s="3321"/>
      <c r="F14" s="3321"/>
      <c r="G14" s="3321"/>
      <c r="H14" s="3321"/>
      <c r="I14" s="3321"/>
      <c r="J14" s="397">
        <v>0</v>
      </c>
      <c r="K14" s="688"/>
      <c r="L14" s="688"/>
      <c r="M14" s="393">
        <f>HLOOKUP($D$5,PriorYr906!$J$9:$K$87,6,FALSE)</f>
        <v>0</v>
      </c>
      <c r="N14" s="690"/>
      <c r="R14" s="2366" t="s">
        <v>5137</v>
      </c>
    </row>
    <row r="15" spans="2:23" x14ac:dyDescent="0.2">
      <c r="B15" s="3321" t="s">
        <v>1218</v>
      </c>
      <c r="C15" s="3321"/>
      <c r="D15" s="3321"/>
      <c r="E15" s="3321"/>
      <c r="F15" s="3321"/>
      <c r="G15" s="3321"/>
      <c r="H15" s="3321"/>
      <c r="I15" s="3321"/>
      <c r="J15" s="397">
        <v>0</v>
      </c>
      <c r="K15" s="688"/>
      <c r="L15" s="688"/>
      <c r="M15" s="393">
        <f>HLOOKUP($D$5,PriorYr906!$J$9:$K$87,7,FALSE)</f>
        <v>0</v>
      </c>
      <c r="N15" s="690"/>
      <c r="P15" s="2357">
        <v>11212400</v>
      </c>
      <c r="R15" s="2366"/>
    </row>
    <row r="16" spans="2:23" x14ac:dyDescent="0.2">
      <c r="B16" s="3321" t="s">
        <v>1220</v>
      </c>
      <c r="C16" s="3321"/>
      <c r="D16" s="3321"/>
      <c r="E16" s="3321"/>
      <c r="F16" s="3321"/>
      <c r="G16" s="3321"/>
      <c r="H16" s="3321"/>
      <c r="I16" s="3321"/>
      <c r="J16" s="397">
        <v>0</v>
      </c>
      <c r="K16" s="688"/>
      <c r="L16" s="688"/>
      <c r="M16" s="393">
        <f>HLOOKUP($D$5,PriorYr906!$J$9:$K$87,8,FALSE)</f>
        <v>0</v>
      </c>
      <c r="N16" s="690"/>
      <c r="P16" s="2365">
        <v>11211100</v>
      </c>
    </row>
    <row r="17" spans="2:18" x14ac:dyDescent="0.2">
      <c r="B17" s="3321" t="s">
        <v>1215</v>
      </c>
      <c r="C17" s="3321"/>
      <c r="D17" s="3321"/>
      <c r="E17" s="3321"/>
      <c r="F17" s="3321"/>
      <c r="G17" s="3321"/>
      <c r="H17" s="3321"/>
      <c r="I17" s="3321"/>
      <c r="J17" s="397">
        <v>0</v>
      </c>
      <c r="K17" s="688"/>
      <c r="L17" s="688"/>
      <c r="M17" s="393">
        <f>HLOOKUP($D$5,PriorYr906!$J$9:$K$87,9,FALSE)</f>
        <v>0</v>
      </c>
      <c r="N17" s="690"/>
      <c r="R17" s="2366" t="s">
        <v>5137</v>
      </c>
    </row>
    <row r="18" spans="2:18" x14ac:dyDescent="0.2">
      <c r="B18" s="3321" t="s">
        <v>1566</v>
      </c>
      <c r="C18" s="3321"/>
      <c r="D18" s="3321"/>
      <c r="E18" s="3321"/>
      <c r="F18" s="3321"/>
      <c r="G18" s="3321"/>
      <c r="H18" s="3321"/>
      <c r="I18" s="3321"/>
      <c r="J18" s="397">
        <v>0</v>
      </c>
      <c r="K18" s="688"/>
      <c r="L18" s="688"/>
      <c r="M18" s="393">
        <f>HLOOKUP($D$5,PriorYr906!$J$9:$K$87,10,FALSE)</f>
        <v>0</v>
      </c>
      <c r="N18" s="690"/>
      <c r="R18" s="2366" t="s">
        <v>5137</v>
      </c>
    </row>
    <row r="19" spans="2:18" x14ac:dyDescent="0.2">
      <c r="B19" s="3321" t="s">
        <v>1216</v>
      </c>
      <c r="C19" s="3321"/>
      <c r="D19" s="3321"/>
      <c r="E19" s="3321"/>
      <c r="F19" s="3321"/>
      <c r="G19" s="3321"/>
      <c r="H19" s="3321"/>
      <c r="I19" s="3321"/>
      <c r="J19" s="397">
        <v>0</v>
      </c>
      <c r="K19" s="688"/>
      <c r="L19" s="688"/>
      <c r="M19" s="393">
        <f>HLOOKUP($D$5,PriorYr906!$J$9:$K$87,11,FALSE)</f>
        <v>0</v>
      </c>
      <c r="N19" s="690"/>
      <c r="P19" s="2365">
        <v>11210500</v>
      </c>
    </row>
    <row r="20" spans="2:18" x14ac:dyDescent="0.2">
      <c r="B20" s="3321" t="s">
        <v>492</v>
      </c>
      <c r="C20" s="3321"/>
      <c r="D20" s="3321"/>
      <c r="E20" s="3321"/>
      <c r="F20" s="3321"/>
      <c r="G20" s="3321"/>
      <c r="H20" s="3321"/>
      <c r="I20" s="3321"/>
      <c r="J20" s="397">
        <v>0</v>
      </c>
      <c r="K20" s="688"/>
      <c r="L20" s="688"/>
      <c r="M20" s="393">
        <f>HLOOKUP($D$5,PriorYr906!$J$9:$K$87,12,FALSE)</f>
        <v>0</v>
      </c>
      <c r="N20" s="690"/>
      <c r="P20" s="2365">
        <v>11210600</v>
      </c>
    </row>
    <row r="21" spans="2:18" x14ac:dyDescent="0.2">
      <c r="B21" s="3321" t="s">
        <v>487</v>
      </c>
      <c r="C21" s="3321"/>
      <c r="D21" s="3321"/>
      <c r="E21" s="3321"/>
      <c r="F21" s="3321"/>
      <c r="G21" s="3321"/>
      <c r="H21" s="3321"/>
      <c r="I21" s="3321"/>
      <c r="J21" s="397">
        <v>0</v>
      </c>
      <c r="K21" s="688"/>
      <c r="L21" s="688"/>
      <c r="M21" s="393">
        <f>HLOOKUP($D$5,PriorYr906!$J$9:$K$87,13,FALSE)</f>
        <v>0</v>
      </c>
      <c r="N21" s="690"/>
      <c r="P21" s="2357">
        <v>11210800</v>
      </c>
    </row>
    <row r="22" spans="2:18" x14ac:dyDescent="0.2">
      <c r="B22" s="3321" t="s">
        <v>491</v>
      </c>
      <c r="C22" s="3321"/>
      <c r="D22" s="3321"/>
      <c r="E22" s="3321"/>
      <c r="F22" s="3321"/>
      <c r="G22" s="3321"/>
      <c r="H22" s="3321"/>
      <c r="I22" s="3321"/>
      <c r="J22" s="397">
        <v>0</v>
      </c>
      <c r="K22" s="688"/>
      <c r="L22" s="688"/>
      <c r="M22" s="393">
        <f>HLOOKUP($D$5,PriorYr906!$J$9:$K$87,14,FALSE)</f>
        <v>0</v>
      </c>
      <c r="N22" s="690"/>
      <c r="P22" s="2357">
        <v>11211000</v>
      </c>
    </row>
    <row r="23" spans="2:18" x14ac:dyDescent="0.2">
      <c r="B23" s="3321" t="s">
        <v>495</v>
      </c>
      <c r="C23" s="3321"/>
      <c r="D23" s="3321"/>
      <c r="E23" s="3321"/>
      <c r="F23" s="3321"/>
      <c r="G23" s="3321"/>
      <c r="H23" s="3321"/>
      <c r="I23" s="3321"/>
      <c r="J23" s="397">
        <v>0</v>
      </c>
      <c r="K23" s="688"/>
      <c r="L23" s="688"/>
      <c r="M23" s="393">
        <f>HLOOKUP($D$5,PriorYr906!$J$9:$K$87,15,FALSE)</f>
        <v>0</v>
      </c>
      <c r="N23" s="690"/>
      <c r="P23" s="2357">
        <v>11211300</v>
      </c>
    </row>
    <row r="24" spans="2:18" x14ac:dyDescent="0.2">
      <c r="B24" s="3322" t="s">
        <v>1850</v>
      </c>
      <c r="C24" s="3321"/>
      <c r="D24" s="3321"/>
      <c r="E24" s="3321"/>
      <c r="F24" s="3321"/>
      <c r="G24" s="3321"/>
      <c r="H24" s="3321"/>
      <c r="I24" s="3321"/>
      <c r="J24" s="397">
        <v>0</v>
      </c>
      <c r="K24" s="688"/>
      <c r="L24" s="688"/>
      <c r="M24" s="393">
        <f>HLOOKUP($D$5,PriorYr906!$J$9:$K$87,16,FALSE)</f>
        <v>40136965.57</v>
      </c>
      <c r="N24" s="690"/>
      <c r="P24" s="2357" t="s">
        <v>5138</v>
      </c>
    </row>
    <row r="25" spans="2:18" x14ac:dyDescent="0.2">
      <c r="B25" s="3321" t="s">
        <v>1681</v>
      </c>
      <c r="C25" s="3321"/>
      <c r="D25" s="3321"/>
      <c r="E25" s="3321"/>
      <c r="F25" s="3321"/>
      <c r="G25" s="3321"/>
      <c r="H25" s="3321"/>
      <c r="I25" s="3321"/>
      <c r="J25" s="397">
        <v>0</v>
      </c>
      <c r="K25" s="688"/>
      <c r="L25" s="688"/>
      <c r="M25" s="393">
        <f>HLOOKUP($D$5,PriorYr906!$J$9:$K$87,17,FALSE)</f>
        <v>0</v>
      </c>
      <c r="N25" s="690"/>
      <c r="R25" s="2366" t="s">
        <v>5137</v>
      </c>
    </row>
    <row r="26" spans="2:18" x14ac:dyDescent="0.2">
      <c r="B26" s="3321" t="s">
        <v>1691</v>
      </c>
      <c r="C26" s="3321"/>
      <c r="D26" s="3321"/>
      <c r="E26" s="3321"/>
      <c r="F26" s="3321"/>
      <c r="G26" s="3321"/>
      <c r="H26" s="3321"/>
      <c r="I26" s="3321"/>
      <c r="J26" s="397">
        <v>0</v>
      </c>
      <c r="K26" s="688"/>
      <c r="L26" s="688"/>
      <c r="M26" s="393">
        <f>HLOOKUP($D$5,PriorYr906!$J$9:$K$87,18,FALSE)</f>
        <v>204176145.34999999</v>
      </c>
      <c r="N26" s="690"/>
      <c r="P26" s="2357" t="s">
        <v>5139</v>
      </c>
    </row>
    <row r="27" spans="2:18" x14ac:dyDescent="0.2">
      <c r="B27" s="3321" t="s">
        <v>1692</v>
      </c>
      <c r="C27" s="3321"/>
      <c r="D27" s="3321"/>
      <c r="E27" s="3321"/>
      <c r="F27" s="3321"/>
      <c r="G27" s="3321"/>
      <c r="H27" s="3321"/>
      <c r="I27" s="3321"/>
      <c r="J27" s="397">
        <v>0</v>
      </c>
      <c r="K27" s="688"/>
      <c r="L27" s="688"/>
      <c r="M27" s="393">
        <f>HLOOKUP($D$5,PriorYr906!$J$9:$K$87,19,FALSE)</f>
        <v>1725594767.3099999</v>
      </c>
      <c r="N27" s="690"/>
      <c r="P27" s="2357" t="s">
        <v>5140</v>
      </c>
    </row>
    <row r="28" spans="2:18" x14ac:dyDescent="0.2">
      <c r="B28" s="3321" t="s">
        <v>1401</v>
      </c>
      <c r="C28" s="3321"/>
      <c r="D28" s="3321"/>
      <c r="E28" s="3321"/>
      <c r="F28" s="3321"/>
      <c r="G28" s="3321"/>
      <c r="H28" s="3321"/>
      <c r="I28" s="3321"/>
      <c r="J28" s="397">
        <v>0</v>
      </c>
      <c r="K28" s="688"/>
      <c r="L28" s="688"/>
      <c r="M28" s="393">
        <f>HLOOKUP($D$5,PriorYr906!$J$9:$K$87,20,FALSE)</f>
        <v>10839205191.65</v>
      </c>
      <c r="N28" s="690"/>
      <c r="P28" s="2357">
        <v>11212300</v>
      </c>
    </row>
    <row r="29" spans="2:18" x14ac:dyDescent="0.2">
      <c r="B29" s="3321" t="s">
        <v>1403</v>
      </c>
      <c r="C29" s="3321"/>
      <c r="D29" s="3321"/>
      <c r="E29" s="3321"/>
      <c r="F29" s="3321"/>
      <c r="G29" s="3321"/>
      <c r="H29" s="3321"/>
      <c r="I29" s="3321"/>
      <c r="J29" s="397">
        <v>0</v>
      </c>
      <c r="K29" s="688"/>
      <c r="L29" s="688"/>
      <c r="M29" s="393">
        <f>HLOOKUP($D$5,PriorYr906!$J$9:$K$87,21,FALSE)</f>
        <v>0</v>
      </c>
      <c r="N29" s="690"/>
      <c r="P29" s="2357">
        <v>11230000</v>
      </c>
    </row>
    <row r="30" spans="2:18" x14ac:dyDescent="0.2">
      <c r="B30" s="819" t="s">
        <v>198</v>
      </c>
      <c r="C30" s="819"/>
      <c r="D30" s="2441"/>
      <c r="E30" s="2441"/>
      <c r="F30" s="2441"/>
      <c r="G30" s="2441"/>
      <c r="H30" s="2441"/>
      <c r="I30" s="2441"/>
      <c r="K30" s="688"/>
      <c r="L30" s="688"/>
      <c r="M30" s="393">
        <f>HLOOKUP($D$5,PriorYr906!$J$9:$K$87,22,FALSE)</f>
        <v>0</v>
      </c>
      <c r="N30" s="690"/>
    </row>
    <row r="31" spans="2:18" x14ac:dyDescent="0.2">
      <c r="B31" s="3321" t="s">
        <v>829</v>
      </c>
      <c r="C31" s="3321"/>
      <c r="D31" s="3321"/>
      <c r="E31" s="3321"/>
      <c r="F31" s="3321"/>
      <c r="G31" s="3321"/>
      <c r="H31" s="3321"/>
      <c r="I31" s="3321"/>
      <c r="J31" s="397">
        <v>0</v>
      </c>
      <c r="K31" s="688"/>
      <c r="L31" s="688"/>
      <c r="M31" s="393">
        <f>HLOOKUP($D$5,PriorYr906!$J$9:$K$87,23,FALSE)</f>
        <v>3854.11</v>
      </c>
      <c r="N31" s="690"/>
      <c r="P31" s="2357">
        <v>11320000</v>
      </c>
    </row>
    <row r="32" spans="2:18" x14ac:dyDescent="0.2">
      <c r="B32" s="3321" t="s">
        <v>830</v>
      </c>
      <c r="C32" s="3321"/>
      <c r="D32" s="3321"/>
      <c r="E32" s="3321"/>
      <c r="F32" s="3321"/>
      <c r="G32" s="3321"/>
      <c r="H32" s="3321"/>
      <c r="I32" s="3321"/>
      <c r="J32" s="397">
        <v>0</v>
      </c>
      <c r="K32" s="688"/>
      <c r="L32" s="688"/>
      <c r="M32" s="393">
        <f>HLOOKUP($D$5,PriorYr906!$J$9:$K$87,24,FALSE)</f>
        <v>0</v>
      </c>
      <c r="N32" s="690"/>
      <c r="P32" s="2357">
        <v>11352000</v>
      </c>
    </row>
    <row r="33" spans="2:16" x14ac:dyDescent="0.2">
      <c r="B33" s="3321" t="s">
        <v>831</v>
      </c>
      <c r="C33" s="3321"/>
      <c r="D33" s="3321"/>
      <c r="E33" s="3321"/>
      <c r="F33" s="3321"/>
      <c r="G33" s="3321"/>
      <c r="H33" s="3321"/>
      <c r="I33" s="3321"/>
      <c r="J33" s="397">
        <v>0</v>
      </c>
      <c r="K33" s="688"/>
      <c r="L33" s="688"/>
      <c r="M33" s="393">
        <f>HLOOKUP($D$5,PriorYr906!$J$9:$K$87,25,FALSE)</f>
        <v>9805776.3100000005</v>
      </c>
      <c r="N33" s="690"/>
      <c r="P33" s="2357">
        <v>11370000</v>
      </c>
    </row>
    <row r="34" spans="2:16" x14ac:dyDescent="0.2">
      <c r="B34" s="3321" t="s">
        <v>549</v>
      </c>
      <c r="C34" s="3321"/>
      <c r="D34" s="3321"/>
      <c r="E34" s="3321"/>
      <c r="F34" s="3321"/>
      <c r="G34" s="3321"/>
      <c r="H34" s="3321"/>
      <c r="I34" s="3321"/>
      <c r="J34" s="397">
        <v>0</v>
      </c>
      <c r="K34" s="688"/>
      <c r="L34" s="688"/>
      <c r="M34" s="393">
        <f>HLOOKUP($D$5,PriorYr906!$J$9:$K$87,26,FALSE)</f>
        <v>277902600.38999999</v>
      </c>
      <c r="N34" s="690"/>
      <c r="P34" s="2357">
        <v>11510000</v>
      </c>
    </row>
    <row r="35" spans="2:16" x14ac:dyDescent="0.2">
      <c r="B35" s="3321" t="s">
        <v>931</v>
      </c>
      <c r="C35" s="3321"/>
      <c r="D35" s="3321"/>
      <c r="E35" s="3321"/>
      <c r="F35" s="3321"/>
      <c r="G35" s="3321"/>
      <c r="H35" s="3321"/>
      <c r="I35" s="3321"/>
      <c r="J35" s="397">
        <v>0</v>
      </c>
      <c r="K35" s="688"/>
      <c r="L35" s="688"/>
      <c r="M35" s="393">
        <f>HLOOKUP($D$5,PriorYr906!$J$9:$K$87,27,FALSE)</f>
        <v>0</v>
      </c>
      <c r="N35" s="690"/>
      <c r="P35" s="2357">
        <v>11699000</v>
      </c>
    </row>
    <row r="36" spans="2:16" x14ac:dyDescent="0.2">
      <c r="B36" s="3321" t="s">
        <v>1095</v>
      </c>
      <c r="C36" s="3321"/>
      <c r="D36" s="3321"/>
      <c r="E36" s="3321"/>
      <c r="F36" s="3321"/>
      <c r="G36" s="3321"/>
      <c r="H36" s="3321"/>
      <c r="I36" s="3321"/>
      <c r="J36" s="397">
        <v>0</v>
      </c>
      <c r="K36" s="688"/>
      <c r="L36" s="688"/>
      <c r="M36" s="393">
        <f>HLOOKUP($D$5,PriorYr906!$J$9:$K$87,28,FALSE)</f>
        <v>0</v>
      </c>
      <c r="N36" s="690"/>
      <c r="P36" s="2357">
        <v>11930000</v>
      </c>
    </row>
    <row r="37" spans="2:16" x14ac:dyDescent="0.2">
      <c r="B37" s="3321" t="s">
        <v>484</v>
      </c>
      <c r="C37" s="3321"/>
      <c r="D37" s="3321"/>
      <c r="E37" s="3321"/>
      <c r="F37" s="3321"/>
      <c r="G37" s="3321"/>
      <c r="H37" s="3321"/>
      <c r="I37" s="3321"/>
      <c r="J37" s="397">
        <v>0</v>
      </c>
      <c r="K37" s="688"/>
      <c r="L37" s="688"/>
      <c r="M37" s="393">
        <f>HLOOKUP($D$5,PriorYr906!$J$9:$K$87,29,FALSE)</f>
        <v>0</v>
      </c>
      <c r="N37" s="690"/>
      <c r="P37" s="2357">
        <v>12700000</v>
      </c>
    </row>
    <row r="38" spans="2:16" x14ac:dyDescent="0.2">
      <c r="B38" s="3321" t="s">
        <v>485</v>
      </c>
      <c r="C38" s="3321"/>
      <c r="D38" s="3321"/>
      <c r="E38" s="3321"/>
      <c r="F38" s="3321"/>
      <c r="G38" s="3321"/>
      <c r="H38" s="3321"/>
      <c r="I38" s="3321"/>
      <c r="J38" s="644">
        <v>0</v>
      </c>
      <c r="K38" s="688"/>
      <c r="L38" s="688"/>
      <c r="M38" s="393">
        <f>HLOOKUP($D$5,PriorYr906!$J$9:$K$87,30,FALSE)</f>
        <v>0</v>
      </c>
      <c r="N38" s="690"/>
      <c r="P38" s="2357">
        <v>12710000</v>
      </c>
    </row>
    <row r="39" spans="2:16" x14ac:dyDescent="0.2">
      <c r="B39" s="3321" t="s">
        <v>272</v>
      </c>
      <c r="C39" s="3321"/>
      <c r="D39" s="3321"/>
      <c r="E39" s="3321"/>
      <c r="F39" s="3321"/>
      <c r="G39" s="3321"/>
      <c r="H39" s="3321"/>
      <c r="I39" s="3321"/>
      <c r="J39" s="706">
        <f>SUM(J10:J38)</f>
        <v>0</v>
      </c>
      <c r="K39" s="688"/>
      <c r="L39" s="688"/>
      <c r="M39" s="706">
        <f>SUM(M10:M38)</f>
        <v>13096825300.690001</v>
      </c>
      <c r="N39" s="690"/>
    </row>
    <row r="40" spans="2:16" x14ac:dyDescent="0.2">
      <c r="B40" s="1300"/>
      <c r="C40" s="819"/>
      <c r="D40" s="2441"/>
      <c r="E40" s="2441"/>
      <c r="F40" s="2441"/>
      <c r="G40" s="2441"/>
      <c r="H40" s="2441"/>
      <c r="I40" s="2441"/>
      <c r="J40" s="695"/>
      <c r="K40" s="688"/>
      <c r="L40" s="688"/>
      <c r="M40" s="643"/>
      <c r="N40" s="690"/>
    </row>
    <row r="41" spans="2:16" x14ac:dyDescent="0.2">
      <c r="B41" s="1298" t="s">
        <v>486</v>
      </c>
      <c r="C41" s="819"/>
      <c r="D41" s="2441"/>
      <c r="E41" s="2441"/>
      <c r="F41" s="2441"/>
      <c r="G41" s="2441"/>
      <c r="H41" s="2441"/>
      <c r="I41" s="2441"/>
      <c r="J41" s="695"/>
      <c r="K41" s="688"/>
      <c r="L41" s="688"/>
      <c r="M41" s="643"/>
      <c r="N41" s="690"/>
    </row>
    <row r="42" spans="2:16" x14ac:dyDescent="0.2">
      <c r="B42" s="2442" t="s">
        <v>275</v>
      </c>
      <c r="C42" s="819"/>
      <c r="D42" s="2441"/>
      <c r="E42" s="2441"/>
      <c r="F42" s="2441"/>
      <c r="G42" s="2441"/>
      <c r="H42" s="2441"/>
      <c r="I42" s="2441"/>
      <c r="J42" s="695"/>
      <c r="K42" s="688"/>
      <c r="L42" s="688"/>
      <c r="M42" s="643"/>
      <c r="N42" s="690"/>
    </row>
    <row r="43" spans="2:16" x14ac:dyDescent="0.2">
      <c r="B43" s="3328" t="s">
        <v>1060</v>
      </c>
      <c r="C43" s="3328"/>
      <c r="D43" s="3328"/>
      <c r="E43" s="3328"/>
      <c r="F43" s="3328"/>
      <c r="G43" s="3328"/>
      <c r="H43" s="3328"/>
      <c r="I43" s="3328"/>
      <c r="J43" s="397">
        <v>0</v>
      </c>
      <c r="K43" s="688"/>
      <c r="L43" s="688"/>
      <c r="M43" s="393">
        <f>HLOOKUP($D$5,PriorYr906!$J$9:$K$87,35,FALSE)</f>
        <v>1247701.68</v>
      </c>
      <c r="N43" s="690"/>
      <c r="P43" s="2357">
        <v>21110000</v>
      </c>
    </row>
    <row r="44" spans="2:16" x14ac:dyDescent="0.2">
      <c r="B44" s="3328" t="s">
        <v>816</v>
      </c>
      <c r="C44" s="3328"/>
      <c r="D44" s="3328"/>
      <c r="E44" s="3328"/>
      <c r="F44" s="3328"/>
      <c r="G44" s="3328"/>
      <c r="H44" s="3328"/>
      <c r="I44" s="3328"/>
      <c r="J44" s="397">
        <v>0</v>
      </c>
      <c r="K44" s="688"/>
      <c r="L44" s="688"/>
      <c r="M44" s="393">
        <f>HLOOKUP($D$5,PriorYr906!$J$9:$K$87,36,FALSE)</f>
        <v>0</v>
      </c>
      <c r="N44" s="690"/>
      <c r="P44" s="2357">
        <v>21131000</v>
      </c>
    </row>
    <row r="45" spans="2:16" x14ac:dyDescent="0.2">
      <c r="B45" s="3328" t="s">
        <v>1078</v>
      </c>
      <c r="C45" s="3328"/>
      <c r="D45" s="3328"/>
      <c r="E45" s="3328"/>
      <c r="F45" s="3328"/>
      <c r="G45" s="3328"/>
      <c r="H45" s="3328"/>
      <c r="I45" s="3328"/>
      <c r="J45" s="397">
        <v>0</v>
      </c>
      <c r="K45" s="688"/>
      <c r="L45" s="688"/>
      <c r="M45" s="393">
        <f>HLOOKUP($D$5,PriorYr906!$J$9:$K$87,37,FALSE)</f>
        <v>0</v>
      </c>
      <c r="N45" s="690"/>
      <c r="P45" s="2357">
        <v>21511000</v>
      </c>
    </row>
    <row r="46" spans="2:16" x14ac:dyDescent="0.2">
      <c r="B46" s="3331" t="s">
        <v>1402</v>
      </c>
      <c r="C46" s="3331"/>
      <c r="D46" s="3331"/>
      <c r="E46" s="3331"/>
      <c r="F46" s="3331"/>
      <c r="G46" s="3331"/>
      <c r="H46" s="3331"/>
      <c r="I46" s="3331"/>
      <c r="J46" s="397">
        <v>0</v>
      </c>
      <c r="K46" s="688"/>
      <c r="L46" s="688"/>
      <c r="M46" s="393">
        <f>HLOOKUP($D$5,PriorYr906!$J$9:$K$87,38,FALSE)</f>
        <v>0</v>
      </c>
      <c r="N46" s="690"/>
      <c r="P46" s="2357">
        <v>21315000</v>
      </c>
    </row>
    <row r="47" spans="2:16" x14ac:dyDescent="0.2">
      <c r="B47" s="3331" t="s">
        <v>569</v>
      </c>
      <c r="C47" s="3331"/>
      <c r="D47" s="3331"/>
      <c r="E47" s="3331"/>
      <c r="F47" s="3331"/>
      <c r="G47" s="3331"/>
      <c r="H47" s="3331"/>
      <c r="I47" s="3331"/>
      <c r="J47" s="397">
        <v>0</v>
      </c>
      <c r="K47" s="688"/>
      <c r="L47" s="688"/>
      <c r="M47" s="393">
        <f>HLOOKUP($D$5,PriorYr906!$J$9:$K$87,39,FALSE)</f>
        <v>0</v>
      </c>
      <c r="N47" s="690"/>
      <c r="P47" s="2357">
        <v>21811000</v>
      </c>
    </row>
    <row r="48" spans="2:16" x14ac:dyDescent="0.2">
      <c r="B48" s="3331" t="s">
        <v>739</v>
      </c>
      <c r="C48" s="3331"/>
      <c r="D48" s="3331"/>
      <c r="E48" s="3331"/>
      <c r="F48" s="3331"/>
      <c r="G48" s="3331"/>
      <c r="H48" s="3331"/>
      <c r="I48" s="3331"/>
      <c r="J48" s="397">
        <v>0</v>
      </c>
      <c r="K48" s="688"/>
      <c r="L48" s="688"/>
      <c r="M48" s="393">
        <f>HLOOKUP($D$5,PriorYr906!$J$9:$K$87,40,FALSE)</f>
        <v>0</v>
      </c>
      <c r="N48" s="690"/>
      <c r="P48" s="2357">
        <v>21712000</v>
      </c>
    </row>
    <row r="49" spans="2:17" x14ac:dyDescent="0.2">
      <c r="B49" s="3321" t="s">
        <v>701</v>
      </c>
      <c r="C49" s="3321"/>
      <c r="D49" s="3321"/>
      <c r="E49" s="3321"/>
      <c r="F49" s="3321"/>
      <c r="G49" s="3321"/>
      <c r="H49" s="3321"/>
      <c r="I49" s="3321"/>
      <c r="J49" s="397">
        <v>0</v>
      </c>
      <c r="K49" s="688"/>
      <c r="L49" s="688"/>
      <c r="M49" s="393">
        <f>HLOOKUP($D$5,PriorYr906!$J$9:$K$87,41,FALSE)</f>
        <v>0</v>
      </c>
      <c r="N49" s="690"/>
      <c r="P49" s="2357">
        <v>21719000</v>
      </c>
    </row>
    <row r="50" spans="2:17" x14ac:dyDescent="0.2">
      <c r="B50" s="3331" t="s">
        <v>80</v>
      </c>
      <c r="C50" s="3331"/>
      <c r="D50" s="3331"/>
      <c r="E50" s="3331"/>
      <c r="F50" s="3331"/>
      <c r="G50" s="3331"/>
      <c r="H50" s="3331"/>
      <c r="I50" s="3331"/>
      <c r="J50" s="644">
        <v>0</v>
      </c>
      <c r="K50" s="688"/>
      <c r="L50" s="688"/>
      <c r="M50" s="393">
        <f>HLOOKUP($D$5,PriorYr906!$J$9:$K$87,42,FALSE)</f>
        <v>0</v>
      </c>
      <c r="N50" s="690"/>
      <c r="P50" s="2357">
        <v>21192000</v>
      </c>
    </row>
    <row r="51" spans="2:17" x14ac:dyDescent="0.2">
      <c r="B51" s="3321" t="s">
        <v>791</v>
      </c>
      <c r="C51" s="3321"/>
      <c r="D51" s="3321"/>
      <c r="E51" s="3321"/>
      <c r="F51" s="3321"/>
      <c r="G51" s="3321"/>
      <c r="H51" s="3321"/>
      <c r="I51" s="3321"/>
      <c r="J51" s="706">
        <f>SUM(J42:J50)</f>
        <v>0</v>
      </c>
      <c r="K51" s="688"/>
      <c r="L51" s="688"/>
      <c r="M51" s="706">
        <f>SUM(M42:M50)</f>
        <v>1247701.68</v>
      </c>
      <c r="N51" s="690"/>
    </row>
    <row r="52" spans="2:17" x14ac:dyDescent="0.2">
      <c r="B52" s="1302"/>
      <c r="C52" s="1302"/>
      <c r="D52" s="2441"/>
      <c r="E52" s="2441"/>
      <c r="F52" s="2441"/>
      <c r="G52" s="2441"/>
      <c r="H52" s="2441"/>
      <c r="I52" s="2441"/>
      <c r="J52" s="698"/>
      <c r="K52" s="688"/>
      <c r="L52" s="688"/>
      <c r="M52" s="399"/>
      <c r="N52" s="690"/>
    </row>
    <row r="53" spans="2:17" x14ac:dyDescent="0.2">
      <c r="B53" s="2443" t="s">
        <v>1888</v>
      </c>
      <c r="C53" s="2441"/>
      <c r="D53" s="2441"/>
      <c r="E53" s="2441"/>
      <c r="F53" s="2441"/>
      <c r="G53" s="2441"/>
      <c r="H53" s="2441"/>
      <c r="I53" s="2441"/>
      <c r="K53" s="688"/>
      <c r="L53" s="688"/>
      <c r="M53" s="399"/>
      <c r="N53" s="690"/>
    </row>
    <row r="54" spans="2:17" x14ac:dyDescent="0.2">
      <c r="B54" s="3336" t="s">
        <v>792</v>
      </c>
      <c r="C54" s="3337"/>
      <c r="D54" s="3337"/>
      <c r="E54" s="3337"/>
      <c r="F54" s="3337"/>
      <c r="G54" s="3337"/>
      <c r="H54" s="3337"/>
      <c r="I54" s="3337"/>
      <c r="K54" s="688"/>
      <c r="L54" s="688"/>
      <c r="M54" s="399"/>
      <c r="N54" s="690"/>
    </row>
    <row r="55" spans="2:17" x14ac:dyDescent="0.2">
      <c r="B55" s="3333" t="s">
        <v>3844</v>
      </c>
      <c r="C55" s="3331"/>
      <c r="D55" s="3331"/>
      <c r="E55" s="3331"/>
      <c r="F55" s="3331"/>
      <c r="G55" s="3331"/>
      <c r="H55" s="3331"/>
      <c r="I55" s="3331"/>
      <c r="J55" s="397">
        <v>0</v>
      </c>
      <c r="K55" s="688"/>
      <c r="L55" s="688"/>
      <c r="M55" s="393">
        <f>HLOOKUP($D$5,PriorYr906!$J$9:$K$87,47,FALSE)</f>
        <v>13095577599.01</v>
      </c>
      <c r="N55" s="690"/>
      <c r="P55" s="2357" t="s">
        <v>5144</v>
      </c>
      <c r="Q55" s="2367"/>
    </row>
    <row r="56" spans="2:17" ht="13.5" thickBot="1" x14ac:dyDescent="0.25">
      <c r="B56" s="3329" t="s">
        <v>1889</v>
      </c>
      <c r="C56" s="3330"/>
      <c r="D56" s="3330"/>
      <c r="E56" s="3330"/>
      <c r="F56" s="3330"/>
      <c r="G56" s="3330"/>
      <c r="H56" s="3330"/>
      <c r="I56" s="3330"/>
      <c r="J56" s="707">
        <f>SUM(J54:J55)</f>
        <v>0</v>
      </c>
      <c r="K56" s="688"/>
      <c r="L56" s="688"/>
      <c r="M56" s="707">
        <f>SUM(M54:M55)</f>
        <v>13095577599.01</v>
      </c>
      <c r="N56" s="690"/>
    </row>
    <row r="57" spans="2:17" ht="13.5" thickTop="1" x14ac:dyDescent="0.2">
      <c r="B57" s="2444"/>
      <c r="C57" s="2444"/>
      <c r="D57" s="2444"/>
      <c r="E57" s="2444"/>
      <c r="F57" s="2444"/>
      <c r="G57" s="2444"/>
      <c r="H57" s="2444"/>
      <c r="I57" s="2444"/>
      <c r="K57" s="688"/>
      <c r="L57" s="688"/>
      <c r="M57" s="398"/>
      <c r="N57" s="690"/>
    </row>
    <row r="58" spans="2:17" x14ac:dyDescent="0.2">
      <c r="B58" s="3329" t="s">
        <v>1899</v>
      </c>
      <c r="C58" s="3330"/>
      <c r="D58" s="3330"/>
      <c r="E58" s="3330"/>
      <c r="F58" s="3330"/>
      <c r="G58" s="3330"/>
      <c r="H58" s="3330"/>
      <c r="I58" s="3330"/>
      <c r="J58" s="2449" t="str">
        <f>IF(J39-J51=J56,"In Balance","NOT BALANCED")</f>
        <v>In Balance</v>
      </c>
      <c r="K58" s="688"/>
      <c r="L58" s="688"/>
      <c r="M58" s="1258" t="str">
        <f>IF(M39-M51=M56,"In Balance","NOT BALANCED")</f>
        <v>In Balance</v>
      </c>
      <c r="N58" s="690"/>
    </row>
    <row r="59" spans="2:17" x14ac:dyDescent="0.2">
      <c r="B59" s="2441"/>
      <c r="C59" s="2441"/>
      <c r="D59" s="2441"/>
      <c r="E59" s="2441"/>
      <c r="F59" s="2441"/>
      <c r="G59" s="2441"/>
      <c r="H59" s="2441"/>
      <c r="I59" s="2441"/>
      <c r="K59" s="688"/>
      <c r="L59" s="688"/>
      <c r="M59" s="398"/>
      <c r="N59" s="690"/>
    </row>
    <row r="60" spans="2:17" x14ac:dyDescent="0.2">
      <c r="B60" s="2445" t="s">
        <v>986</v>
      </c>
      <c r="C60" s="2441"/>
      <c r="D60" s="2441"/>
      <c r="E60" s="2441"/>
      <c r="F60" s="2441"/>
      <c r="G60" s="2441"/>
      <c r="H60" s="2441"/>
      <c r="I60" s="2441"/>
      <c r="J60" s="1253" t="str">
        <f>CONCATENATE("FYE ",+TEXT(Data!$A$2,"mmmm d,yyyy"))</f>
        <v>FYE June 30,2022</v>
      </c>
      <c r="K60" s="688"/>
      <c r="L60" s="688"/>
      <c r="M60" s="1255" t="str">
        <f>CONCATENATE("FYE ",+TEXT(Data!$A$4,"mmmm d,yyyy"))</f>
        <v>FYE June 30,2021</v>
      </c>
      <c r="N60" s="690"/>
    </row>
    <row r="61" spans="2:17" x14ac:dyDescent="0.2">
      <c r="B61" s="3335" t="s">
        <v>463</v>
      </c>
      <c r="C61" s="3335"/>
      <c r="D61" s="3335"/>
      <c r="E61" s="3335"/>
      <c r="F61" s="3335"/>
      <c r="G61" s="3335"/>
      <c r="H61" s="3335"/>
      <c r="I61" s="3335"/>
      <c r="K61" s="688"/>
      <c r="L61" s="688"/>
      <c r="M61" s="398"/>
      <c r="N61" s="690"/>
    </row>
    <row r="62" spans="2:17" x14ac:dyDescent="0.2">
      <c r="B62" s="3334" t="s">
        <v>1081</v>
      </c>
      <c r="C62" s="3334"/>
      <c r="D62" s="3334"/>
      <c r="E62" s="3334"/>
      <c r="F62" s="3334"/>
      <c r="G62" s="3334"/>
      <c r="H62" s="3334"/>
      <c r="I62" s="3334"/>
      <c r="J62" s="396">
        <v>0</v>
      </c>
      <c r="K62" s="688"/>
      <c r="L62" s="688"/>
      <c r="M62" s="842">
        <f>HLOOKUP($D$5,PriorYr906!$J$9:$K$87,54,FALSE)</f>
        <v>238387145.72999999</v>
      </c>
      <c r="N62" s="690"/>
      <c r="P62" s="2357">
        <v>46110000</v>
      </c>
    </row>
    <row r="63" spans="2:17" x14ac:dyDescent="0.2">
      <c r="B63" s="3334" t="s">
        <v>1082</v>
      </c>
      <c r="C63" s="3334"/>
      <c r="D63" s="3334"/>
      <c r="E63" s="3334"/>
      <c r="F63" s="3334"/>
      <c r="G63" s="3334"/>
      <c r="H63" s="3334"/>
      <c r="I63" s="3334"/>
      <c r="J63" s="397">
        <v>0</v>
      </c>
      <c r="K63" s="688"/>
      <c r="L63" s="688"/>
      <c r="M63" s="393">
        <f>HLOOKUP($D$5,PriorYr906!$J$9:$K$87,55,FALSE)</f>
        <v>393663845.70999998</v>
      </c>
      <c r="N63" s="690"/>
      <c r="P63" s="2357">
        <v>46120000</v>
      </c>
    </row>
    <row r="64" spans="2:17" x14ac:dyDescent="0.2">
      <c r="B64" s="3339" t="s">
        <v>1083</v>
      </c>
      <c r="C64" s="3339"/>
      <c r="D64" s="3339"/>
      <c r="E64" s="3339"/>
      <c r="F64" s="3339"/>
      <c r="G64" s="3339"/>
      <c r="H64" s="3339"/>
      <c r="I64" s="3339"/>
      <c r="J64" s="397">
        <v>0</v>
      </c>
      <c r="K64" s="688"/>
      <c r="L64" s="688"/>
      <c r="M64" s="393">
        <f>HLOOKUP($D$5,PriorYr906!$J$9:$K$87,56,FALSE)</f>
        <v>0</v>
      </c>
      <c r="N64" s="690"/>
      <c r="P64" s="2357">
        <v>46160000</v>
      </c>
    </row>
    <row r="65" spans="2:16" x14ac:dyDescent="0.2">
      <c r="B65" s="3334" t="s">
        <v>1084</v>
      </c>
      <c r="C65" s="3334"/>
      <c r="D65" s="3334"/>
      <c r="E65" s="3334"/>
      <c r="F65" s="3334"/>
      <c r="G65" s="3334"/>
      <c r="H65" s="3334"/>
      <c r="I65" s="3334"/>
      <c r="J65" s="644">
        <v>0</v>
      </c>
      <c r="K65" s="688"/>
      <c r="L65" s="688"/>
      <c r="M65" s="393">
        <f>HLOOKUP($D$5,PriorYr906!$J$9:$K$87,57,FALSE)</f>
        <v>0</v>
      </c>
      <c r="N65" s="690"/>
      <c r="P65" s="2357">
        <v>42990000</v>
      </c>
    </row>
    <row r="66" spans="2:16" x14ac:dyDescent="0.2">
      <c r="B66" s="3334" t="s">
        <v>1080</v>
      </c>
      <c r="C66" s="3334"/>
      <c r="D66" s="3334"/>
      <c r="E66" s="3334"/>
      <c r="F66" s="3334"/>
      <c r="G66" s="3334"/>
      <c r="H66" s="3334"/>
      <c r="I66" s="3334"/>
      <c r="J66" s="706">
        <f>SUM(J62:J65)</f>
        <v>0</v>
      </c>
      <c r="K66" s="688"/>
      <c r="L66" s="688"/>
      <c r="M66" s="706">
        <f>SUM(M62:M65)</f>
        <v>632050991.44000006</v>
      </c>
      <c r="N66" s="690"/>
    </row>
    <row r="67" spans="2:16" x14ac:dyDescent="0.2">
      <c r="B67" s="3335" t="s">
        <v>464</v>
      </c>
      <c r="C67" s="3335"/>
      <c r="D67" s="3335"/>
      <c r="E67" s="3335"/>
      <c r="F67" s="3335"/>
      <c r="G67" s="3335"/>
      <c r="H67" s="3335"/>
      <c r="I67" s="3335"/>
      <c r="K67" s="688"/>
      <c r="L67" s="688"/>
      <c r="M67" s="643"/>
      <c r="N67" s="690"/>
    </row>
    <row r="68" spans="2:16" x14ac:dyDescent="0.2">
      <c r="B68" s="3334" t="s">
        <v>1085</v>
      </c>
      <c r="C68" s="3334"/>
      <c r="D68" s="3334"/>
      <c r="E68" s="3334"/>
      <c r="F68" s="3334"/>
      <c r="G68" s="3334"/>
      <c r="H68" s="3334"/>
      <c r="I68" s="3334"/>
      <c r="J68" s="397">
        <v>0</v>
      </c>
      <c r="K68" s="688"/>
      <c r="L68" s="688"/>
      <c r="M68" s="393">
        <f>HLOOKUP($D$5,PriorYr906!$J$9:$K$87,60,FALSE)</f>
        <v>1557850091.25</v>
      </c>
      <c r="N68" s="690"/>
      <c r="P68" s="2357">
        <v>43110000</v>
      </c>
    </row>
    <row r="69" spans="2:16" x14ac:dyDescent="0.2">
      <c r="B69" s="3334" t="s">
        <v>1086</v>
      </c>
      <c r="C69" s="3334"/>
      <c r="D69" s="3334"/>
      <c r="E69" s="3334"/>
      <c r="F69" s="3334"/>
      <c r="G69" s="3334"/>
      <c r="H69" s="3334"/>
      <c r="I69" s="3334"/>
      <c r="J69" s="644">
        <v>0</v>
      </c>
      <c r="K69" s="688"/>
      <c r="L69" s="688"/>
      <c r="M69" s="393">
        <f>HLOOKUP($D$5,PriorYr906!$J$9:$K$87,61,FALSE)</f>
        <v>0</v>
      </c>
      <c r="N69" s="690"/>
      <c r="P69" s="2357">
        <v>52120110</v>
      </c>
    </row>
    <row r="70" spans="2:16" x14ac:dyDescent="0.2">
      <c r="B70" s="3334" t="s">
        <v>1087</v>
      </c>
      <c r="C70" s="3334"/>
      <c r="D70" s="3334"/>
      <c r="E70" s="3334"/>
      <c r="F70" s="3334"/>
      <c r="G70" s="3334"/>
      <c r="H70" s="3334"/>
      <c r="I70" s="3334"/>
      <c r="J70" s="706">
        <f>SUM(J68:J69)</f>
        <v>0</v>
      </c>
      <c r="K70" s="688"/>
      <c r="L70" s="688"/>
      <c r="M70" s="706">
        <f>SUM(M68:M69)</f>
        <v>1557850091.25</v>
      </c>
      <c r="N70" s="690"/>
    </row>
    <row r="71" spans="2:16" x14ac:dyDescent="0.2">
      <c r="B71" s="3335" t="s">
        <v>465</v>
      </c>
      <c r="C71" s="3335"/>
      <c r="D71" s="3335"/>
      <c r="E71" s="3335"/>
      <c r="F71" s="3335"/>
      <c r="G71" s="3335"/>
      <c r="H71" s="3335"/>
      <c r="I71" s="3335"/>
      <c r="K71" s="688"/>
      <c r="L71" s="688"/>
      <c r="M71" s="399"/>
      <c r="N71" s="690"/>
    </row>
    <row r="72" spans="2:16" x14ac:dyDescent="0.2">
      <c r="B72" s="3334" t="s">
        <v>1088</v>
      </c>
      <c r="C72" s="3334"/>
      <c r="D72" s="3334"/>
      <c r="E72" s="3334"/>
      <c r="F72" s="3334"/>
      <c r="G72" s="3334"/>
      <c r="H72" s="3334"/>
      <c r="I72" s="3334"/>
      <c r="J72" s="397">
        <v>0</v>
      </c>
      <c r="K72" s="688"/>
      <c r="L72" s="688"/>
      <c r="M72" s="393">
        <f>HLOOKUP($D$5,PriorYr906!$J$9:$K$87,64,FALSE)</f>
        <v>0</v>
      </c>
      <c r="N72" s="690"/>
      <c r="P72" s="2357">
        <v>45100000</v>
      </c>
    </row>
    <row r="73" spans="2:16" x14ac:dyDescent="0.2">
      <c r="B73" s="3334" t="s">
        <v>944</v>
      </c>
      <c r="C73" s="3334"/>
      <c r="D73" s="3334"/>
      <c r="E73" s="3334"/>
      <c r="F73" s="3334"/>
      <c r="G73" s="3334"/>
      <c r="H73" s="3334"/>
      <c r="I73" s="3334"/>
      <c r="J73" s="397">
        <v>0</v>
      </c>
      <c r="K73" s="688"/>
      <c r="L73" s="688"/>
      <c r="M73" s="393">
        <f>HLOOKUP($D$5,PriorYr906!$J$9:$K$87,65,FALSE)</f>
        <v>16099508.27</v>
      </c>
      <c r="N73" s="690"/>
      <c r="P73" s="2357">
        <v>43200000</v>
      </c>
    </row>
    <row r="74" spans="2:16" x14ac:dyDescent="0.2">
      <c r="B74" s="3334" t="s">
        <v>945</v>
      </c>
      <c r="C74" s="3334"/>
      <c r="D74" s="3334"/>
      <c r="E74" s="3334"/>
      <c r="F74" s="3334"/>
      <c r="G74" s="3334"/>
      <c r="H74" s="3334"/>
      <c r="I74" s="3334"/>
      <c r="J74" s="397">
        <v>0</v>
      </c>
      <c r="K74" s="688"/>
      <c r="L74" s="688"/>
      <c r="M74" s="393">
        <f>HLOOKUP($D$5,PriorYr906!$J$9:$K$87,66,FALSE)</f>
        <v>159235.10999999999</v>
      </c>
      <c r="N74" s="690"/>
      <c r="P74" s="2357">
        <v>47111000</v>
      </c>
    </row>
    <row r="75" spans="2:16" x14ac:dyDescent="0.2">
      <c r="B75" s="3334" t="s">
        <v>503</v>
      </c>
      <c r="C75" s="3334"/>
      <c r="D75" s="3334"/>
      <c r="E75" s="3334"/>
      <c r="F75" s="3334"/>
      <c r="G75" s="3334"/>
      <c r="H75" s="3334"/>
      <c r="I75" s="3334"/>
      <c r="J75" s="706">
        <f>SUM(J72:J74)</f>
        <v>0</v>
      </c>
      <c r="K75" s="688"/>
      <c r="L75" s="688"/>
      <c r="M75" s="706">
        <f>SUM(M72:M74)</f>
        <v>16258743.380000001</v>
      </c>
      <c r="N75" s="690"/>
    </row>
    <row r="76" spans="2:16" x14ac:dyDescent="0.2">
      <c r="B76" s="3334" t="s">
        <v>466</v>
      </c>
      <c r="C76" s="3334"/>
      <c r="D76" s="3334"/>
      <c r="E76" s="3334"/>
      <c r="F76" s="3334"/>
      <c r="G76" s="3334"/>
      <c r="H76" s="3334"/>
      <c r="I76" s="3334"/>
      <c r="J76" s="706">
        <f>J66+J70+J75</f>
        <v>0</v>
      </c>
      <c r="K76" s="688"/>
      <c r="L76" s="688"/>
      <c r="M76" s="706">
        <f>M66+M70+M75</f>
        <v>2206159826.0700002</v>
      </c>
      <c r="N76" s="690"/>
    </row>
    <row r="77" spans="2:16" x14ac:dyDescent="0.2">
      <c r="B77" s="2446"/>
      <c r="C77" s="2441"/>
      <c r="D77" s="2441"/>
      <c r="E77" s="2441"/>
      <c r="F77" s="2441"/>
      <c r="G77" s="2441"/>
      <c r="H77" s="2441"/>
      <c r="I77" s="2441"/>
      <c r="K77" s="688"/>
      <c r="L77" s="688"/>
      <c r="M77" s="398"/>
      <c r="N77" s="690"/>
    </row>
    <row r="78" spans="2:16" x14ac:dyDescent="0.2">
      <c r="B78" s="3332" t="s">
        <v>467</v>
      </c>
      <c r="C78" s="3332"/>
      <c r="D78" s="3332"/>
      <c r="E78" s="3332"/>
      <c r="F78" s="3332"/>
      <c r="G78" s="3332"/>
      <c r="H78" s="3332"/>
      <c r="I78" s="3332"/>
      <c r="K78" s="688"/>
      <c r="L78" s="688"/>
      <c r="M78" s="398"/>
      <c r="N78" s="690"/>
    </row>
    <row r="79" spans="2:16" x14ac:dyDescent="0.2">
      <c r="B79" s="3334" t="s">
        <v>1171</v>
      </c>
      <c r="C79" s="3334"/>
      <c r="D79" s="3334"/>
      <c r="E79" s="3334"/>
      <c r="F79" s="3334"/>
      <c r="G79" s="3334"/>
      <c r="H79" s="3334"/>
      <c r="I79" s="3334"/>
      <c r="J79" s="397">
        <v>0</v>
      </c>
      <c r="K79" s="688"/>
      <c r="L79" s="688"/>
      <c r="M79" s="393">
        <f>HLOOKUP($D$5,PriorYr906!$J$9:$K$87,71,FALSE)</f>
        <v>803787462.57000005</v>
      </c>
      <c r="N79" s="690"/>
      <c r="P79" s="2357">
        <v>55210000</v>
      </c>
    </row>
    <row r="80" spans="2:16" x14ac:dyDescent="0.2">
      <c r="B80" s="3334" t="s">
        <v>468</v>
      </c>
      <c r="C80" s="3334"/>
      <c r="D80" s="3334"/>
      <c r="E80" s="3334"/>
      <c r="F80" s="3334"/>
      <c r="G80" s="3334"/>
      <c r="H80" s="3334"/>
      <c r="I80" s="3334"/>
      <c r="J80" s="397">
        <v>0</v>
      </c>
      <c r="K80" s="688"/>
      <c r="L80" s="688"/>
      <c r="M80" s="393">
        <f>HLOOKUP($D$5,PriorYr906!$J$9:$K$87,72,FALSE)</f>
        <v>0</v>
      </c>
      <c r="N80" s="690"/>
      <c r="P80" s="2357">
        <v>55218000</v>
      </c>
    </row>
    <row r="81" spans="2:16" x14ac:dyDescent="0.2">
      <c r="B81" s="3334" t="s">
        <v>469</v>
      </c>
      <c r="C81" s="3334"/>
      <c r="D81" s="3334"/>
      <c r="E81" s="3334"/>
      <c r="F81" s="3334"/>
      <c r="G81" s="3334"/>
      <c r="H81" s="3334"/>
      <c r="I81" s="3334"/>
      <c r="J81" s="397">
        <v>0</v>
      </c>
      <c r="K81" s="688"/>
      <c r="L81" s="688"/>
      <c r="M81" s="393">
        <f>HLOOKUP($D$5,PriorYr906!$J$9:$K$87,73,FALSE)</f>
        <v>10336964.42</v>
      </c>
      <c r="N81" s="690"/>
      <c r="P81" s="2357" t="s">
        <v>5142</v>
      </c>
    </row>
    <row r="82" spans="2:16" x14ac:dyDescent="0.2">
      <c r="B82" s="3334" t="s">
        <v>470</v>
      </c>
      <c r="C82" s="3334"/>
      <c r="D82" s="3334"/>
      <c r="E82" s="3334"/>
      <c r="F82" s="3334"/>
      <c r="G82" s="3334"/>
      <c r="H82" s="3334"/>
      <c r="I82" s="3334"/>
      <c r="J82" s="644">
        <v>0</v>
      </c>
      <c r="K82" s="688"/>
      <c r="L82" s="688"/>
      <c r="M82" s="393">
        <f>HLOOKUP($D$5,PriorYr906!$J$9:$K$87,74,FALSE)</f>
        <v>0</v>
      </c>
      <c r="N82" s="690"/>
      <c r="P82" s="2357">
        <v>55610000</v>
      </c>
    </row>
    <row r="83" spans="2:16" x14ac:dyDescent="0.2">
      <c r="B83" s="3334" t="s">
        <v>504</v>
      </c>
      <c r="C83" s="3334"/>
      <c r="D83" s="3334"/>
      <c r="E83" s="3334"/>
      <c r="F83" s="3334"/>
      <c r="G83" s="3334"/>
      <c r="H83" s="3334"/>
      <c r="I83" s="3334"/>
      <c r="J83" s="706">
        <f>SUM(J79:J82)</f>
        <v>0</v>
      </c>
      <c r="K83" s="688"/>
      <c r="L83" s="688"/>
      <c r="M83" s="706">
        <f>SUM(M79:M82)</f>
        <v>814124426.99000001</v>
      </c>
      <c r="N83" s="690"/>
    </row>
    <row r="84" spans="2:16" x14ac:dyDescent="0.2">
      <c r="B84" s="3338" t="s">
        <v>1900</v>
      </c>
      <c r="C84" s="3334"/>
      <c r="D84" s="3334"/>
      <c r="E84" s="3334"/>
      <c r="F84" s="3334"/>
      <c r="G84" s="3334"/>
      <c r="H84" s="3334"/>
      <c r="I84" s="3334"/>
      <c r="J84" s="1252">
        <f>J76-J83</f>
        <v>0</v>
      </c>
      <c r="K84" s="688"/>
      <c r="L84" s="688"/>
      <c r="M84" s="1252">
        <f>M76-M83</f>
        <v>1392035399.0799999</v>
      </c>
      <c r="N84" s="690"/>
    </row>
    <row r="85" spans="2:16" x14ac:dyDescent="0.2">
      <c r="B85" s="3333" t="s">
        <v>1901</v>
      </c>
      <c r="C85" s="3331"/>
      <c r="D85" s="3331"/>
      <c r="E85" s="3331"/>
      <c r="F85" s="3331"/>
      <c r="G85" s="3331"/>
      <c r="H85" s="3331"/>
      <c r="I85" s="3331"/>
      <c r="J85" s="1065">
        <f>INDEX(NetAssetsData,MATCH('906-6C'!$D$5,NetAssetsDataRow,0),3)</f>
        <v>13095577599.01</v>
      </c>
      <c r="K85" s="688"/>
      <c r="L85" s="688"/>
      <c r="M85" s="1065">
        <f>HLOOKUP($D$5,PriorYr906!$J$9:$K$87,77,FALSE)</f>
        <v>11703542199.93</v>
      </c>
      <c r="N85" s="690"/>
    </row>
    <row r="86" spans="2:16" x14ac:dyDescent="0.2">
      <c r="B86" s="3331" t="s">
        <v>645</v>
      </c>
      <c r="C86" s="3331"/>
      <c r="D86" s="3331"/>
      <c r="E86" s="3331"/>
      <c r="F86" s="3331"/>
      <c r="G86" s="3331"/>
      <c r="H86" s="3331"/>
      <c r="I86" s="3331"/>
      <c r="J86" s="644">
        <v>0</v>
      </c>
      <c r="K86" s="688"/>
      <c r="L86" s="688"/>
      <c r="M86" s="393">
        <f>HLOOKUP($D$5,PriorYr906!$J$9:$K$87,78,FALSE)</f>
        <v>0</v>
      </c>
      <c r="N86" s="690"/>
      <c r="P86" s="2357">
        <v>33000100</v>
      </c>
    </row>
    <row r="87" spans="2:16" ht="13.5" thickBot="1" x14ac:dyDescent="0.25">
      <c r="B87" s="3333" t="s">
        <v>1902</v>
      </c>
      <c r="C87" s="3331"/>
      <c r="D87" s="3331"/>
      <c r="E87" s="3331"/>
      <c r="F87" s="3331"/>
      <c r="G87" s="3331"/>
      <c r="H87" s="3331"/>
      <c r="I87" s="3331"/>
      <c r="J87" s="708">
        <f>SUM(J84:J86)</f>
        <v>13095577599.01</v>
      </c>
      <c r="K87" s="688"/>
      <c r="L87" s="688"/>
      <c r="M87" s="708">
        <f>SUM(M84:M86)</f>
        <v>13095577599.01</v>
      </c>
      <c r="N87" s="692"/>
    </row>
    <row r="88" spans="2:16" ht="13.5" thickTop="1" x14ac:dyDescent="0.2">
      <c r="B88" s="2441"/>
      <c r="C88" s="2441"/>
      <c r="D88" s="2441"/>
      <c r="E88" s="2441"/>
      <c r="F88" s="2441"/>
      <c r="G88" s="2441"/>
      <c r="H88" s="2441"/>
      <c r="I88" s="2441"/>
      <c r="K88" s="704"/>
      <c r="L88" s="704"/>
      <c r="M88" s="403"/>
      <c r="N88" s="704"/>
    </row>
    <row r="89" spans="2:16" x14ac:dyDescent="0.2">
      <c r="B89" s="2441"/>
      <c r="C89" s="2441"/>
      <c r="D89" s="2441"/>
      <c r="E89" s="2441"/>
      <c r="F89" s="2441"/>
      <c r="G89" s="2441"/>
      <c r="H89" s="2441"/>
      <c r="I89" s="2441"/>
      <c r="K89" s="692"/>
      <c r="L89" s="692"/>
      <c r="M89" s="335"/>
      <c r="N89" s="692"/>
    </row>
    <row r="90" spans="2:16" x14ac:dyDescent="0.2">
      <c r="B90" s="3329" t="s">
        <v>1903</v>
      </c>
      <c r="C90" s="3330"/>
      <c r="D90" s="3330"/>
      <c r="E90" s="3330"/>
      <c r="F90" s="3330"/>
      <c r="G90" s="3330"/>
      <c r="H90" s="3330"/>
      <c r="I90" s="3330"/>
      <c r="J90" s="2449" t="str">
        <f>IF(J56=J87,"In Balance","NOT BALANCED")</f>
        <v>NOT BALANCED</v>
      </c>
      <c r="K90" s="693"/>
      <c r="L90" s="693"/>
      <c r="M90" s="1258" t="str">
        <f>IF(M56=M87,"In Balance","NOT BALANCED")</f>
        <v>In Balance</v>
      </c>
      <c r="N90" s="693"/>
    </row>
    <row r="91" spans="2:16" x14ac:dyDescent="0.2">
      <c r="K91" s="693"/>
      <c r="L91" s="693"/>
      <c r="M91" s="693"/>
      <c r="N91" s="693"/>
    </row>
    <row r="92" spans="2:16" x14ac:dyDescent="0.2">
      <c r="K92" s="691"/>
      <c r="L92" s="691"/>
      <c r="M92" s="691"/>
      <c r="N92" s="691"/>
    </row>
    <row r="93" spans="2:16" x14ac:dyDescent="0.2">
      <c r="K93" s="691"/>
      <c r="L93" s="691"/>
      <c r="M93" s="691"/>
      <c r="N93" s="691"/>
    </row>
    <row r="94" spans="2:16" x14ac:dyDescent="0.2">
      <c r="K94" s="691"/>
      <c r="L94" s="691"/>
      <c r="M94" s="691"/>
      <c r="N94" s="691"/>
    </row>
    <row r="95" spans="2:16" x14ac:dyDescent="0.2">
      <c r="K95" s="691"/>
      <c r="L95" s="691"/>
      <c r="M95" s="691"/>
      <c r="N95" s="691"/>
    </row>
    <row r="96" spans="2:16"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Qpqfyo3nLkfPJzb5cB5qUmoxL84bPEfMMsWbzCcpsW72DTjFAG6Us1kZ4f0F32s7bAjBHsVK3d90W9Dt7fz2dA==" saltValue="A8sftUaG2vM81xd0B+lJjw==" spinCount="100000" sheet="1" objects="1" scenarios="1" autoFilter="0"/>
  <mergeCells count="74">
    <mergeCell ref="B1:J1"/>
    <mergeCell ref="B2:J2"/>
    <mergeCell ref="B3:J3"/>
    <mergeCell ref="H5:J5"/>
    <mergeCell ref="D6:G6"/>
    <mergeCell ref="G7:J7"/>
    <mergeCell ref="B11:I11"/>
    <mergeCell ref="B13:I13"/>
    <mergeCell ref="B14:I14"/>
    <mergeCell ref="B8:J8"/>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5:I55"/>
    <mergeCell ref="B56:I56"/>
    <mergeCell ref="B58:I58"/>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8:I78"/>
    <mergeCell ref="B79:I79"/>
    <mergeCell ref="B80:I80"/>
    <mergeCell ref="B87:I87"/>
    <mergeCell ref="B90:I90"/>
    <mergeCell ref="B81:I81"/>
    <mergeCell ref="B82:I82"/>
    <mergeCell ref="B83:I83"/>
    <mergeCell ref="B84:I84"/>
    <mergeCell ref="B85:I85"/>
    <mergeCell ref="B86:I86"/>
  </mergeCells>
  <conditionalFormatting sqref="K1:K3">
    <cfRule type="cellIs" dxfId="9"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workbookViewId="0">
      <selection activeCell="V10" sqref="V10"/>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1" width="4.5703125" style="675" customWidth="1"/>
    <col min="12" max="13" width="18.5703125" style="675" customWidth="1"/>
    <col min="14" max="16384" width="9.42578125" style="675"/>
  </cols>
  <sheetData>
    <row r="1" spans="1:22" ht="25.15" customHeight="1" x14ac:dyDescent="0.25">
      <c r="A1"/>
      <c r="B1" s="2767" t="str">
        <f>+Index!$A$1</f>
        <v xml:space="preserve">                                                               Office of the State Controller                                                                </v>
      </c>
      <c r="C1" s="2767"/>
      <c r="D1" s="2767"/>
      <c r="E1" s="2767"/>
      <c r="F1" s="2767"/>
      <c r="G1" s="2767"/>
      <c r="H1" s="2767"/>
      <c r="I1" s="2767"/>
      <c r="J1" s="2767"/>
      <c r="K1" s="2129" t="str">
        <f>IF(Index!$B$106="na","NA","")</f>
        <v/>
      </c>
      <c r="L1" s="622"/>
      <c r="M1" s="622"/>
      <c r="N1" s="674"/>
      <c r="O1" s="674"/>
      <c r="P1" s="674"/>
      <c r="Q1" s="674"/>
      <c r="R1" s="674"/>
      <c r="S1" s="674"/>
      <c r="T1" s="674"/>
      <c r="U1" s="674"/>
    </row>
    <row r="2" spans="1:22" ht="16.5" x14ac:dyDescent="0.3">
      <c r="A2"/>
      <c r="B2" s="2749" t="str">
        <f>+Index!$A$2</f>
        <v>2022 ACFR Worksheets</v>
      </c>
      <c r="C2" s="2749"/>
      <c r="D2" s="2749"/>
      <c r="E2" s="2749"/>
      <c r="F2" s="2749"/>
      <c r="G2" s="2749"/>
      <c r="H2" s="2749"/>
      <c r="I2" s="2749"/>
      <c r="J2" s="2749"/>
      <c r="K2" s="2129"/>
      <c r="L2" s="623"/>
      <c r="M2" s="623"/>
      <c r="N2" s="677"/>
      <c r="O2" s="677"/>
      <c r="P2" s="677"/>
      <c r="Q2" s="677"/>
      <c r="R2" s="677"/>
      <c r="S2" s="677"/>
      <c r="T2" s="677"/>
      <c r="U2" s="677"/>
    </row>
    <row r="3" spans="1:22" ht="42" customHeight="1" x14ac:dyDescent="0.3">
      <c r="A3"/>
      <c r="B3" s="3327" t="s">
        <v>3478</v>
      </c>
      <c r="C3" s="3327"/>
      <c r="D3" s="3327"/>
      <c r="E3" s="3327"/>
      <c r="F3" s="3327"/>
      <c r="G3" s="3327"/>
      <c r="H3" s="3327"/>
      <c r="I3" s="3327"/>
      <c r="J3" s="3327"/>
      <c r="K3" s="2129"/>
      <c r="L3" s="623"/>
      <c r="M3" s="623"/>
      <c r="N3" s="677"/>
      <c r="O3" s="677"/>
      <c r="P3" s="677"/>
      <c r="Q3" s="677"/>
      <c r="R3" s="677"/>
      <c r="S3" s="677"/>
      <c r="T3" s="677"/>
      <c r="U3" s="677"/>
    </row>
    <row r="4" spans="1:22" x14ac:dyDescent="0.2">
      <c r="A4"/>
      <c r="B4" s="1365" t="s">
        <v>4959</v>
      </c>
      <c r="C4" s="1291"/>
      <c r="D4" s="1291"/>
      <c r="E4" s="1291"/>
      <c r="F4" s="1291"/>
      <c r="G4" s="1291"/>
      <c r="H4" s="1291"/>
      <c r="I4" s="1291"/>
      <c r="J4" s="1292"/>
      <c r="K4"/>
      <c r="L4"/>
      <c r="M4"/>
    </row>
    <row r="5" spans="1:22" s="678" customFormat="1" ht="15" customHeight="1" x14ac:dyDescent="0.2">
      <c r="A5" s="200"/>
      <c r="B5" s="200" t="s">
        <v>327</v>
      </c>
      <c r="C5" s="200"/>
      <c r="D5" s="636" t="s">
        <v>1964</v>
      </c>
      <c r="E5" s="635"/>
      <c r="F5" s="200" t="s">
        <v>972</v>
      </c>
      <c r="G5" s="200"/>
      <c r="H5" s="3311" t="str">
        <f>+CONCATENATE(Index!$E$12," ",Index!$E$14)</f>
        <v xml:space="preserve"> </v>
      </c>
      <c r="I5" s="3311"/>
      <c r="J5" s="3311"/>
      <c r="K5" s="200"/>
      <c r="L5" s="200"/>
      <c r="M5" s="200"/>
      <c r="N5" s="679"/>
      <c r="V5" s="680"/>
    </row>
    <row r="6" spans="1:22" s="678" customFormat="1" ht="15" customHeight="1" x14ac:dyDescent="0.2">
      <c r="A6" s="200"/>
      <c r="B6" s="200" t="s">
        <v>1154</v>
      </c>
      <c r="C6" s="200"/>
      <c r="D6" s="3326" t="s">
        <v>1950</v>
      </c>
      <c r="E6" s="3326"/>
      <c r="F6" s="3326"/>
      <c r="G6" s="3326"/>
      <c r="H6" s="200"/>
      <c r="I6" s="200"/>
      <c r="J6" s="200"/>
      <c r="K6" s="200"/>
      <c r="L6" s="200"/>
      <c r="M6" s="200"/>
      <c r="N6" s="681"/>
      <c r="O6" s="681"/>
      <c r="P6" s="681"/>
      <c r="Q6" s="681"/>
      <c r="R6" s="681"/>
      <c r="S6" s="681"/>
      <c r="T6" s="681"/>
      <c r="U6" s="682"/>
      <c r="V6" s="680"/>
    </row>
    <row r="7" spans="1:22" s="678" customFormat="1" ht="15" customHeight="1" x14ac:dyDescent="0.2">
      <c r="A7" s="200"/>
      <c r="B7" s="200" t="s">
        <v>477</v>
      </c>
      <c r="C7" s="200"/>
      <c r="D7" s="1294" t="s">
        <v>1949</v>
      </c>
      <c r="E7" s="200"/>
      <c r="F7" s="806" t="s">
        <v>348</v>
      </c>
      <c r="G7" s="3320">
        <f>+Index!$E$13</f>
        <v>0</v>
      </c>
      <c r="H7" s="3320"/>
      <c r="I7" s="3320"/>
      <c r="J7" s="3320"/>
      <c r="K7" s="200"/>
      <c r="L7" s="200"/>
      <c r="M7" s="200"/>
      <c r="V7" s="680"/>
    </row>
    <row r="8" spans="1:22" s="684" customFormat="1" ht="12" customHeight="1" x14ac:dyDescent="0.2">
      <c r="A8" s="38"/>
      <c r="B8" s="1359" t="s">
        <v>3479</v>
      </c>
      <c r="C8" s="1360"/>
      <c r="D8" s="1360"/>
      <c r="E8" s="1360"/>
      <c r="F8" s="1360"/>
      <c r="G8" s="1361"/>
      <c r="H8" s="1362"/>
      <c r="I8" s="1363"/>
      <c r="J8" s="1364"/>
      <c r="K8" s="38"/>
      <c r="L8" s="38"/>
      <c r="M8" s="38"/>
    </row>
    <row r="9" spans="1:22" x14ac:dyDescent="0.2">
      <c r="A9"/>
      <c r="B9" s="726"/>
      <c r="C9" s="38"/>
      <c r="D9" s="38"/>
      <c r="E9" s="38"/>
      <c r="F9" s="38"/>
      <c r="G9" s="1254"/>
      <c r="H9" s="38"/>
      <c r="I9"/>
      <c r="J9" s="1297" t="s">
        <v>1953</v>
      </c>
      <c r="K9"/>
      <c r="L9" s="1229" t="s">
        <v>1952</v>
      </c>
      <c r="M9" s="1229" t="s">
        <v>1951</v>
      </c>
    </row>
    <row r="10" spans="1:22" x14ac:dyDescent="0.2">
      <c r="A10"/>
      <c r="B10" s="1298" t="s">
        <v>303</v>
      </c>
      <c r="C10" s="819"/>
      <c r="D10" s="819"/>
      <c r="E10"/>
      <c r="F10"/>
      <c r="G10"/>
      <c r="H10"/>
      <c r="I10"/>
      <c r="J10" s="1087" t="str">
        <f>TEXT(Data!$A$2,"mmmm d,yyyy")</f>
        <v>June 30,2022</v>
      </c>
      <c r="K10" s="394"/>
      <c r="L10" s="1087" t="str">
        <f>TEXT(Data!$A$2,"mmmm d,yyyy")</f>
        <v>June 30,2022</v>
      </c>
      <c r="M10" s="1087" t="str">
        <f>TEXT(Data!$A$2,"mmmm d,yyyy")</f>
        <v>June 30,2022</v>
      </c>
    </row>
    <row r="11" spans="1:22" x14ac:dyDescent="0.2">
      <c r="A11"/>
      <c r="B11" s="3348" t="s">
        <v>630</v>
      </c>
      <c r="C11" s="3348"/>
      <c r="D11" s="3348"/>
      <c r="E11" s="3348"/>
      <c r="F11" s="3348"/>
      <c r="G11" s="3348"/>
      <c r="H11" s="3348"/>
      <c r="I11" s="3348"/>
      <c r="J11" s="842">
        <f>SUM(L11+M11)</f>
        <v>0</v>
      </c>
      <c r="K11" s="395"/>
      <c r="L11" s="842">
        <f>'906-6B'!J11</f>
        <v>0</v>
      </c>
      <c r="M11" s="842">
        <f>'906-6C'!J11</f>
        <v>0</v>
      </c>
    </row>
    <row r="12" spans="1:22" x14ac:dyDescent="0.2">
      <c r="A12"/>
      <c r="B12" s="567" t="s">
        <v>483</v>
      </c>
      <c r="C12" s="819"/>
      <c r="D12"/>
      <c r="E12"/>
      <c r="F12"/>
      <c r="G12"/>
      <c r="H12"/>
      <c r="I12"/>
      <c r="J12" s="1299"/>
      <c r="K12" s="395"/>
      <c r="L12" s="643"/>
      <c r="M12" s="643"/>
    </row>
    <row r="13" spans="1:22" x14ac:dyDescent="0.2">
      <c r="A13"/>
      <c r="B13" s="3348" t="s">
        <v>1219</v>
      </c>
      <c r="C13" s="3348"/>
      <c r="D13" s="3348"/>
      <c r="E13" s="3348"/>
      <c r="F13" s="3348"/>
      <c r="G13" s="3348"/>
      <c r="H13" s="3348"/>
      <c r="I13" s="3348"/>
      <c r="J13" s="393">
        <f>SUM(L13:M13)</f>
        <v>0</v>
      </c>
      <c r="K13" s="395"/>
      <c r="L13" s="393">
        <f>'906-6B'!J13</f>
        <v>0</v>
      </c>
      <c r="M13" s="393">
        <f>'906-6C'!J13</f>
        <v>0</v>
      </c>
    </row>
    <row r="14" spans="1:22" x14ac:dyDescent="0.2">
      <c r="A14"/>
      <c r="B14" s="3348" t="s">
        <v>1217</v>
      </c>
      <c r="C14" s="3348"/>
      <c r="D14" s="3348"/>
      <c r="E14" s="3348"/>
      <c r="F14" s="3348"/>
      <c r="G14" s="3348"/>
      <c r="H14" s="3348"/>
      <c r="I14" s="3348"/>
      <c r="J14" s="393">
        <f t="shared" ref="J14:J38" si="0">SUM(L14:M14)</f>
        <v>0</v>
      </c>
      <c r="K14" s="395"/>
      <c r="L14" s="393">
        <f>'906-6B'!J14</f>
        <v>0</v>
      </c>
      <c r="M14" s="393">
        <f>'906-6C'!J14</f>
        <v>0</v>
      </c>
    </row>
    <row r="15" spans="1:22" x14ac:dyDescent="0.2">
      <c r="A15"/>
      <c r="B15" s="3348" t="s">
        <v>1218</v>
      </c>
      <c r="C15" s="3348"/>
      <c r="D15" s="3348"/>
      <c r="E15" s="3348"/>
      <c r="F15" s="3348"/>
      <c r="G15" s="3348"/>
      <c r="H15" s="3348"/>
      <c r="I15" s="3348"/>
      <c r="J15" s="393">
        <f t="shared" si="0"/>
        <v>0</v>
      </c>
      <c r="K15" s="395"/>
      <c r="L15" s="393">
        <f>'906-6B'!J15</f>
        <v>0</v>
      </c>
      <c r="M15" s="393">
        <f>'906-6C'!J15</f>
        <v>0</v>
      </c>
    </row>
    <row r="16" spans="1:22" x14ac:dyDescent="0.2">
      <c r="A16"/>
      <c r="B16" s="3348" t="s">
        <v>1220</v>
      </c>
      <c r="C16" s="3348"/>
      <c r="D16" s="3348"/>
      <c r="E16" s="3348"/>
      <c r="F16" s="3348"/>
      <c r="G16" s="3348"/>
      <c r="H16" s="3348"/>
      <c r="I16" s="3348"/>
      <c r="J16" s="393">
        <f t="shared" si="0"/>
        <v>0</v>
      </c>
      <c r="K16" s="395"/>
      <c r="L16" s="393">
        <f>'906-6B'!J16</f>
        <v>0</v>
      </c>
      <c r="M16" s="393">
        <f>'906-6C'!J16</f>
        <v>0</v>
      </c>
    </row>
    <row r="17" spans="1:13" x14ac:dyDescent="0.2">
      <c r="A17"/>
      <c r="B17" s="3348" t="s">
        <v>1215</v>
      </c>
      <c r="C17" s="3348"/>
      <c r="D17" s="3348"/>
      <c r="E17" s="3348"/>
      <c r="F17" s="3348"/>
      <c r="G17" s="3348"/>
      <c r="H17" s="3348"/>
      <c r="I17" s="3348"/>
      <c r="J17" s="393">
        <f t="shared" si="0"/>
        <v>0</v>
      </c>
      <c r="K17" s="395"/>
      <c r="L17" s="393">
        <f>'906-6B'!J17</f>
        <v>0</v>
      </c>
      <c r="M17" s="393">
        <f>'906-6C'!J17</f>
        <v>0</v>
      </c>
    </row>
    <row r="18" spans="1:13" x14ac:dyDescent="0.2">
      <c r="A18"/>
      <c r="B18" s="3348" t="s">
        <v>1566</v>
      </c>
      <c r="C18" s="3348"/>
      <c r="D18" s="3348"/>
      <c r="E18" s="3348"/>
      <c r="F18" s="3348"/>
      <c r="G18" s="3348"/>
      <c r="H18" s="3348"/>
      <c r="I18" s="3348"/>
      <c r="J18" s="393">
        <f t="shared" si="0"/>
        <v>0</v>
      </c>
      <c r="K18" s="395"/>
      <c r="L18" s="393">
        <f>'906-6B'!J18</f>
        <v>0</v>
      </c>
      <c r="M18" s="393">
        <f>'906-6C'!J18</f>
        <v>0</v>
      </c>
    </row>
    <row r="19" spans="1:13" x14ac:dyDescent="0.2">
      <c r="A19"/>
      <c r="B19" s="3348" t="s">
        <v>1216</v>
      </c>
      <c r="C19" s="3348"/>
      <c r="D19" s="3348"/>
      <c r="E19" s="3348"/>
      <c r="F19" s="3348"/>
      <c r="G19" s="3348"/>
      <c r="H19" s="3348"/>
      <c r="I19" s="3348"/>
      <c r="J19" s="393">
        <f t="shared" si="0"/>
        <v>0</v>
      </c>
      <c r="K19" s="395"/>
      <c r="L19" s="393">
        <f>'906-6B'!J19</f>
        <v>0</v>
      </c>
      <c r="M19" s="393">
        <f>'906-6C'!J19</f>
        <v>0</v>
      </c>
    </row>
    <row r="20" spans="1:13" x14ac:dyDescent="0.2">
      <c r="A20"/>
      <c r="B20" s="3348" t="s">
        <v>492</v>
      </c>
      <c r="C20" s="3348"/>
      <c r="D20" s="3348"/>
      <c r="E20" s="3348"/>
      <c r="F20" s="3348"/>
      <c r="G20" s="3348"/>
      <c r="H20" s="3348"/>
      <c r="I20" s="3348"/>
      <c r="J20" s="393">
        <f t="shared" si="0"/>
        <v>0</v>
      </c>
      <c r="K20" s="395"/>
      <c r="L20" s="393">
        <f>'906-6B'!J20</f>
        <v>0</v>
      </c>
      <c r="M20" s="393">
        <f>'906-6C'!J20</f>
        <v>0</v>
      </c>
    </row>
    <row r="21" spans="1:13" x14ac:dyDescent="0.2">
      <c r="A21"/>
      <c r="B21" s="3348" t="s">
        <v>487</v>
      </c>
      <c r="C21" s="3348"/>
      <c r="D21" s="3348"/>
      <c r="E21" s="3348"/>
      <c r="F21" s="3348"/>
      <c r="G21" s="3348"/>
      <c r="H21" s="3348"/>
      <c r="I21" s="3348"/>
      <c r="J21" s="393">
        <f t="shared" si="0"/>
        <v>0</v>
      </c>
      <c r="K21" s="395"/>
      <c r="L21" s="393">
        <f>'906-6B'!J21</f>
        <v>0</v>
      </c>
      <c r="M21" s="393">
        <f>'906-6C'!J21</f>
        <v>0</v>
      </c>
    </row>
    <row r="22" spans="1:13" x14ac:dyDescent="0.2">
      <c r="A22"/>
      <c r="B22" s="3348" t="s">
        <v>491</v>
      </c>
      <c r="C22" s="3348"/>
      <c r="D22" s="3348"/>
      <c r="E22" s="3348"/>
      <c r="F22" s="3348"/>
      <c r="G22" s="3348"/>
      <c r="H22" s="3348"/>
      <c r="I22" s="3348"/>
      <c r="J22" s="393">
        <f t="shared" si="0"/>
        <v>0</v>
      </c>
      <c r="K22" s="395"/>
      <c r="L22" s="393">
        <f>'906-6B'!J22</f>
        <v>0</v>
      </c>
      <c r="M22" s="393">
        <f>'906-6C'!J22</f>
        <v>0</v>
      </c>
    </row>
    <row r="23" spans="1:13" x14ac:dyDescent="0.2">
      <c r="A23"/>
      <c r="B23" s="3348" t="s">
        <v>495</v>
      </c>
      <c r="C23" s="3348"/>
      <c r="D23" s="3348"/>
      <c r="E23" s="3348"/>
      <c r="F23" s="3348"/>
      <c r="G23" s="3348"/>
      <c r="H23" s="3348"/>
      <c r="I23" s="3348"/>
      <c r="J23" s="393">
        <f t="shared" si="0"/>
        <v>0</v>
      </c>
      <c r="K23" s="395"/>
      <c r="L23" s="393">
        <f>'906-6B'!J23</f>
        <v>0</v>
      </c>
      <c r="M23" s="393">
        <f>'906-6C'!J23</f>
        <v>0</v>
      </c>
    </row>
    <row r="24" spans="1:13" x14ac:dyDescent="0.2">
      <c r="A24"/>
      <c r="B24" s="3352" t="s">
        <v>1850</v>
      </c>
      <c r="C24" s="3348"/>
      <c r="D24" s="3348"/>
      <c r="E24" s="3348"/>
      <c r="F24" s="3348"/>
      <c r="G24" s="3348"/>
      <c r="H24" s="3348"/>
      <c r="I24" s="3348"/>
      <c r="J24" s="393">
        <f t="shared" si="0"/>
        <v>0</v>
      </c>
      <c r="K24" s="395"/>
      <c r="L24" s="393">
        <f>'906-6B'!J24</f>
        <v>0</v>
      </c>
      <c r="M24" s="393">
        <f>'906-6C'!J24</f>
        <v>0</v>
      </c>
    </row>
    <row r="25" spans="1:13" x14ac:dyDescent="0.2">
      <c r="A25"/>
      <c r="B25" s="3348" t="s">
        <v>1681</v>
      </c>
      <c r="C25" s="3348"/>
      <c r="D25" s="3348"/>
      <c r="E25" s="3348"/>
      <c r="F25" s="3348"/>
      <c r="G25" s="3348"/>
      <c r="H25" s="3348"/>
      <c r="I25" s="3348"/>
      <c r="J25" s="393">
        <f t="shared" si="0"/>
        <v>0</v>
      </c>
      <c r="K25" s="395"/>
      <c r="L25" s="393">
        <f>'906-6B'!J25</f>
        <v>0</v>
      </c>
      <c r="M25" s="393">
        <f>'906-6C'!J25</f>
        <v>0</v>
      </c>
    </row>
    <row r="26" spans="1:13" x14ac:dyDescent="0.2">
      <c r="A26"/>
      <c r="B26" s="3348" t="s">
        <v>1691</v>
      </c>
      <c r="C26" s="3348"/>
      <c r="D26" s="3348"/>
      <c r="E26" s="3348"/>
      <c r="F26" s="3348"/>
      <c r="G26" s="3348"/>
      <c r="H26" s="3348"/>
      <c r="I26" s="3348"/>
      <c r="J26" s="393">
        <f t="shared" si="0"/>
        <v>0</v>
      </c>
      <c r="K26" s="395"/>
      <c r="L26" s="393">
        <f>'906-6B'!J26</f>
        <v>0</v>
      </c>
      <c r="M26" s="393">
        <f>'906-6C'!J26</f>
        <v>0</v>
      </c>
    </row>
    <row r="27" spans="1:13" x14ac:dyDescent="0.2">
      <c r="A27"/>
      <c r="B27" s="3348" t="s">
        <v>1692</v>
      </c>
      <c r="C27" s="3348"/>
      <c r="D27" s="3348"/>
      <c r="E27" s="3348"/>
      <c r="F27" s="3348"/>
      <c r="G27" s="3348"/>
      <c r="H27" s="3348"/>
      <c r="I27" s="3348"/>
      <c r="J27" s="393">
        <f t="shared" si="0"/>
        <v>0</v>
      </c>
      <c r="K27" s="395"/>
      <c r="L27" s="393">
        <f>'906-6B'!J27</f>
        <v>0</v>
      </c>
      <c r="M27" s="393">
        <f>'906-6C'!J27</f>
        <v>0</v>
      </c>
    </row>
    <row r="28" spans="1:13" x14ac:dyDescent="0.2">
      <c r="A28"/>
      <c r="B28" s="3348" t="s">
        <v>1401</v>
      </c>
      <c r="C28" s="3348"/>
      <c r="D28" s="3348"/>
      <c r="E28" s="3348"/>
      <c r="F28" s="3348"/>
      <c r="G28" s="3348"/>
      <c r="H28" s="3348"/>
      <c r="I28" s="3348"/>
      <c r="J28" s="393">
        <f t="shared" si="0"/>
        <v>0</v>
      </c>
      <c r="K28" s="395"/>
      <c r="L28" s="393">
        <f>'906-6B'!J28</f>
        <v>0</v>
      </c>
      <c r="M28" s="393">
        <f>'906-6C'!J28</f>
        <v>0</v>
      </c>
    </row>
    <row r="29" spans="1:13" x14ac:dyDescent="0.2">
      <c r="A29"/>
      <c r="B29" s="3348" t="s">
        <v>1403</v>
      </c>
      <c r="C29" s="3348"/>
      <c r="D29" s="3348"/>
      <c r="E29" s="3348"/>
      <c r="F29" s="3348"/>
      <c r="G29" s="3348"/>
      <c r="H29" s="3348"/>
      <c r="I29" s="3348"/>
      <c r="J29" s="393">
        <f t="shared" si="0"/>
        <v>0</v>
      </c>
      <c r="K29" s="395"/>
      <c r="L29" s="393">
        <f>'906-6B'!J29</f>
        <v>0</v>
      </c>
      <c r="M29" s="393">
        <f>'906-6C'!J29</f>
        <v>0</v>
      </c>
    </row>
    <row r="30" spans="1:13" x14ac:dyDescent="0.2">
      <c r="A30"/>
      <c r="B30" s="819" t="s">
        <v>198</v>
      </c>
      <c r="C30" s="819"/>
      <c r="D30"/>
      <c r="E30"/>
      <c r="F30"/>
      <c r="G30"/>
      <c r="H30"/>
      <c r="I30"/>
      <c r="J30" s="393">
        <f t="shared" si="0"/>
        <v>0</v>
      </c>
      <c r="K30" s="395"/>
      <c r="L30" s="393">
        <f>'906-6B'!J30</f>
        <v>0</v>
      </c>
      <c r="M30" s="393">
        <f>'906-6C'!J30</f>
        <v>0</v>
      </c>
    </row>
    <row r="31" spans="1:13" x14ac:dyDescent="0.2">
      <c r="A31"/>
      <c r="B31" s="3348" t="s">
        <v>829</v>
      </c>
      <c r="C31" s="3348"/>
      <c r="D31" s="3348"/>
      <c r="E31" s="3348"/>
      <c r="F31" s="3348"/>
      <c r="G31" s="3348"/>
      <c r="H31" s="3348"/>
      <c r="I31" s="3348"/>
      <c r="J31" s="393">
        <f t="shared" si="0"/>
        <v>0</v>
      </c>
      <c r="K31" s="395"/>
      <c r="L31" s="393">
        <f>'906-6B'!J31</f>
        <v>0</v>
      </c>
      <c r="M31" s="393">
        <f>'906-6C'!J31</f>
        <v>0</v>
      </c>
    </row>
    <row r="32" spans="1:13" x14ac:dyDescent="0.2">
      <c r="A32"/>
      <c r="B32" s="3348" t="s">
        <v>830</v>
      </c>
      <c r="C32" s="3348"/>
      <c r="D32" s="3348"/>
      <c r="E32" s="3348"/>
      <c r="F32" s="3348"/>
      <c r="G32" s="3348"/>
      <c r="H32" s="3348"/>
      <c r="I32" s="3348"/>
      <c r="J32" s="393">
        <f t="shared" si="0"/>
        <v>0</v>
      </c>
      <c r="K32" s="395"/>
      <c r="L32" s="393">
        <f>'906-6B'!J32</f>
        <v>0</v>
      </c>
      <c r="M32" s="393">
        <f>'906-6C'!J32</f>
        <v>0</v>
      </c>
    </row>
    <row r="33" spans="1:13" x14ac:dyDescent="0.2">
      <c r="A33"/>
      <c r="B33" s="3348" t="s">
        <v>831</v>
      </c>
      <c r="C33" s="3348"/>
      <c r="D33" s="3348"/>
      <c r="E33" s="3348"/>
      <c r="F33" s="3348"/>
      <c r="G33" s="3348"/>
      <c r="H33" s="3348"/>
      <c r="I33" s="3348"/>
      <c r="J33" s="393">
        <f t="shared" si="0"/>
        <v>0</v>
      </c>
      <c r="K33" s="395"/>
      <c r="L33" s="393">
        <f>'906-6B'!J33</f>
        <v>0</v>
      </c>
      <c r="M33" s="393">
        <f>'906-6C'!J33</f>
        <v>0</v>
      </c>
    </row>
    <row r="34" spans="1:13" x14ac:dyDescent="0.2">
      <c r="A34"/>
      <c r="B34" s="3348" t="s">
        <v>549</v>
      </c>
      <c r="C34" s="3348"/>
      <c r="D34" s="3348"/>
      <c r="E34" s="3348"/>
      <c r="F34" s="3348"/>
      <c r="G34" s="3348"/>
      <c r="H34" s="3348"/>
      <c r="I34" s="3348"/>
      <c r="J34" s="393">
        <f t="shared" si="0"/>
        <v>0</v>
      </c>
      <c r="K34" s="395"/>
      <c r="L34" s="393">
        <f>'906-6B'!J34</f>
        <v>0</v>
      </c>
      <c r="M34" s="393">
        <f>'906-6C'!J34</f>
        <v>0</v>
      </c>
    </row>
    <row r="35" spans="1:13" x14ac:dyDescent="0.2">
      <c r="A35"/>
      <c r="B35" s="3348" t="s">
        <v>931</v>
      </c>
      <c r="C35" s="3348"/>
      <c r="D35" s="3348"/>
      <c r="E35" s="3348"/>
      <c r="F35" s="3348"/>
      <c r="G35" s="3348"/>
      <c r="H35" s="3348"/>
      <c r="I35" s="3348"/>
      <c r="J35" s="393">
        <f t="shared" si="0"/>
        <v>0</v>
      </c>
      <c r="K35" s="395"/>
      <c r="L35" s="393">
        <f>'906-6B'!J35</f>
        <v>0</v>
      </c>
      <c r="M35" s="393">
        <f>'906-6C'!J35</f>
        <v>0</v>
      </c>
    </row>
    <row r="36" spans="1:13" x14ac:dyDescent="0.2">
      <c r="A36"/>
      <c r="B36" s="3348" t="s">
        <v>1095</v>
      </c>
      <c r="C36" s="3348"/>
      <c r="D36" s="3348"/>
      <c r="E36" s="3348"/>
      <c r="F36" s="3348"/>
      <c r="G36" s="3348"/>
      <c r="H36" s="3348"/>
      <c r="I36" s="3348"/>
      <c r="J36" s="393">
        <f t="shared" si="0"/>
        <v>0</v>
      </c>
      <c r="K36" s="395"/>
      <c r="L36" s="393">
        <f>'906-6B'!J36</f>
        <v>0</v>
      </c>
      <c r="M36" s="393">
        <f>'906-6C'!J36</f>
        <v>0</v>
      </c>
    </row>
    <row r="37" spans="1:13" x14ac:dyDescent="0.2">
      <c r="A37"/>
      <c r="B37" s="3348" t="s">
        <v>484</v>
      </c>
      <c r="C37" s="3348"/>
      <c r="D37" s="3348"/>
      <c r="E37" s="3348"/>
      <c r="F37" s="3348"/>
      <c r="G37" s="3348"/>
      <c r="H37" s="3348"/>
      <c r="I37" s="3348"/>
      <c r="J37" s="393">
        <f t="shared" si="0"/>
        <v>0</v>
      </c>
      <c r="K37" s="395"/>
      <c r="L37" s="393">
        <f>'906-6B'!J37</f>
        <v>0</v>
      </c>
      <c r="M37" s="393">
        <f>'906-6C'!J37</f>
        <v>0</v>
      </c>
    </row>
    <row r="38" spans="1:13" x14ac:dyDescent="0.2">
      <c r="A38"/>
      <c r="B38" s="3348" t="s">
        <v>485</v>
      </c>
      <c r="C38" s="3348"/>
      <c r="D38" s="3348"/>
      <c r="E38" s="3348"/>
      <c r="F38" s="3348"/>
      <c r="G38" s="3348"/>
      <c r="H38" s="3348"/>
      <c r="I38" s="3348"/>
      <c r="J38" s="393">
        <f t="shared" si="0"/>
        <v>0</v>
      </c>
      <c r="K38" s="395"/>
      <c r="L38" s="393">
        <f>'906-6B'!J38</f>
        <v>0</v>
      </c>
      <c r="M38" s="393">
        <f>'906-6C'!J38</f>
        <v>0</v>
      </c>
    </row>
    <row r="39" spans="1:13" x14ac:dyDescent="0.2">
      <c r="A39"/>
      <c r="B39" s="3348" t="s">
        <v>272</v>
      </c>
      <c r="C39" s="3348"/>
      <c r="D39" s="3348"/>
      <c r="E39" s="3348"/>
      <c r="F39" s="3348"/>
      <c r="G39" s="3348"/>
      <c r="H39" s="3348"/>
      <c r="I39" s="3348"/>
      <c r="J39" s="706">
        <f>SUM(J10:J38)</f>
        <v>0</v>
      </c>
      <c r="K39" s="395"/>
      <c r="L39" s="706">
        <f>SUM(L10:L38)</f>
        <v>0</v>
      </c>
      <c r="M39" s="706">
        <f>SUM(M10:M38)</f>
        <v>0</v>
      </c>
    </row>
    <row r="40" spans="1:13" x14ac:dyDescent="0.2">
      <c r="A40"/>
      <c r="B40" s="1300"/>
      <c r="C40" s="819"/>
      <c r="D40"/>
      <c r="E40"/>
      <c r="F40"/>
      <c r="G40"/>
      <c r="H40"/>
      <c r="I40"/>
      <c r="J40" s="1260"/>
      <c r="K40" s="395"/>
      <c r="L40" s="643"/>
      <c r="M40" s="643"/>
    </row>
    <row r="41" spans="1:13" x14ac:dyDescent="0.2">
      <c r="A41"/>
      <c r="B41" s="1298" t="s">
        <v>486</v>
      </c>
      <c r="C41" s="819"/>
      <c r="D41"/>
      <c r="E41"/>
      <c r="F41"/>
      <c r="G41"/>
      <c r="H41"/>
      <c r="I41"/>
      <c r="J41" s="1260"/>
      <c r="K41" s="395"/>
      <c r="L41" s="643"/>
      <c r="M41" s="643"/>
    </row>
    <row r="42" spans="1:13" x14ac:dyDescent="0.2">
      <c r="A42"/>
      <c r="B42" s="1301" t="s">
        <v>275</v>
      </c>
      <c r="C42" s="819"/>
      <c r="D42"/>
      <c r="E42"/>
      <c r="F42"/>
      <c r="G42"/>
      <c r="H42"/>
      <c r="I42"/>
      <c r="J42" s="1260"/>
      <c r="K42" s="395"/>
      <c r="L42" s="643"/>
      <c r="M42" s="643"/>
    </row>
    <row r="43" spans="1:13" x14ac:dyDescent="0.2">
      <c r="A43"/>
      <c r="B43" s="3351" t="s">
        <v>1060</v>
      </c>
      <c r="C43" s="3351"/>
      <c r="D43" s="3351"/>
      <c r="E43" s="3351"/>
      <c r="F43" s="3351"/>
      <c r="G43" s="3351"/>
      <c r="H43" s="3351"/>
      <c r="I43" s="3351"/>
      <c r="J43" s="393">
        <f t="shared" ref="J43:J50" si="1">SUM(L43:M43)</f>
        <v>0</v>
      </c>
      <c r="K43" s="395"/>
      <c r="L43" s="393">
        <f>'906-6B'!J43</f>
        <v>0</v>
      </c>
      <c r="M43" s="393">
        <f>'906-6C'!J43</f>
        <v>0</v>
      </c>
    </row>
    <row r="44" spans="1:13" x14ac:dyDescent="0.2">
      <c r="A44"/>
      <c r="B44" s="3351" t="s">
        <v>816</v>
      </c>
      <c r="C44" s="3351"/>
      <c r="D44" s="3351"/>
      <c r="E44" s="3351"/>
      <c r="F44" s="3351"/>
      <c r="G44" s="3351"/>
      <c r="H44" s="3351"/>
      <c r="I44" s="3351"/>
      <c r="J44" s="393">
        <f t="shared" si="1"/>
        <v>0</v>
      </c>
      <c r="K44" s="395"/>
      <c r="L44" s="393">
        <f>'906-6B'!J44</f>
        <v>0</v>
      </c>
      <c r="M44" s="393">
        <f>'906-6C'!J44</f>
        <v>0</v>
      </c>
    </row>
    <row r="45" spans="1:13" x14ac:dyDescent="0.2">
      <c r="A45"/>
      <c r="B45" s="3351" t="s">
        <v>1078</v>
      </c>
      <c r="C45" s="3351"/>
      <c r="D45" s="3351"/>
      <c r="E45" s="3351"/>
      <c r="F45" s="3351"/>
      <c r="G45" s="3351"/>
      <c r="H45" s="3351"/>
      <c r="I45" s="3351"/>
      <c r="J45" s="393">
        <f t="shared" si="1"/>
        <v>0</v>
      </c>
      <c r="K45" s="395"/>
      <c r="L45" s="393">
        <f>'906-6B'!J45</f>
        <v>0</v>
      </c>
      <c r="M45" s="393">
        <f>'906-6C'!J45</f>
        <v>0</v>
      </c>
    </row>
    <row r="46" spans="1:13" x14ac:dyDescent="0.2">
      <c r="A46"/>
      <c r="B46" s="3342" t="s">
        <v>1402</v>
      </c>
      <c r="C46" s="3342"/>
      <c r="D46" s="3342"/>
      <c r="E46" s="3342"/>
      <c r="F46" s="3342"/>
      <c r="G46" s="3342"/>
      <c r="H46" s="3342"/>
      <c r="I46" s="3342"/>
      <c r="J46" s="393">
        <f t="shared" si="1"/>
        <v>0</v>
      </c>
      <c r="K46" s="395"/>
      <c r="L46" s="393">
        <f>'906-6B'!J46</f>
        <v>0</v>
      </c>
      <c r="M46" s="393">
        <f>'906-6C'!J46</f>
        <v>0</v>
      </c>
    </row>
    <row r="47" spans="1:13" x14ac:dyDescent="0.2">
      <c r="A47"/>
      <c r="B47" s="3342" t="s">
        <v>569</v>
      </c>
      <c r="C47" s="3342"/>
      <c r="D47" s="3342"/>
      <c r="E47" s="3342"/>
      <c r="F47" s="3342"/>
      <c r="G47" s="3342"/>
      <c r="H47" s="3342"/>
      <c r="I47" s="3342"/>
      <c r="J47" s="393">
        <f t="shared" si="1"/>
        <v>0</v>
      </c>
      <c r="K47" s="395"/>
      <c r="L47" s="393">
        <f>'906-6B'!J47</f>
        <v>0</v>
      </c>
      <c r="M47" s="393">
        <f>'906-6C'!J47</f>
        <v>0</v>
      </c>
    </row>
    <row r="48" spans="1:13" x14ac:dyDescent="0.2">
      <c r="A48"/>
      <c r="B48" s="3342" t="s">
        <v>739</v>
      </c>
      <c r="C48" s="3342"/>
      <c r="D48" s="3342"/>
      <c r="E48" s="3342"/>
      <c r="F48" s="3342"/>
      <c r="G48" s="3342"/>
      <c r="H48" s="3342"/>
      <c r="I48" s="3342"/>
      <c r="J48" s="393">
        <f t="shared" si="1"/>
        <v>0</v>
      </c>
      <c r="K48" s="395"/>
      <c r="L48" s="393">
        <f>'906-6B'!J48</f>
        <v>0</v>
      </c>
      <c r="M48" s="393">
        <f>'906-6C'!J48</f>
        <v>0</v>
      </c>
    </row>
    <row r="49" spans="1:13" x14ac:dyDescent="0.2">
      <c r="A49"/>
      <c r="B49" s="3348" t="s">
        <v>701</v>
      </c>
      <c r="C49" s="3348"/>
      <c r="D49" s="3348"/>
      <c r="E49" s="3348"/>
      <c r="F49" s="3348"/>
      <c r="G49" s="3348"/>
      <c r="H49" s="3348"/>
      <c r="I49" s="3348"/>
      <c r="J49" s="393">
        <f t="shared" si="1"/>
        <v>0</v>
      </c>
      <c r="K49" s="395"/>
      <c r="L49" s="393">
        <f>'906-6B'!J49</f>
        <v>0</v>
      </c>
      <c r="M49" s="393">
        <f>'906-6C'!J49</f>
        <v>0</v>
      </c>
    </row>
    <row r="50" spans="1:13" x14ac:dyDescent="0.2">
      <c r="A50"/>
      <c r="B50" s="3342" t="s">
        <v>80</v>
      </c>
      <c r="C50" s="3342"/>
      <c r="D50" s="3342"/>
      <c r="E50" s="3342"/>
      <c r="F50" s="3342"/>
      <c r="G50" s="3342"/>
      <c r="H50" s="3342"/>
      <c r="I50" s="3342"/>
      <c r="J50" s="393">
        <f t="shared" si="1"/>
        <v>0</v>
      </c>
      <c r="K50" s="395"/>
      <c r="L50" s="393">
        <f>'906-6B'!J50</f>
        <v>0</v>
      </c>
      <c r="M50" s="393">
        <f>'906-6C'!J50</f>
        <v>0</v>
      </c>
    </row>
    <row r="51" spans="1:13" x14ac:dyDescent="0.2">
      <c r="A51"/>
      <c r="B51" s="3348" t="s">
        <v>791</v>
      </c>
      <c r="C51" s="3348"/>
      <c r="D51" s="3348"/>
      <c r="E51" s="3348"/>
      <c r="F51" s="3348"/>
      <c r="G51" s="3348"/>
      <c r="H51" s="3348"/>
      <c r="I51" s="3348"/>
      <c r="J51" s="706">
        <f>SUM(J42:J50)</f>
        <v>0</v>
      </c>
      <c r="K51" s="395"/>
      <c r="L51" s="706">
        <f>SUM(L42:L50)</f>
        <v>0</v>
      </c>
      <c r="M51" s="706">
        <f>SUM(M42:M50)</f>
        <v>0</v>
      </c>
    </row>
    <row r="52" spans="1:13" x14ac:dyDescent="0.2">
      <c r="A52"/>
      <c r="B52" s="1302"/>
      <c r="C52" s="1302"/>
      <c r="D52"/>
      <c r="E52"/>
      <c r="F52"/>
      <c r="G52"/>
      <c r="H52"/>
      <c r="I52"/>
      <c r="J52" s="1261"/>
      <c r="K52" s="395"/>
      <c r="L52" s="399"/>
      <c r="M52" s="399"/>
    </row>
    <row r="53" spans="1:13" x14ac:dyDescent="0.2">
      <c r="A53"/>
      <c r="B53" s="1434" t="s">
        <v>1888</v>
      </c>
      <c r="C53"/>
      <c r="D53"/>
      <c r="E53"/>
      <c r="F53"/>
      <c r="G53"/>
      <c r="H53"/>
      <c r="I53"/>
      <c r="J53" s="393"/>
      <c r="K53" s="395"/>
      <c r="L53" s="399"/>
      <c r="M53" s="399"/>
    </row>
    <row r="54" spans="1:13" x14ac:dyDescent="0.2">
      <c r="A54"/>
      <c r="B54" s="3349" t="s">
        <v>792</v>
      </c>
      <c r="C54" s="3350"/>
      <c r="D54" s="3350"/>
      <c r="E54" s="3350"/>
      <c r="F54" s="3350"/>
      <c r="G54" s="3350"/>
      <c r="H54" s="3350"/>
      <c r="I54" s="3350"/>
      <c r="J54" s="393"/>
      <c r="K54" s="395"/>
      <c r="L54" s="399"/>
      <c r="M54" s="399"/>
    </row>
    <row r="55" spans="1:13" x14ac:dyDescent="0.2">
      <c r="A55"/>
      <c r="B55" s="3341" t="s">
        <v>3844</v>
      </c>
      <c r="C55" s="3342"/>
      <c r="D55" s="3342"/>
      <c r="E55" s="3342"/>
      <c r="F55" s="3342"/>
      <c r="G55" s="3342"/>
      <c r="H55" s="3342"/>
      <c r="I55" s="3342"/>
      <c r="J55" s="393">
        <f>SUM(L55:M55)</f>
        <v>0</v>
      </c>
      <c r="K55" s="395"/>
      <c r="L55" s="393"/>
      <c r="M55" s="393">
        <f>'906-6C'!J55</f>
        <v>0</v>
      </c>
    </row>
    <row r="56" spans="1:13" x14ac:dyDescent="0.2">
      <c r="A56"/>
      <c r="B56" s="3341" t="s">
        <v>3843</v>
      </c>
      <c r="C56" s="3342"/>
      <c r="D56" s="3342"/>
      <c r="E56" s="3342"/>
      <c r="F56" s="3342"/>
      <c r="G56" s="3342"/>
      <c r="H56" s="3342"/>
      <c r="I56" s="3342"/>
      <c r="J56" s="393">
        <f>SUM(L56:M56)</f>
        <v>0</v>
      </c>
      <c r="K56" s="395"/>
      <c r="L56" s="393">
        <f>'906-6B'!J55</f>
        <v>0</v>
      </c>
      <c r="M56" s="393"/>
    </row>
    <row r="57" spans="1:13" ht="13.5" thickBot="1" x14ac:dyDescent="0.25">
      <c r="A57"/>
      <c r="B57" s="3343" t="s">
        <v>1889</v>
      </c>
      <c r="C57" s="3344"/>
      <c r="D57" s="3344"/>
      <c r="E57" s="3344"/>
      <c r="F57" s="3344"/>
      <c r="G57" s="3344"/>
      <c r="H57" s="3344"/>
      <c r="I57" s="3344"/>
      <c r="J57" s="707">
        <f>SUM(J54:J56)</f>
        <v>0</v>
      </c>
      <c r="K57" s="395"/>
      <c r="L57" s="707">
        <f>SUM(L54:L56)</f>
        <v>0</v>
      </c>
      <c r="M57" s="707">
        <f>SUM(M54:M56)</f>
        <v>0</v>
      </c>
    </row>
    <row r="58" spans="1:13" ht="13.5" thickTop="1" x14ac:dyDescent="0.2">
      <c r="A58"/>
      <c r="B58" s="1303"/>
      <c r="C58" s="1303"/>
      <c r="D58" s="1303"/>
      <c r="E58" s="1303"/>
      <c r="F58" s="1303"/>
      <c r="G58" s="1303"/>
      <c r="H58" s="1303"/>
      <c r="I58" s="1303"/>
      <c r="J58" s="393"/>
      <c r="K58" s="395"/>
      <c r="L58" s="398"/>
      <c r="M58" s="398"/>
    </row>
    <row r="59" spans="1:13" x14ac:dyDescent="0.2">
      <c r="A59"/>
      <c r="B59" s="3343" t="s">
        <v>1899</v>
      </c>
      <c r="C59" s="3344"/>
      <c r="D59" s="3344"/>
      <c r="E59" s="3344"/>
      <c r="F59" s="3344"/>
      <c r="G59" s="3344"/>
      <c r="H59" s="3344"/>
      <c r="I59" s="3344"/>
      <c r="J59" s="1258" t="str">
        <f>IF(ROUND(J39-J51,2)=J57,"In Balance","NOT BALANCED")</f>
        <v>In Balance</v>
      </c>
      <c r="K59" s="395"/>
      <c r="L59" s="1258" t="str">
        <f>IF(ROUND(L39-L51,2)=L57,"In Balance","NOT BALANCED")</f>
        <v>In Balance</v>
      </c>
      <c r="M59" s="1258" t="str">
        <f>IF(ROUND(M39-M51,2)=M57,"In Balance","NOT BALANCED")</f>
        <v>In Balance</v>
      </c>
    </row>
    <row r="60" spans="1:13" x14ac:dyDescent="0.2">
      <c r="A60"/>
      <c r="B60"/>
      <c r="C60"/>
      <c r="D60"/>
      <c r="E60"/>
      <c r="F60"/>
      <c r="G60"/>
      <c r="H60"/>
      <c r="I60"/>
      <c r="J60" s="1297" t="s">
        <v>1953</v>
      </c>
      <c r="K60"/>
      <c r="L60" s="1229" t="s">
        <v>1952</v>
      </c>
      <c r="M60" s="1229" t="s">
        <v>1951</v>
      </c>
    </row>
    <row r="61" spans="1:13" x14ac:dyDescent="0.2">
      <c r="A61"/>
      <c r="B61" s="1304" t="s">
        <v>986</v>
      </c>
      <c r="C61"/>
      <c r="D61"/>
      <c r="E61"/>
      <c r="F61"/>
      <c r="G61"/>
      <c r="H61"/>
      <c r="I61"/>
      <c r="J61" s="1255" t="str">
        <f>CONCATENATE("FYE ",+TEXT(Data!$A$2,"mmmm d,yyyy"))</f>
        <v>FYE June 30,2022</v>
      </c>
      <c r="K61" s="395"/>
      <c r="L61" s="1255" t="str">
        <f>CONCATENATE("FYE ",+TEXT(Data!$A$2,"mmmm d,yyyy"))</f>
        <v>FYE June 30,2022</v>
      </c>
      <c r="M61" s="1255" t="str">
        <f>CONCATENATE("FYE ",+TEXT(Data!$A$2,"mmmm d,yyyy"))</f>
        <v>FYE June 30,2022</v>
      </c>
    </row>
    <row r="62" spans="1:13" x14ac:dyDescent="0.2">
      <c r="A62"/>
      <c r="B62" s="3346" t="s">
        <v>463</v>
      </c>
      <c r="C62" s="3346"/>
      <c r="D62" s="3346"/>
      <c r="E62" s="3346"/>
      <c r="F62" s="3346"/>
      <c r="G62" s="3346"/>
      <c r="H62" s="3346"/>
      <c r="I62" s="3346"/>
      <c r="J62" s="393"/>
      <c r="K62" s="395"/>
      <c r="L62" s="398"/>
      <c r="M62" s="398"/>
    </row>
    <row r="63" spans="1:13" x14ac:dyDescent="0.2">
      <c r="A63"/>
      <c r="B63" s="3340" t="s">
        <v>1081</v>
      </c>
      <c r="C63" s="3340"/>
      <c r="D63" s="3340"/>
      <c r="E63" s="3340"/>
      <c r="F63" s="3340"/>
      <c r="G63" s="3340"/>
      <c r="H63" s="3340"/>
      <c r="I63" s="3340"/>
      <c r="J63" s="842">
        <f>SUM(L63+M63)</f>
        <v>0</v>
      </c>
      <c r="K63" s="395"/>
      <c r="L63" s="842">
        <f>'906-6B'!J62</f>
        <v>0</v>
      </c>
      <c r="M63" s="842">
        <f>'906-6C'!J62</f>
        <v>0</v>
      </c>
    </row>
    <row r="64" spans="1:13" x14ac:dyDescent="0.2">
      <c r="A64"/>
      <c r="B64" s="3340" t="s">
        <v>1082</v>
      </c>
      <c r="C64" s="3340"/>
      <c r="D64" s="3340"/>
      <c r="E64" s="3340"/>
      <c r="F64" s="3340"/>
      <c r="G64" s="3340"/>
      <c r="H64" s="3340"/>
      <c r="I64" s="3340"/>
      <c r="J64" s="393">
        <f>SUM(L64:M64)</f>
        <v>0</v>
      </c>
      <c r="K64" s="395"/>
      <c r="L64" s="393">
        <f>'906-6B'!J63</f>
        <v>0</v>
      </c>
      <c r="M64" s="393">
        <f>'906-6C'!J63</f>
        <v>0</v>
      </c>
    </row>
    <row r="65" spans="1:13" x14ac:dyDescent="0.2">
      <c r="A65"/>
      <c r="B65" s="3347" t="s">
        <v>1083</v>
      </c>
      <c r="C65" s="3347"/>
      <c r="D65" s="3347"/>
      <c r="E65" s="3347"/>
      <c r="F65" s="3347"/>
      <c r="G65" s="3347"/>
      <c r="H65" s="3347"/>
      <c r="I65" s="3347"/>
      <c r="J65" s="393">
        <f>SUM(L65:M65)</f>
        <v>0</v>
      </c>
      <c r="K65" s="395"/>
      <c r="L65" s="393">
        <f>'906-6B'!J64</f>
        <v>0</v>
      </c>
      <c r="M65" s="393">
        <f>'906-6C'!J64</f>
        <v>0</v>
      </c>
    </row>
    <row r="66" spans="1:13" x14ac:dyDescent="0.2">
      <c r="A66"/>
      <c r="B66" s="3340" t="s">
        <v>1084</v>
      </c>
      <c r="C66" s="3340"/>
      <c r="D66" s="3340"/>
      <c r="E66" s="3340"/>
      <c r="F66" s="3340"/>
      <c r="G66" s="3340"/>
      <c r="H66" s="3340"/>
      <c r="I66" s="3340"/>
      <c r="J66" s="393">
        <f>SUM(L66:M66)</f>
        <v>0</v>
      </c>
      <c r="K66" s="395"/>
      <c r="L66" s="393">
        <f>'906-6B'!J65</f>
        <v>0</v>
      </c>
      <c r="M66" s="393">
        <f>'906-6C'!J65</f>
        <v>0</v>
      </c>
    </row>
    <row r="67" spans="1:13" x14ac:dyDescent="0.2">
      <c r="A67"/>
      <c r="B67" s="3340" t="s">
        <v>1080</v>
      </c>
      <c r="C67" s="3340"/>
      <c r="D67" s="3340"/>
      <c r="E67" s="3340"/>
      <c r="F67" s="3340"/>
      <c r="G67" s="3340"/>
      <c r="H67" s="3340"/>
      <c r="I67" s="3340"/>
      <c r="J67" s="706">
        <f>SUM(J63:J66)</f>
        <v>0</v>
      </c>
      <c r="K67" s="395"/>
      <c r="L67" s="706">
        <f>SUM(L63:L66)</f>
        <v>0</v>
      </c>
      <c r="M67" s="706">
        <f>SUM(M63:M66)</f>
        <v>0</v>
      </c>
    </row>
    <row r="68" spans="1:13" x14ac:dyDescent="0.2">
      <c r="A68"/>
      <c r="B68" s="3346" t="s">
        <v>464</v>
      </c>
      <c r="C68" s="3346"/>
      <c r="D68" s="3346"/>
      <c r="E68" s="3346"/>
      <c r="F68" s="3346"/>
      <c r="G68" s="3346"/>
      <c r="H68" s="3346"/>
      <c r="I68" s="3346"/>
      <c r="J68" s="393"/>
      <c r="K68" s="395"/>
      <c r="L68" s="643"/>
      <c r="M68" s="643"/>
    </row>
    <row r="69" spans="1:13" x14ac:dyDescent="0.2">
      <c r="A69"/>
      <c r="B69" s="3340" t="s">
        <v>1085</v>
      </c>
      <c r="C69" s="3340"/>
      <c r="D69" s="3340"/>
      <c r="E69" s="3340"/>
      <c r="F69" s="3340"/>
      <c r="G69" s="3340"/>
      <c r="H69" s="3340"/>
      <c r="I69" s="3340"/>
      <c r="J69" s="393">
        <f>SUM(L69:M69)</f>
        <v>0</v>
      </c>
      <c r="K69" s="395"/>
      <c r="L69" s="393">
        <f>'906-6B'!J68</f>
        <v>0</v>
      </c>
      <c r="M69" s="393">
        <f>'906-6C'!J68</f>
        <v>0</v>
      </c>
    </row>
    <row r="70" spans="1:13" x14ac:dyDescent="0.2">
      <c r="A70"/>
      <c r="B70" s="3340" t="s">
        <v>1086</v>
      </c>
      <c r="C70" s="3340"/>
      <c r="D70" s="3340"/>
      <c r="E70" s="3340"/>
      <c r="F70" s="3340"/>
      <c r="G70" s="3340"/>
      <c r="H70" s="3340"/>
      <c r="I70" s="3340"/>
      <c r="J70" s="393">
        <f>SUM(L70:M70)</f>
        <v>0</v>
      </c>
      <c r="K70" s="395"/>
      <c r="L70" s="393">
        <f>'906-6B'!J69</f>
        <v>0</v>
      </c>
      <c r="M70" s="393">
        <f>'906-6C'!J69</f>
        <v>0</v>
      </c>
    </row>
    <row r="71" spans="1:13" x14ac:dyDescent="0.2">
      <c r="A71"/>
      <c r="B71" s="3340" t="s">
        <v>1087</v>
      </c>
      <c r="C71" s="3340"/>
      <c r="D71" s="3340"/>
      <c r="E71" s="3340"/>
      <c r="F71" s="3340"/>
      <c r="G71" s="3340"/>
      <c r="H71" s="3340"/>
      <c r="I71" s="3340"/>
      <c r="J71" s="706">
        <f>SUM(J69:J70)</f>
        <v>0</v>
      </c>
      <c r="K71" s="395"/>
      <c r="L71" s="706">
        <f>SUM(L69:L70)</f>
        <v>0</v>
      </c>
      <c r="M71" s="706">
        <f>SUM(M69:M70)</f>
        <v>0</v>
      </c>
    </row>
    <row r="72" spans="1:13" x14ac:dyDescent="0.2">
      <c r="A72"/>
      <c r="B72" s="3346" t="s">
        <v>465</v>
      </c>
      <c r="C72" s="3346"/>
      <c r="D72" s="3346"/>
      <c r="E72" s="3346"/>
      <c r="F72" s="3346"/>
      <c r="G72" s="3346"/>
      <c r="H72" s="3346"/>
      <c r="I72" s="3346"/>
      <c r="J72" s="393"/>
      <c r="K72" s="395"/>
      <c r="L72" s="399"/>
      <c r="M72" s="399"/>
    </row>
    <row r="73" spans="1:13" x14ac:dyDescent="0.2">
      <c r="A73"/>
      <c r="B73" s="3340" t="s">
        <v>1088</v>
      </c>
      <c r="C73" s="3340"/>
      <c r="D73" s="3340"/>
      <c r="E73" s="3340"/>
      <c r="F73" s="3340"/>
      <c r="G73" s="3340"/>
      <c r="H73" s="3340"/>
      <c r="I73" s="3340"/>
      <c r="J73" s="393">
        <f>SUM(L73:M73)</f>
        <v>0</v>
      </c>
      <c r="K73" s="395"/>
      <c r="L73" s="393">
        <f>'906-6B'!J72</f>
        <v>0</v>
      </c>
      <c r="M73" s="393">
        <f>'906-6C'!J72</f>
        <v>0</v>
      </c>
    </row>
    <row r="74" spans="1:13" x14ac:dyDescent="0.2">
      <c r="A74"/>
      <c r="B74" s="3340" t="s">
        <v>944</v>
      </c>
      <c r="C74" s="3340"/>
      <c r="D74" s="3340"/>
      <c r="E74" s="3340"/>
      <c r="F74" s="3340"/>
      <c r="G74" s="3340"/>
      <c r="H74" s="3340"/>
      <c r="I74" s="3340"/>
      <c r="J74" s="393">
        <f>SUM(L74:M74)</f>
        <v>0</v>
      </c>
      <c r="K74" s="395"/>
      <c r="L74" s="393">
        <f>'906-6B'!J73</f>
        <v>0</v>
      </c>
      <c r="M74" s="393">
        <f>'906-6C'!J73</f>
        <v>0</v>
      </c>
    </row>
    <row r="75" spans="1:13" x14ac:dyDescent="0.2">
      <c r="A75"/>
      <c r="B75" s="3340" t="s">
        <v>945</v>
      </c>
      <c r="C75" s="3340"/>
      <c r="D75" s="3340"/>
      <c r="E75" s="3340"/>
      <c r="F75" s="3340"/>
      <c r="G75" s="3340"/>
      <c r="H75" s="3340"/>
      <c r="I75" s="3340"/>
      <c r="J75" s="393">
        <f>SUM(L75:M75)</f>
        <v>0</v>
      </c>
      <c r="K75" s="395"/>
      <c r="L75" s="393">
        <f>'906-6B'!J74</f>
        <v>0</v>
      </c>
      <c r="M75" s="393">
        <f>'906-6C'!J74</f>
        <v>0</v>
      </c>
    </row>
    <row r="76" spans="1:13" x14ac:dyDescent="0.2">
      <c r="A76"/>
      <c r="B76" s="3340" t="s">
        <v>503</v>
      </c>
      <c r="C76" s="3340"/>
      <c r="D76" s="3340"/>
      <c r="E76" s="3340"/>
      <c r="F76" s="3340"/>
      <c r="G76" s="3340"/>
      <c r="H76" s="3340"/>
      <c r="I76" s="3340"/>
      <c r="J76" s="706">
        <f>SUM(J73:J75)</f>
        <v>0</v>
      </c>
      <c r="K76" s="395"/>
      <c r="L76" s="706">
        <f>SUM(L73:L75)</f>
        <v>0</v>
      </c>
      <c r="M76" s="706">
        <f>SUM(M73:M75)</f>
        <v>0</v>
      </c>
    </row>
    <row r="77" spans="1:13" x14ac:dyDescent="0.2">
      <c r="A77"/>
      <c r="B77" s="3340" t="s">
        <v>466</v>
      </c>
      <c r="C77" s="3340"/>
      <c r="D77" s="3340"/>
      <c r="E77" s="3340"/>
      <c r="F77" s="3340"/>
      <c r="G77" s="3340"/>
      <c r="H77" s="3340"/>
      <c r="I77" s="3340"/>
      <c r="J77" s="706">
        <f>J67+J71+J76</f>
        <v>0</v>
      </c>
      <c r="K77" s="395"/>
      <c r="L77" s="706">
        <f>L67+L71+L76</f>
        <v>0</v>
      </c>
      <c r="M77" s="706">
        <f>M67+M71+M76</f>
        <v>0</v>
      </c>
    </row>
    <row r="78" spans="1:13" x14ac:dyDescent="0.2">
      <c r="A78"/>
      <c r="B78" s="643"/>
      <c r="C78"/>
      <c r="D78"/>
      <c r="E78"/>
      <c r="F78"/>
      <c r="G78"/>
      <c r="H78"/>
      <c r="I78"/>
      <c r="J78" s="393"/>
      <c r="K78" s="395"/>
      <c r="L78" s="398"/>
      <c r="M78" s="398"/>
    </row>
    <row r="79" spans="1:13" x14ac:dyDescent="0.2">
      <c r="A79"/>
      <c r="B79" s="3345" t="s">
        <v>467</v>
      </c>
      <c r="C79" s="3345"/>
      <c r="D79" s="3345"/>
      <c r="E79" s="3345"/>
      <c r="F79" s="3345"/>
      <c r="G79" s="3345"/>
      <c r="H79" s="3345"/>
      <c r="I79" s="3345"/>
      <c r="J79" s="393"/>
      <c r="K79" s="395"/>
      <c r="L79" s="398"/>
      <c r="M79" s="398"/>
    </row>
    <row r="80" spans="1:13" x14ac:dyDescent="0.2">
      <c r="A80"/>
      <c r="B80" s="3340" t="s">
        <v>1171</v>
      </c>
      <c r="C80" s="3340"/>
      <c r="D80" s="3340"/>
      <c r="E80" s="3340"/>
      <c r="F80" s="3340"/>
      <c r="G80" s="3340"/>
      <c r="H80" s="3340"/>
      <c r="I80" s="3340"/>
      <c r="J80" s="393">
        <f>SUM(L80:M80)</f>
        <v>0</v>
      </c>
      <c r="K80" s="395"/>
      <c r="L80" s="393">
        <f>'906-6B'!J79</f>
        <v>0</v>
      </c>
      <c r="M80" s="393">
        <f>'906-6C'!J79</f>
        <v>0</v>
      </c>
    </row>
    <row r="81" spans="1:13" x14ac:dyDescent="0.2">
      <c r="A81"/>
      <c r="B81" s="3340" t="s">
        <v>468</v>
      </c>
      <c r="C81" s="3340"/>
      <c r="D81" s="3340"/>
      <c r="E81" s="3340"/>
      <c r="F81" s="3340"/>
      <c r="G81" s="3340"/>
      <c r="H81" s="3340"/>
      <c r="I81" s="3340"/>
      <c r="J81" s="393">
        <f>SUM(L81:M81)</f>
        <v>0</v>
      </c>
      <c r="K81" s="395"/>
      <c r="L81" s="393">
        <f>'906-6B'!J80</f>
        <v>0</v>
      </c>
      <c r="M81" s="393">
        <f>'906-6C'!J80</f>
        <v>0</v>
      </c>
    </row>
    <row r="82" spans="1:13" x14ac:dyDescent="0.2">
      <c r="A82"/>
      <c r="B82" s="3340" t="s">
        <v>469</v>
      </c>
      <c r="C82" s="3340"/>
      <c r="D82" s="3340"/>
      <c r="E82" s="3340"/>
      <c r="F82" s="3340"/>
      <c r="G82" s="3340"/>
      <c r="H82" s="3340"/>
      <c r="I82" s="3340"/>
      <c r="J82" s="393">
        <f>SUM(L82:M82)</f>
        <v>0</v>
      </c>
      <c r="K82" s="395"/>
      <c r="L82" s="393">
        <f>'906-6B'!J81</f>
        <v>0</v>
      </c>
      <c r="M82" s="393">
        <f>'906-6C'!J81</f>
        <v>0</v>
      </c>
    </row>
    <row r="83" spans="1:13" x14ac:dyDescent="0.2">
      <c r="A83"/>
      <c r="B83" s="3340" t="s">
        <v>470</v>
      </c>
      <c r="C83" s="3340"/>
      <c r="D83" s="3340"/>
      <c r="E83" s="3340"/>
      <c r="F83" s="3340"/>
      <c r="G83" s="3340"/>
      <c r="H83" s="3340"/>
      <c r="I83" s="3340"/>
      <c r="J83" s="393">
        <f>SUM(L83:M83)</f>
        <v>0</v>
      </c>
      <c r="K83" s="395"/>
      <c r="L83" s="393">
        <f>'906-6B'!J82</f>
        <v>0</v>
      </c>
      <c r="M83" s="393">
        <f>'906-6C'!J82</f>
        <v>0</v>
      </c>
    </row>
    <row r="84" spans="1:13" x14ac:dyDescent="0.2">
      <c r="A84"/>
      <c r="B84" s="3340" t="s">
        <v>504</v>
      </c>
      <c r="C84" s="3340"/>
      <c r="D84" s="3340"/>
      <c r="E84" s="3340"/>
      <c r="F84" s="3340"/>
      <c r="G84" s="3340"/>
      <c r="H84" s="3340"/>
      <c r="I84" s="3340"/>
      <c r="J84" s="706">
        <f>SUM(J80:J83)</f>
        <v>0</v>
      </c>
      <c r="K84" s="395"/>
      <c r="L84" s="706">
        <f>SUM(L80:L83)</f>
        <v>0</v>
      </c>
      <c r="M84" s="706">
        <f>SUM(M80:M83)</f>
        <v>0</v>
      </c>
    </row>
    <row r="85" spans="1:13" x14ac:dyDescent="0.2">
      <c r="A85"/>
      <c r="B85" s="3294" t="s">
        <v>1900</v>
      </c>
      <c r="C85" s="3340"/>
      <c r="D85" s="3340"/>
      <c r="E85" s="3340"/>
      <c r="F85" s="3340"/>
      <c r="G85" s="3340"/>
      <c r="H85" s="3340"/>
      <c r="I85" s="3340"/>
      <c r="J85" s="1252">
        <f>J77-J84</f>
        <v>0</v>
      </c>
      <c r="K85" s="395"/>
      <c r="L85" s="1252">
        <f>L77-L84</f>
        <v>0</v>
      </c>
      <c r="M85" s="1252">
        <f>M77-M84</f>
        <v>0</v>
      </c>
    </row>
    <row r="86" spans="1:13" x14ac:dyDescent="0.2">
      <c r="A86"/>
      <c r="B86" s="3341" t="s">
        <v>1901</v>
      </c>
      <c r="C86" s="3342"/>
      <c r="D86" s="3342"/>
      <c r="E86" s="3342"/>
      <c r="F86" s="3342"/>
      <c r="G86" s="3342"/>
      <c r="H86" s="3342"/>
      <c r="I86" s="3342"/>
      <c r="J86" s="393">
        <f>SUM(L86:M86)</f>
        <v>14891604872.32</v>
      </c>
      <c r="K86" s="395"/>
      <c r="L86" s="393">
        <f>'906-6B'!J85</f>
        <v>1796027273.3099999</v>
      </c>
      <c r="M86" s="393">
        <f>'906-6C'!J85</f>
        <v>13095577599.01</v>
      </c>
    </row>
    <row r="87" spans="1:13" x14ac:dyDescent="0.2">
      <c r="A87"/>
      <c r="B87" s="3342" t="s">
        <v>645</v>
      </c>
      <c r="C87" s="3342"/>
      <c r="D87" s="3342"/>
      <c r="E87" s="3342"/>
      <c r="F87" s="3342"/>
      <c r="G87" s="3342"/>
      <c r="H87" s="3342"/>
      <c r="I87" s="3342"/>
      <c r="J87" s="393">
        <f>SUM(L87:M87)</f>
        <v>0</v>
      </c>
      <c r="K87" s="395"/>
      <c r="L87" s="393">
        <f>'906-6B'!J86</f>
        <v>0</v>
      </c>
      <c r="M87" s="393">
        <f>'906-6C'!J86</f>
        <v>0</v>
      </c>
    </row>
    <row r="88" spans="1:13" ht="13.5" thickBot="1" x14ac:dyDescent="0.25">
      <c r="A88"/>
      <c r="B88" s="3341" t="s">
        <v>1902</v>
      </c>
      <c r="C88" s="3342"/>
      <c r="D88" s="3342"/>
      <c r="E88" s="3342"/>
      <c r="F88" s="3342"/>
      <c r="G88" s="3342"/>
      <c r="H88" s="3342"/>
      <c r="I88" s="3342"/>
      <c r="J88" s="708">
        <f>SUM(J85:J87)</f>
        <v>14891604872.32</v>
      </c>
      <c r="K88" s="395"/>
      <c r="L88" s="708">
        <f>SUM(L85:L87)</f>
        <v>1796027273.3099999</v>
      </c>
      <c r="M88" s="708">
        <f>SUM(M85:M87)</f>
        <v>13095577599.01</v>
      </c>
    </row>
    <row r="89" spans="1:13" ht="13.5" thickTop="1" x14ac:dyDescent="0.2">
      <c r="A89"/>
      <c r="B89"/>
      <c r="C89"/>
      <c r="D89"/>
      <c r="E89"/>
      <c r="F89"/>
      <c r="G89"/>
      <c r="H89"/>
      <c r="I89"/>
      <c r="J89" s="393"/>
      <c r="K89" s="403"/>
      <c r="L89" s="403"/>
      <c r="M89" s="403"/>
    </row>
    <row r="90" spans="1:13" x14ac:dyDescent="0.2">
      <c r="A90"/>
      <c r="B90"/>
      <c r="C90"/>
      <c r="D90"/>
      <c r="E90"/>
      <c r="F90"/>
      <c r="G90"/>
      <c r="H90"/>
      <c r="I90"/>
      <c r="J90" s="393"/>
      <c r="K90" s="335"/>
      <c r="L90" s="335"/>
      <c r="M90" s="335"/>
    </row>
    <row r="91" spans="1:13" x14ac:dyDescent="0.2">
      <c r="A91"/>
      <c r="B91" s="3343" t="s">
        <v>1954</v>
      </c>
      <c r="C91" s="3344"/>
      <c r="D91" s="3344"/>
      <c r="E91" s="3344"/>
      <c r="F91" s="3344"/>
      <c r="G91" s="3344"/>
      <c r="H91" s="3344"/>
      <c r="I91" s="3344"/>
      <c r="J91" s="1258" t="str">
        <f>IF(ROUND(J57-J88,2)=0,"In Balance","NOT BALANCED")</f>
        <v>NOT BALANCED</v>
      </c>
      <c r="K91" s="399"/>
      <c r="L91" s="1258" t="str">
        <f>IF(ROUND(L57-L88,2)=0,"In Balance","NOT BALANCED")</f>
        <v>NOT BALANCED</v>
      </c>
      <c r="M91" s="1258" t="str">
        <f>IF(ROUND(M57-M88,2)=0,"In Balance","NOT BALANCED")</f>
        <v>NOT BALANCED</v>
      </c>
    </row>
    <row r="92" spans="1:13" x14ac:dyDescent="0.2">
      <c r="B92"/>
      <c r="C92"/>
      <c r="D92"/>
      <c r="E92"/>
      <c r="F92"/>
      <c r="G92"/>
      <c r="H92"/>
      <c r="I92"/>
      <c r="J92" s="393"/>
      <c r="K92" s="399"/>
      <c r="L92" s="399"/>
      <c r="M92" s="399"/>
    </row>
    <row r="93" spans="1:13" x14ac:dyDescent="0.2">
      <c r="B93" s="1201"/>
      <c r="J93" s="701"/>
      <c r="K93" s="1296"/>
      <c r="L93" s="701"/>
      <c r="M93" s="701"/>
    </row>
    <row r="94" spans="1:13" x14ac:dyDescent="0.2">
      <c r="K94" s="691"/>
      <c r="L94" s="691"/>
      <c r="M94" s="691"/>
    </row>
    <row r="95" spans="1:13" x14ac:dyDescent="0.2">
      <c r="K95" s="691"/>
      <c r="L95" s="691"/>
      <c r="M95" s="691"/>
    </row>
    <row r="96" spans="1:13" x14ac:dyDescent="0.2">
      <c r="K96" s="691"/>
      <c r="L96" s="691"/>
      <c r="M96" s="691"/>
    </row>
    <row r="97" spans="11:13" x14ac:dyDescent="0.2">
      <c r="K97" s="691"/>
      <c r="L97" s="691"/>
      <c r="M97" s="691"/>
    </row>
    <row r="98" spans="11:13" x14ac:dyDescent="0.2">
      <c r="K98" s="691"/>
      <c r="L98" s="691"/>
      <c r="M98" s="691"/>
    </row>
    <row r="99" spans="11:13" x14ac:dyDescent="0.2">
      <c r="K99" s="691"/>
      <c r="L99" s="691"/>
      <c r="M99" s="691"/>
    </row>
    <row r="100" spans="11:13" x14ac:dyDescent="0.2">
      <c r="K100" s="691"/>
      <c r="L100" s="691"/>
      <c r="M100" s="691"/>
    </row>
    <row r="101" spans="11:13" x14ac:dyDescent="0.2">
      <c r="K101" s="691"/>
      <c r="L101" s="691"/>
      <c r="M101" s="691"/>
    </row>
    <row r="102" spans="11:13" x14ac:dyDescent="0.2">
      <c r="K102" s="691"/>
      <c r="L102" s="691"/>
      <c r="M102" s="691"/>
    </row>
    <row r="103" spans="11:13" x14ac:dyDescent="0.2">
      <c r="K103" s="692"/>
      <c r="L103" s="692"/>
      <c r="M103" s="692"/>
    </row>
    <row r="104" spans="11:13" x14ac:dyDescent="0.2">
      <c r="K104" s="688"/>
      <c r="L104" s="688"/>
      <c r="M104" s="688"/>
    </row>
    <row r="105" spans="11:13" x14ac:dyDescent="0.2">
      <c r="K105" s="691"/>
      <c r="L105" s="691"/>
      <c r="M105" s="691"/>
    </row>
    <row r="106" spans="11:13" x14ac:dyDescent="0.2">
      <c r="K106" s="692"/>
      <c r="L106" s="692"/>
      <c r="M106" s="692"/>
    </row>
    <row r="107" spans="11:13" x14ac:dyDescent="0.2">
      <c r="K107" s="692"/>
      <c r="L107" s="692"/>
      <c r="M107" s="692"/>
    </row>
    <row r="108" spans="11:13" x14ac:dyDescent="0.2">
      <c r="K108" s="691"/>
      <c r="L108" s="691"/>
      <c r="M108" s="691"/>
    </row>
    <row r="109" spans="11:13" x14ac:dyDescent="0.2">
      <c r="K109" s="692"/>
      <c r="L109" s="692"/>
      <c r="M109" s="692"/>
    </row>
    <row r="110" spans="11:13" x14ac:dyDescent="0.2">
      <c r="K110" s="691"/>
      <c r="L110" s="691"/>
      <c r="M110" s="691"/>
    </row>
    <row r="111" spans="11:13" x14ac:dyDescent="0.2">
      <c r="K111" s="691"/>
      <c r="L111" s="691"/>
      <c r="M111" s="691"/>
    </row>
    <row r="112" spans="11:13" x14ac:dyDescent="0.2">
      <c r="K112" s="691"/>
      <c r="L112" s="691"/>
      <c r="M112" s="691"/>
    </row>
    <row r="113" spans="11:13" x14ac:dyDescent="0.2">
      <c r="K113" s="691"/>
      <c r="L113" s="691"/>
      <c r="M113" s="691"/>
    </row>
    <row r="114" spans="11:13" x14ac:dyDescent="0.2">
      <c r="K114" s="691"/>
      <c r="L114" s="691"/>
      <c r="M114" s="691"/>
    </row>
    <row r="115" spans="11:13" x14ac:dyDescent="0.2">
      <c r="K115" s="691"/>
      <c r="L115" s="691"/>
      <c r="M115" s="691"/>
    </row>
    <row r="116" spans="11:13" x14ac:dyDescent="0.2">
      <c r="K116" s="691"/>
      <c r="L116" s="691"/>
      <c r="M116" s="691"/>
    </row>
    <row r="117" spans="11:13" x14ac:dyDescent="0.2">
      <c r="K117" s="691"/>
      <c r="L117" s="691"/>
      <c r="M117" s="691"/>
    </row>
    <row r="118" spans="11:13" x14ac:dyDescent="0.2">
      <c r="K118" s="672"/>
      <c r="L118" s="672"/>
      <c r="M118" s="672"/>
    </row>
    <row r="119" spans="11:13" x14ac:dyDescent="0.2">
      <c r="K119" s="672"/>
      <c r="L119" s="672"/>
      <c r="M119" s="672"/>
    </row>
    <row r="121" spans="11:13" x14ac:dyDescent="0.2">
      <c r="K121" s="703"/>
      <c r="L121" s="703"/>
      <c r="M121" s="703"/>
    </row>
    <row r="122" spans="11:13" x14ac:dyDescent="0.2">
      <c r="K122" s="703"/>
      <c r="L122" s="703"/>
      <c r="M122" s="703"/>
    </row>
    <row r="123" spans="11:13" x14ac:dyDescent="0.2">
      <c r="K123" s="703"/>
      <c r="L123" s="703"/>
      <c r="M123" s="703"/>
    </row>
    <row r="124" spans="11:13" x14ac:dyDescent="0.2">
      <c r="K124" s="703"/>
      <c r="L124" s="703"/>
      <c r="M124" s="703"/>
    </row>
    <row r="125" spans="11:13" x14ac:dyDescent="0.2">
      <c r="K125" s="691"/>
      <c r="L125" s="691"/>
      <c r="M125" s="691"/>
    </row>
    <row r="126" spans="11:13" x14ac:dyDescent="0.2">
      <c r="K126" s="705"/>
      <c r="L126" s="705"/>
      <c r="M126" s="705"/>
    </row>
    <row r="127" spans="11:13" x14ac:dyDescent="0.2">
      <c r="K127" s="691"/>
      <c r="L127" s="691"/>
      <c r="M127" s="691"/>
    </row>
    <row r="128" spans="11:13" x14ac:dyDescent="0.2">
      <c r="K128" s="691"/>
      <c r="L128" s="691"/>
      <c r="M128" s="691"/>
    </row>
    <row r="129" spans="11:13" x14ac:dyDescent="0.2">
      <c r="K129" s="691"/>
      <c r="L129" s="691"/>
      <c r="M129" s="691"/>
    </row>
    <row r="130" spans="11:13" x14ac:dyDescent="0.2">
      <c r="K130" s="691"/>
      <c r="L130" s="691"/>
      <c r="M130" s="691"/>
    </row>
    <row r="131" spans="11:13" x14ac:dyDescent="0.2">
      <c r="K131" s="691"/>
      <c r="L131" s="691"/>
      <c r="M131" s="691"/>
    </row>
    <row r="132" spans="11:13" x14ac:dyDescent="0.2">
      <c r="K132" s="691"/>
      <c r="L132" s="691"/>
      <c r="M132" s="691"/>
    </row>
    <row r="133" spans="11:13" x14ac:dyDescent="0.2">
      <c r="K133" s="691"/>
      <c r="L133" s="691"/>
      <c r="M133" s="691"/>
    </row>
    <row r="134" spans="11:13" x14ac:dyDescent="0.2">
      <c r="K134" s="691"/>
      <c r="L134" s="691"/>
      <c r="M134" s="691"/>
    </row>
    <row r="135" spans="11:13" x14ac:dyDescent="0.2">
      <c r="K135" s="691"/>
      <c r="L135" s="691"/>
      <c r="M135" s="691"/>
    </row>
    <row r="136" spans="11:13" x14ac:dyDescent="0.2">
      <c r="K136" s="705"/>
      <c r="L136" s="705"/>
      <c r="M136" s="705"/>
    </row>
    <row r="137" spans="11:13" x14ac:dyDescent="0.2">
      <c r="K137" s="691"/>
      <c r="L137" s="691"/>
      <c r="M137" s="691"/>
    </row>
    <row r="138" spans="11:13" x14ac:dyDescent="0.2">
      <c r="K138" s="691"/>
      <c r="L138" s="691"/>
      <c r="M138" s="691"/>
    </row>
    <row r="139" spans="11:13" x14ac:dyDescent="0.2">
      <c r="K139" s="691"/>
      <c r="L139" s="691"/>
      <c r="M139" s="691"/>
    </row>
    <row r="140" spans="11:13" x14ac:dyDescent="0.2">
      <c r="K140" s="691"/>
      <c r="L140" s="691"/>
      <c r="M140" s="691"/>
    </row>
    <row r="141" spans="11:13" x14ac:dyDescent="0.2">
      <c r="K141" s="691"/>
      <c r="L141" s="691"/>
      <c r="M141" s="691"/>
    </row>
    <row r="142" spans="11:13" x14ac:dyDescent="0.2">
      <c r="K142" s="691"/>
      <c r="L142" s="691"/>
      <c r="M142" s="691"/>
    </row>
    <row r="143" spans="11:13" x14ac:dyDescent="0.2">
      <c r="K143" s="691"/>
      <c r="L143" s="691"/>
      <c r="M143" s="691"/>
    </row>
    <row r="144" spans="11:13" x14ac:dyDescent="0.2">
      <c r="K144" s="691"/>
      <c r="L144" s="691"/>
      <c r="M144" s="691"/>
    </row>
    <row r="145" spans="11:13" x14ac:dyDescent="0.2">
      <c r="K145" s="691"/>
      <c r="L145" s="691"/>
      <c r="M145" s="691"/>
    </row>
    <row r="146" spans="11:13" x14ac:dyDescent="0.2">
      <c r="K146" s="691"/>
      <c r="L146" s="691"/>
      <c r="M146" s="691"/>
    </row>
    <row r="147" spans="11:13" x14ac:dyDescent="0.2">
      <c r="K147" s="691"/>
      <c r="L147" s="691"/>
      <c r="M147" s="691"/>
    </row>
    <row r="148" spans="11:13" x14ac:dyDescent="0.2">
      <c r="K148" s="688"/>
      <c r="L148" s="688"/>
      <c r="M148" s="688"/>
    </row>
    <row r="149" spans="11:13" x14ac:dyDescent="0.2">
      <c r="K149" s="691"/>
      <c r="L149" s="691"/>
      <c r="M149" s="691"/>
    </row>
    <row r="150" spans="11:13" x14ac:dyDescent="0.2">
      <c r="K150" s="691"/>
      <c r="L150" s="691"/>
      <c r="M150" s="691"/>
    </row>
    <row r="151" spans="11:13" x14ac:dyDescent="0.2">
      <c r="K151" s="691"/>
      <c r="L151" s="691"/>
      <c r="M151" s="691"/>
    </row>
    <row r="152" spans="11:13" x14ac:dyDescent="0.2">
      <c r="K152" s="691"/>
      <c r="L152" s="691"/>
      <c r="M152" s="691"/>
    </row>
    <row r="153" spans="11:13" x14ac:dyDescent="0.2">
      <c r="K153" s="691"/>
      <c r="L153" s="691"/>
      <c r="M153" s="691"/>
    </row>
    <row r="154" spans="11:13" x14ac:dyDescent="0.2">
      <c r="K154" s="691"/>
      <c r="L154" s="691"/>
      <c r="M154" s="691"/>
    </row>
    <row r="155" spans="11:13" x14ac:dyDescent="0.2">
      <c r="K155" s="691"/>
      <c r="L155" s="691"/>
      <c r="M155" s="691"/>
    </row>
    <row r="156" spans="11:13" x14ac:dyDescent="0.2">
      <c r="K156" s="691"/>
      <c r="L156" s="691"/>
      <c r="M156" s="691"/>
    </row>
    <row r="157" spans="11:13" x14ac:dyDescent="0.2">
      <c r="K157" s="691"/>
      <c r="L157" s="691"/>
      <c r="M157" s="691"/>
    </row>
    <row r="158" spans="11:13" x14ac:dyDescent="0.2">
      <c r="K158" s="691"/>
      <c r="L158" s="691"/>
      <c r="M158" s="691"/>
    </row>
    <row r="159" spans="11:13" x14ac:dyDescent="0.2">
      <c r="K159" s="691"/>
      <c r="L159" s="691"/>
      <c r="M159" s="691"/>
    </row>
    <row r="160" spans="11:13" x14ac:dyDescent="0.2">
      <c r="K160" s="691"/>
      <c r="L160" s="691"/>
      <c r="M160" s="691"/>
    </row>
    <row r="161" spans="11:13" x14ac:dyDescent="0.2">
      <c r="K161" s="691"/>
      <c r="L161" s="691"/>
      <c r="M161" s="691"/>
    </row>
    <row r="162" spans="11:13" x14ac:dyDescent="0.2">
      <c r="K162" s="691"/>
      <c r="L162" s="691"/>
      <c r="M162" s="691"/>
    </row>
    <row r="163" spans="11:13" x14ac:dyDescent="0.2">
      <c r="K163" s="691"/>
      <c r="L163" s="691"/>
      <c r="M163" s="691"/>
    </row>
    <row r="164" spans="11:13" x14ac:dyDescent="0.2">
      <c r="K164" s="691"/>
      <c r="L164" s="691"/>
      <c r="M164" s="691"/>
    </row>
    <row r="165" spans="11:13" x14ac:dyDescent="0.2">
      <c r="K165" s="691"/>
      <c r="L165" s="691"/>
      <c r="M165" s="691"/>
    </row>
    <row r="166" spans="11:13" x14ac:dyDescent="0.2">
      <c r="K166" s="691"/>
      <c r="L166" s="691"/>
      <c r="M166" s="691"/>
    </row>
    <row r="167" spans="11:13" x14ac:dyDescent="0.2">
      <c r="K167" s="691"/>
      <c r="L167" s="691"/>
      <c r="M167" s="691"/>
    </row>
    <row r="168" spans="11:13" x14ac:dyDescent="0.2">
      <c r="K168" s="691"/>
      <c r="L168" s="691"/>
      <c r="M168" s="691"/>
    </row>
    <row r="169" spans="11:13" x14ac:dyDescent="0.2">
      <c r="K169" s="691"/>
      <c r="L169" s="691"/>
      <c r="M169" s="691"/>
    </row>
    <row r="170" spans="11:13" x14ac:dyDescent="0.2">
      <c r="K170" s="691"/>
      <c r="L170" s="691"/>
      <c r="M170" s="691"/>
    </row>
  </sheetData>
  <sheetProtection algorithmName="SHA-512" hashValue="XO47iQBeyRI3GFwDMEdWghAEKYv2sIJGQr4obVd7jfZOaaRrwfITPZp5nLRF+etdF9NLR0T3H51O1Dzo6Xwv+A==" saltValue="LzAr98JGGw4Go3p06QlZiA==" spinCount="100000" sheet="1" objects="1" scenarios="1" autoFilter="0"/>
  <mergeCells count="74">
    <mergeCell ref="B1:J1"/>
    <mergeCell ref="B2:J2"/>
    <mergeCell ref="B3:J3"/>
    <mergeCell ref="H5:J5"/>
    <mergeCell ref="D6:G6"/>
    <mergeCell ref="G7:J7"/>
    <mergeCell ref="B11:I11"/>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6:I56"/>
    <mergeCell ref="B57:I57"/>
    <mergeCell ref="B59:I59"/>
    <mergeCell ref="B62:I62"/>
    <mergeCell ref="B55:I55"/>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9:I79"/>
    <mergeCell ref="B80:I80"/>
    <mergeCell ref="B81:I81"/>
    <mergeCell ref="B88:I88"/>
    <mergeCell ref="B91:I91"/>
    <mergeCell ref="B82:I82"/>
    <mergeCell ref="B83:I83"/>
    <mergeCell ref="B84:I84"/>
    <mergeCell ref="B85:I85"/>
    <mergeCell ref="B86:I86"/>
    <mergeCell ref="B87:I87"/>
  </mergeCells>
  <conditionalFormatting sqref="K1:K3">
    <cfRule type="cellIs" dxfId="8"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1"/>
  <sheetViews>
    <sheetView showGridLines="0" topLeftCell="A21" zoomScaleNormal="100" workbookViewId="0">
      <selection activeCell="G60" sqref="G60"/>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393" customWidth="1"/>
    <col min="9" max="9" width="17.5703125" bestFit="1" customWidth="1"/>
    <col min="10" max="10" width="0.5703125" customWidth="1"/>
    <col min="11" max="11" width="18.5703125" bestFit="1" customWidth="1"/>
    <col min="12" max="12" width="4.5703125" customWidth="1"/>
  </cols>
  <sheetData>
    <row r="1" spans="1:21" ht="15.75" x14ac:dyDescent="0.25">
      <c r="A1" s="2767" t="str">
        <f>+Index!$A$1</f>
        <v xml:space="preserve">                                                               Office of the State Controller                                                                </v>
      </c>
      <c r="B1" s="2767"/>
      <c r="C1" s="2767"/>
      <c r="D1" s="2767"/>
      <c r="E1" s="2767"/>
      <c r="F1" s="2767"/>
      <c r="G1" s="2767"/>
      <c r="H1" s="2767"/>
      <c r="I1" s="2767"/>
      <c r="J1" s="2767"/>
      <c r="K1" s="2767"/>
      <c r="L1" s="2768" t="str">
        <f>IF(Index!$B$107="na","NA","")</f>
        <v/>
      </c>
      <c r="M1" s="622"/>
      <c r="N1" s="622"/>
      <c r="O1" s="622"/>
      <c r="P1" s="622"/>
      <c r="Q1" s="622"/>
      <c r="R1" s="622"/>
      <c r="S1" s="622"/>
      <c r="T1" s="622"/>
    </row>
    <row r="2" spans="1:21" ht="16.5" x14ac:dyDescent="0.3">
      <c r="A2" s="2749" t="str">
        <f>+Index!$A$2</f>
        <v>2022 ACFR Worksheets</v>
      </c>
      <c r="B2" s="2749"/>
      <c r="C2" s="2749"/>
      <c r="D2" s="2749"/>
      <c r="E2" s="2749"/>
      <c r="F2" s="2749"/>
      <c r="G2" s="2749"/>
      <c r="H2" s="2749"/>
      <c r="I2" s="2749"/>
      <c r="J2" s="2749"/>
      <c r="K2" s="2749"/>
      <c r="L2" s="2768"/>
      <c r="M2" s="632"/>
      <c r="N2" s="632"/>
      <c r="O2" s="632"/>
      <c r="P2" s="632"/>
      <c r="Q2" s="632"/>
      <c r="R2" s="632"/>
      <c r="S2" s="632"/>
      <c r="T2" s="632"/>
    </row>
    <row r="3" spans="1:21" ht="16.5" x14ac:dyDescent="0.3">
      <c r="A3" s="3327" t="s">
        <v>4891</v>
      </c>
      <c r="B3" s="3327"/>
      <c r="C3" s="3327"/>
      <c r="D3" s="3327"/>
      <c r="E3" s="3327"/>
      <c r="F3" s="3327"/>
      <c r="G3" s="3327"/>
      <c r="H3" s="3327"/>
      <c r="I3" s="3327"/>
      <c r="J3" s="3327"/>
      <c r="K3" s="3327"/>
      <c r="L3" s="2768"/>
      <c r="M3" s="632"/>
      <c r="N3" s="632"/>
      <c r="O3" s="632"/>
      <c r="P3" s="632"/>
      <c r="Q3" s="632"/>
      <c r="R3" s="632"/>
      <c r="S3" s="632"/>
      <c r="T3" s="632"/>
    </row>
    <row r="4" spans="1:21" s="2074" customFormat="1" ht="16.5" customHeight="1" x14ac:dyDescent="0.3">
      <c r="A4" s="3327" t="s">
        <v>5404</v>
      </c>
      <c r="B4" s="3327"/>
      <c r="C4" s="3327"/>
      <c r="D4" s="3327"/>
      <c r="E4" s="3327"/>
      <c r="F4" s="3327"/>
      <c r="G4" s="3327"/>
      <c r="H4" s="3327"/>
      <c r="I4" s="3327"/>
      <c r="J4" s="3327"/>
      <c r="K4" s="3327"/>
      <c r="L4" s="2075"/>
      <c r="M4" s="632"/>
      <c r="N4" s="632"/>
      <c r="O4" s="632"/>
      <c r="P4" s="632"/>
      <c r="Q4" s="632"/>
      <c r="R4" s="632"/>
      <c r="S4" s="632"/>
      <c r="T4" s="632"/>
    </row>
    <row r="6" spans="1:21" s="200" customFormat="1" ht="15" customHeight="1" x14ac:dyDescent="0.2">
      <c r="A6" s="200" t="s">
        <v>327</v>
      </c>
      <c r="C6" s="639" t="str">
        <f>+Index!$E$10</f>
        <v>01</v>
      </c>
      <c r="D6" s="635"/>
      <c r="G6" s="806" t="s">
        <v>972</v>
      </c>
      <c r="H6" s="3311" t="str">
        <f>+CONCATENATE(Index!$E$12," ",Index!$E$14)</f>
        <v xml:space="preserve"> </v>
      </c>
      <c r="I6" s="3353"/>
      <c r="J6" s="3353"/>
      <c r="K6" s="3353"/>
      <c r="M6" s="633"/>
      <c r="U6" s="199"/>
    </row>
    <row r="7" spans="1:21" s="200" customFormat="1" ht="15" customHeight="1" x14ac:dyDescent="0.2">
      <c r="A7" s="200" t="s">
        <v>1154</v>
      </c>
      <c r="C7" s="3326" t="str">
        <f>+Index!$E$11</f>
        <v>North Carolina General Assembly</v>
      </c>
      <c r="D7" s="3326"/>
      <c r="E7" s="3326"/>
      <c r="M7" s="634"/>
      <c r="N7" s="634"/>
      <c r="O7" s="634"/>
      <c r="P7" s="634"/>
      <c r="Q7" s="634"/>
      <c r="R7" s="634"/>
      <c r="S7" s="634"/>
      <c r="T7" s="201"/>
      <c r="U7" s="199"/>
    </row>
    <row r="8" spans="1:21" s="200" customFormat="1" ht="15" customHeight="1" x14ac:dyDescent="0.2">
      <c r="A8" s="200" t="s">
        <v>477</v>
      </c>
      <c r="C8" s="640"/>
      <c r="G8" s="806" t="s">
        <v>348</v>
      </c>
      <c r="I8" s="3320">
        <f>+Index!$E$13</f>
        <v>0</v>
      </c>
      <c r="J8" s="3320"/>
      <c r="K8" s="3320"/>
      <c r="L8" s="678"/>
      <c r="U8" s="199"/>
    </row>
    <row r="9" spans="1:21" s="38" customFormat="1" ht="6" customHeight="1" thickBot="1" x14ac:dyDescent="0.25">
      <c r="A9" s="129"/>
      <c r="B9" s="129"/>
      <c r="C9" s="129"/>
      <c r="D9" s="129"/>
      <c r="E9" s="129"/>
      <c r="F9" s="129"/>
      <c r="G9" s="129"/>
      <c r="H9" s="129"/>
      <c r="I9" s="129"/>
      <c r="J9" s="129"/>
      <c r="K9" s="129"/>
    </row>
    <row r="10" spans="1:21" ht="6" customHeight="1" x14ac:dyDescent="0.2">
      <c r="H10"/>
    </row>
    <row r="11" spans="1:21" ht="25.5" x14ac:dyDescent="0.2">
      <c r="A11" s="2220"/>
      <c r="B11" s="2220"/>
      <c r="C11" s="2220"/>
      <c r="D11" s="2220"/>
      <c r="E11" s="2220"/>
      <c r="F11" s="2222"/>
      <c r="G11" s="2228" t="s">
        <v>5405</v>
      </c>
      <c r="H11" s="2217"/>
      <c r="I11" s="2216"/>
      <c r="J11" s="2216"/>
      <c r="K11" s="2216"/>
      <c r="L11" s="2216"/>
      <c r="M11" s="2216"/>
      <c r="N11" s="2216"/>
      <c r="O11" s="2216"/>
      <c r="P11" s="2216"/>
      <c r="Q11" s="2216"/>
      <c r="R11" s="2216"/>
    </row>
    <row r="12" spans="1:21" x14ac:dyDescent="0.2">
      <c r="A12" s="2221" t="s">
        <v>303</v>
      </c>
      <c r="B12" s="2220"/>
      <c r="C12" s="2220"/>
      <c r="D12" s="2220"/>
      <c r="E12" s="2220"/>
      <c r="F12" s="2220"/>
      <c r="G12" s="2224"/>
      <c r="H12" s="2219"/>
      <c r="I12" s="2216"/>
      <c r="J12" s="2216"/>
      <c r="K12" s="2216"/>
      <c r="L12" s="2216"/>
      <c r="M12" s="2216"/>
      <c r="N12" s="2216"/>
      <c r="O12" s="2216"/>
      <c r="P12" s="2216"/>
      <c r="Q12" s="2216"/>
      <c r="R12" s="2216"/>
    </row>
    <row r="13" spans="1:21" x14ac:dyDescent="0.2">
      <c r="A13" s="2220" t="s">
        <v>4841</v>
      </c>
      <c r="B13" s="2220"/>
      <c r="C13" s="2220"/>
      <c r="D13" s="2220"/>
      <c r="E13" s="2220"/>
      <c r="F13" s="2220"/>
      <c r="G13" s="2229">
        <v>0</v>
      </c>
      <c r="H13" s="2217"/>
      <c r="I13" s="2216"/>
      <c r="J13" s="2216"/>
      <c r="K13" s="2216"/>
      <c r="L13" s="2216"/>
      <c r="M13" s="2216"/>
      <c r="N13" s="2216"/>
      <c r="O13" s="2216"/>
      <c r="P13" s="2216"/>
      <c r="Q13" s="2216"/>
      <c r="R13" s="2216"/>
    </row>
    <row r="14" spans="1:21" x14ac:dyDescent="0.2">
      <c r="A14" s="2220" t="s">
        <v>483</v>
      </c>
      <c r="B14" s="2220"/>
      <c r="C14" s="2220"/>
      <c r="D14" s="2220"/>
      <c r="E14" s="2220"/>
      <c r="F14" s="2220"/>
      <c r="G14" s="2225" t="s">
        <v>973</v>
      </c>
      <c r="H14" s="2217"/>
      <c r="I14" s="2216"/>
      <c r="J14" s="2216"/>
      <c r="K14" s="2216"/>
      <c r="L14" s="2216"/>
      <c r="M14" s="2216"/>
      <c r="N14" s="2216"/>
      <c r="O14" s="2216"/>
      <c r="P14" s="2216"/>
      <c r="Q14" s="2216"/>
      <c r="R14" s="2216"/>
    </row>
    <row r="15" spans="1:21" x14ac:dyDescent="0.2">
      <c r="A15" s="2220" t="s">
        <v>487</v>
      </c>
      <c r="B15" s="2220"/>
      <c r="C15" s="2220"/>
      <c r="D15" s="2220"/>
      <c r="E15" s="2220"/>
      <c r="F15" s="2220"/>
      <c r="G15" s="2229">
        <v>0</v>
      </c>
      <c r="H15" s="2217"/>
      <c r="I15" s="2216"/>
      <c r="J15" s="2216"/>
      <c r="K15" s="2216"/>
      <c r="L15" s="2216"/>
      <c r="M15" s="2216"/>
      <c r="N15" s="2216"/>
      <c r="O15" s="2216"/>
      <c r="P15" s="2216"/>
      <c r="Q15" s="2216"/>
      <c r="R15" s="2216"/>
    </row>
    <row r="16" spans="1:21" x14ac:dyDescent="0.2">
      <c r="A16" s="2220" t="s">
        <v>488</v>
      </c>
      <c r="B16" s="2220"/>
      <c r="C16" s="2220"/>
      <c r="D16" s="2220"/>
      <c r="E16" s="2220"/>
      <c r="F16" s="2220"/>
      <c r="G16" s="2229">
        <v>0</v>
      </c>
      <c r="H16" s="2217"/>
      <c r="I16" s="2216"/>
      <c r="J16" s="2216"/>
      <c r="K16" s="2216"/>
      <c r="L16" s="2216"/>
      <c r="M16" s="2216"/>
      <c r="N16" s="2216"/>
      <c r="O16" s="2216"/>
      <c r="P16" s="2216"/>
      <c r="Q16" s="2216"/>
      <c r="R16" s="2216"/>
    </row>
    <row r="17" spans="1:8" x14ac:dyDescent="0.2">
      <c r="A17" s="2220" t="s">
        <v>489</v>
      </c>
      <c r="B17" s="2220"/>
      <c r="C17" s="2220"/>
      <c r="D17" s="2220"/>
      <c r="E17" s="2220"/>
      <c r="F17" s="2220"/>
      <c r="G17" s="2229">
        <v>0</v>
      </c>
      <c r="H17" s="2217"/>
    </row>
    <row r="18" spans="1:8" x14ac:dyDescent="0.2">
      <c r="A18" s="2220" t="s">
        <v>490</v>
      </c>
      <c r="B18" s="2220"/>
      <c r="C18" s="2220"/>
      <c r="D18" s="2220"/>
      <c r="E18" s="2220"/>
      <c r="F18" s="2220"/>
      <c r="G18" s="2229">
        <v>0</v>
      </c>
      <c r="H18" s="2217"/>
    </row>
    <row r="19" spans="1:8" x14ac:dyDescent="0.2">
      <c r="A19" s="2220" t="s">
        <v>491</v>
      </c>
      <c r="B19" s="2220"/>
      <c r="C19" s="2220"/>
      <c r="D19" s="2220"/>
      <c r="E19" s="2220"/>
      <c r="F19" s="2220"/>
      <c r="G19" s="2229">
        <v>0</v>
      </c>
      <c r="H19" s="2217"/>
    </row>
    <row r="20" spans="1:8" x14ac:dyDescent="0.2">
      <c r="A20" s="2220" t="s">
        <v>492</v>
      </c>
      <c r="B20" s="2220"/>
      <c r="C20" s="2220"/>
      <c r="D20" s="2220"/>
      <c r="E20" s="2220"/>
      <c r="F20" s="2220"/>
      <c r="G20" s="2229">
        <v>0</v>
      </c>
      <c r="H20" s="2217"/>
    </row>
    <row r="21" spans="1:8" x14ac:dyDescent="0.2">
      <c r="A21" s="2220" t="s">
        <v>493</v>
      </c>
      <c r="B21" s="2220"/>
      <c r="C21" s="2220"/>
      <c r="D21" s="2220"/>
      <c r="E21" s="2220"/>
      <c r="F21" s="2220"/>
      <c r="G21" s="2229">
        <v>0</v>
      </c>
      <c r="H21" s="2217"/>
    </row>
    <row r="22" spans="1:8" x14ac:dyDescent="0.2">
      <c r="A22" s="2220" t="s">
        <v>494</v>
      </c>
      <c r="B22" s="2220"/>
      <c r="C22" s="2220"/>
      <c r="D22" s="2220"/>
      <c r="E22" s="2220"/>
      <c r="F22" s="2220"/>
      <c r="G22" s="2229">
        <v>0</v>
      </c>
      <c r="H22" s="2217"/>
    </row>
    <row r="23" spans="1:8" x14ac:dyDescent="0.2">
      <c r="A23" s="2220" t="s">
        <v>495</v>
      </c>
      <c r="B23" s="2220"/>
      <c r="C23" s="2220"/>
      <c r="D23" s="2220"/>
      <c r="E23" s="2220"/>
      <c r="F23" s="2220"/>
      <c r="G23" s="2229">
        <v>0</v>
      </c>
      <c r="H23" s="2217"/>
    </row>
    <row r="24" spans="1:8" x14ac:dyDescent="0.2">
      <c r="A24" s="2220" t="s">
        <v>198</v>
      </c>
      <c r="B24" s="2220"/>
      <c r="C24" s="2220"/>
      <c r="D24" s="2220"/>
      <c r="E24" s="2220"/>
      <c r="F24" s="2220"/>
      <c r="G24" s="2225" t="s">
        <v>973</v>
      </c>
      <c r="H24" s="2217"/>
    </row>
    <row r="25" spans="1:8" x14ac:dyDescent="0.2">
      <c r="A25" s="2220" t="s">
        <v>496</v>
      </c>
      <c r="B25" s="2220"/>
      <c r="C25" s="2220"/>
      <c r="D25" s="2220"/>
      <c r="E25" s="2220"/>
      <c r="F25" s="2220"/>
      <c r="G25" s="2229">
        <v>0</v>
      </c>
      <c r="H25" s="2217"/>
    </row>
    <row r="26" spans="1:8" ht="12.75" customHeight="1" x14ac:dyDescent="0.2">
      <c r="A26" s="2220" t="s">
        <v>830</v>
      </c>
      <c r="B26" s="2220"/>
      <c r="C26" s="2220"/>
      <c r="D26" s="2220"/>
      <c r="E26" s="2220"/>
      <c r="F26" s="2220"/>
      <c r="G26" s="2229">
        <v>0</v>
      </c>
      <c r="H26" s="2217"/>
    </row>
    <row r="27" spans="1:8" x14ac:dyDescent="0.2">
      <c r="A27" s="2220" t="s">
        <v>831</v>
      </c>
      <c r="B27" s="2220"/>
      <c r="C27" s="2220"/>
      <c r="D27" s="2220"/>
      <c r="E27" s="2220"/>
      <c r="F27" s="2220"/>
      <c r="G27" s="2229">
        <v>0</v>
      </c>
      <c r="H27" s="2217"/>
    </row>
    <row r="28" spans="1:8" x14ac:dyDescent="0.2">
      <c r="A28" s="2220" t="s">
        <v>589</v>
      </c>
      <c r="B28" s="2220"/>
      <c r="C28" s="2220"/>
      <c r="D28" s="2220"/>
      <c r="E28" s="2220"/>
      <c r="F28" s="2220"/>
      <c r="G28" s="2229">
        <v>0</v>
      </c>
      <c r="H28" s="2217"/>
    </row>
    <row r="29" spans="1:8" x14ac:dyDescent="0.2">
      <c r="A29" s="2220" t="s">
        <v>931</v>
      </c>
      <c r="B29" s="2220"/>
      <c r="C29" s="2220"/>
      <c r="D29" s="2220"/>
      <c r="E29" s="2220"/>
      <c r="F29" s="2220"/>
      <c r="G29" s="2229">
        <v>0</v>
      </c>
      <c r="H29" s="2217"/>
    </row>
    <row r="30" spans="1:8" x14ac:dyDescent="0.2">
      <c r="A30" s="2220" t="s">
        <v>1095</v>
      </c>
      <c r="B30" s="2220"/>
      <c r="C30" s="2220"/>
      <c r="D30" s="2220"/>
      <c r="E30" s="2220"/>
      <c r="F30" s="2220"/>
      <c r="G30" s="2229">
        <v>0</v>
      </c>
      <c r="H30" s="2217"/>
    </row>
    <row r="31" spans="1:8" x14ac:dyDescent="0.2">
      <c r="A31" s="2220" t="s">
        <v>590</v>
      </c>
      <c r="B31" s="2220"/>
      <c r="C31" s="2220"/>
      <c r="D31" s="2220"/>
      <c r="E31" s="2220"/>
      <c r="F31" s="2220"/>
      <c r="G31" s="2229">
        <v>0</v>
      </c>
      <c r="H31" s="2217"/>
    </row>
    <row r="32" spans="1:8" x14ac:dyDescent="0.2">
      <c r="A32" s="2220" t="s">
        <v>591</v>
      </c>
      <c r="B32" s="2220"/>
      <c r="C32" s="2220"/>
      <c r="D32" s="2220"/>
      <c r="E32" s="2220"/>
      <c r="F32" s="2220"/>
      <c r="G32" s="2230">
        <v>0</v>
      </c>
      <c r="H32" s="2217"/>
    </row>
    <row r="33" spans="1:12" ht="6" customHeight="1" x14ac:dyDescent="0.2">
      <c r="A33" s="2220"/>
      <c r="B33" s="2220"/>
      <c r="C33" s="2220"/>
      <c r="D33" s="2220"/>
      <c r="E33" s="2220"/>
      <c r="F33" s="2220"/>
      <c r="G33" s="2225"/>
      <c r="H33" s="2217"/>
      <c r="I33" s="2216"/>
    </row>
    <row r="34" spans="1:12" x14ac:dyDescent="0.2">
      <c r="A34" s="2221" t="s">
        <v>272</v>
      </c>
      <c r="B34" s="2220"/>
      <c r="C34" s="2220"/>
      <c r="D34" s="2220"/>
      <c r="E34" s="2220"/>
      <c r="F34" s="2220"/>
      <c r="G34" s="2227">
        <f>SUM(G13:G32)</f>
        <v>0</v>
      </c>
      <c r="H34" s="2217"/>
      <c r="I34" s="2216"/>
    </row>
    <row r="35" spans="1:12" ht="9" customHeight="1" x14ac:dyDescent="0.2">
      <c r="A35" s="2220"/>
      <c r="B35" s="2220"/>
      <c r="C35" s="2220"/>
      <c r="D35" s="2220"/>
      <c r="E35" s="2220"/>
      <c r="F35" s="2220"/>
      <c r="G35" s="2225"/>
      <c r="H35" s="2217"/>
      <c r="I35" s="2216"/>
    </row>
    <row r="36" spans="1:12" x14ac:dyDescent="0.2">
      <c r="A36" s="2221" t="s">
        <v>486</v>
      </c>
      <c r="B36" s="2220"/>
      <c r="C36" s="2220"/>
      <c r="D36" s="2220"/>
      <c r="E36" s="2220"/>
      <c r="F36" s="2220"/>
      <c r="G36" s="2225"/>
      <c r="H36" s="2217"/>
      <c r="I36" s="2216"/>
    </row>
    <row r="37" spans="1:12" x14ac:dyDescent="0.2">
      <c r="A37" s="2220" t="s">
        <v>592</v>
      </c>
      <c r="B37" s="2220"/>
      <c r="C37" s="2220"/>
      <c r="D37" s="2220"/>
      <c r="E37" s="2220"/>
      <c r="F37" s="2220"/>
      <c r="G37" s="2230">
        <v>0</v>
      </c>
      <c r="H37" s="2217"/>
      <c r="I37" s="2216"/>
    </row>
    <row r="38" spans="1:12" x14ac:dyDescent="0.2">
      <c r="A38" s="2220"/>
      <c r="B38" s="2220"/>
      <c r="C38" s="2220"/>
      <c r="D38" s="2220"/>
      <c r="E38" s="2220"/>
      <c r="F38" s="2220"/>
      <c r="G38" s="2225" t="s">
        <v>973</v>
      </c>
      <c r="H38" s="2217"/>
      <c r="I38" s="2216"/>
    </row>
    <row r="39" spans="1:12" x14ac:dyDescent="0.2">
      <c r="A39" s="2221" t="s">
        <v>1888</v>
      </c>
      <c r="B39" s="2220"/>
      <c r="C39" s="2220"/>
      <c r="D39" s="2220"/>
      <c r="E39" s="2220"/>
      <c r="F39" s="2220"/>
      <c r="G39" s="2225"/>
      <c r="H39" s="2217"/>
      <c r="I39" s="2216"/>
    </row>
    <row r="40" spans="1:12" x14ac:dyDescent="0.2">
      <c r="A40" s="2222" t="s">
        <v>792</v>
      </c>
      <c r="B40" s="2220"/>
      <c r="C40" s="2220"/>
      <c r="D40" s="2220"/>
      <c r="E40" s="2220"/>
      <c r="F40" s="2220"/>
      <c r="G40" s="2225"/>
      <c r="H40" s="2217"/>
      <c r="I40" s="2216"/>
    </row>
    <row r="41" spans="1:12" x14ac:dyDescent="0.2">
      <c r="A41" s="2235" t="s">
        <v>4833</v>
      </c>
      <c r="B41" s="2220"/>
      <c r="C41" s="2220"/>
      <c r="D41" s="2220"/>
      <c r="E41" s="2220"/>
      <c r="F41" s="2220"/>
      <c r="G41" s="2229">
        <v>0</v>
      </c>
      <c r="H41" s="2217"/>
      <c r="I41" s="2218"/>
    </row>
    <row r="42" spans="1:12" ht="13.5" thickBot="1" x14ac:dyDescent="0.25">
      <c r="A42" s="2221" t="s">
        <v>1889</v>
      </c>
      <c r="B42" s="2220"/>
      <c r="C42" s="2220"/>
      <c r="D42" s="2220"/>
      <c r="E42" s="2220"/>
      <c r="F42" s="2220"/>
      <c r="G42" s="2675">
        <f>G37+G41</f>
        <v>0</v>
      </c>
      <c r="H42" s="2217"/>
      <c r="I42" s="2218"/>
    </row>
    <row r="43" spans="1:12" ht="13.5" thickTop="1" x14ac:dyDescent="0.2">
      <c r="A43" s="2220"/>
      <c r="B43" s="2220"/>
      <c r="C43" s="2220"/>
      <c r="D43" s="2220"/>
      <c r="E43" s="2220"/>
      <c r="F43" s="2220"/>
      <c r="G43" s="2226"/>
      <c r="H43" s="2217"/>
      <c r="I43" s="2218"/>
      <c r="J43" s="2218"/>
      <c r="K43" s="2218"/>
      <c r="L43" s="2218"/>
    </row>
    <row r="44" spans="1:12" x14ac:dyDescent="0.2">
      <c r="A44" s="2221" t="s">
        <v>1050</v>
      </c>
      <c r="B44" s="2220"/>
      <c r="C44" s="2220"/>
      <c r="D44" s="2220"/>
      <c r="E44" s="2220"/>
      <c r="F44" s="2220"/>
      <c r="G44" s="2220"/>
      <c r="H44" s="2217"/>
      <c r="I44" s="2218"/>
      <c r="J44" s="2218"/>
      <c r="K44" s="2218"/>
      <c r="L44" s="2218"/>
    </row>
    <row r="45" spans="1:12" x14ac:dyDescent="0.2">
      <c r="A45" s="2222" t="s">
        <v>463</v>
      </c>
      <c r="B45" s="2220"/>
      <c r="C45" s="2220"/>
      <c r="D45" s="2220"/>
      <c r="E45" s="2220"/>
      <c r="F45" s="2220"/>
      <c r="G45" s="2220"/>
      <c r="H45" s="2217"/>
      <c r="I45" s="2218"/>
      <c r="J45" s="2218"/>
      <c r="K45" s="2218"/>
      <c r="L45" s="2218"/>
    </row>
    <row r="46" spans="1:12" x14ac:dyDescent="0.2">
      <c r="A46" s="2235" t="s">
        <v>4834</v>
      </c>
      <c r="B46" s="2220"/>
      <c r="C46" s="2220"/>
      <c r="D46" s="2220"/>
      <c r="E46" s="2220"/>
      <c r="F46" s="2220"/>
      <c r="G46" s="2230">
        <v>0</v>
      </c>
      <c r="H46" s="2217"/>
      <c r="I46" s="2218"/>
      <c r="J46" s="2218"/>
      <c r="K46" s="2218"/>
      <c r="L46" s="2218"/>
    </row>
    <row r="47" spans="1:12" x14ac:dyDescent="0.2">
      <c r="A47" s="2222" t="s">
        <v>464</v>
      </c>
      <c r="B47" s="2220"/>
      <c r="C47" s="2220"/>
      <c r="D47" s="2220"/>
      <c r="E47" s="2220"/>
      <c r="F47" s="2220"/>
      <c r="G47" s="2220"/>
      <c r="H47" s="2217"/>
      <c r="I47" s="2218"/>
      <c r="J47" s="2218"/>
      <c r="K47" s="2218"/>
      <c r="L47" s="2218"/>
    </row>
    <row r="48" spans="1:12" x14ac:dyDescent="0.2">
      <c r="A48" s="2235" t="s">
        <v>1045</v>
      </c>
      <c r="B48" s="2220"/>
      <c r="C48" s="2220"/>
      <c r="D48" s="2220"/>
      <c r="E48" s="2220"/>
      <c r="F48" s="2220"/>
      <c r="G48" s="2673">
        <v>0</v>
      </c>
      <c r="H48" s="2217"/>
      <c r="I48" s="2218"/>
      <c r="J48" s="2218"/>
      <c r="K48" s="2218"/>
      <c r="L48" s="2218"/>
    </row>
    <row r="49" spans="1:12" x14ac:dyDescent="0.2">
      <c r="A49" s="2235" t="s">
        <v>4835</v>
      </c>
      <c r="B49" s="2220"/>
      <c r="C49" s="2220"/>
      <c r="D49" s="2220"/>
      <c r="E49" s="2220"/>
      <c r="F49" s="2220"/>
      <c r="G49" s="2673">
        <v>0</v>
      </c>
      <c r="I49" s="2218"/>
      <c r="J49" s="2218"/>
      <c r="K49" s="2218"/>
      <c r="L49" s="2218"/>
    </row>
    <row r="50" spans="1:12" x14ac:dyDescent="0.2">
      <c r="A50" s="2231" t="s">
        <v>4840</v>
      </c>
      <c r="B50" s="2220"/>
      <c r="C50" s="2220"/>
      <c r="D50" s="2220"/>
      <c r="E50" s="2220"/>
      <c r="F50" s="2220"/>
      <c r="G50" s="2676">
        <f>G48-G49</f>
        <v>0</v>
      </c>
      <c r="I50" s="2218"/>
      <c r="J50" s="2218"/>
      <c r="K50" s="2218"/>
      <c r="L50" s="2218"/>
    </row>
    <row r="51" spans="1:12" x14ac:dyDescent="0.2">
      <c r="A51" s="2223" t="s">
        <v>466</v>
      </c>
      <c r="B51" s="2220"/>
      <c r="C51" s="2220"/>
      <c r="D51" s="2220"/>
      <c r="E51" s="2220"/>
      <c r="F51" s="2220"/>
      <c r="G51" s="2674">
        <f>G46+G50</f>
        <v>0</v>
      </c>
      <c r="I51" s="2218"/>
      <c r="J51" s="2218"/>
      <c r="K51" s="2218"/>
      <c r="L51" s="2218"/>
    </row>
    <row r="52" spans="1:12" x14ac:dyDescent="0.2">
      <c r="A52" s="2220"/>
      <c r="B52" s="2220"/>
      <c r="C52" s="2220"/>
      <c r="D52" s="2220"/>
      <c r="E52" s="2220"/>
      <c r="F52" s="2220"/>
      <c r="G52" s="2220"/>
      <c r="I52" s="2218"/>
      <c r="J52" s="2218"/>
      <c r="K52" s="2218"/>
      <c r="L52" s="2218"/>
    </row>
    <row r="53" spans="1:12" x14ac:dyDescent="0.2">
      <c r="A53" s="2221" t="s">
        <v>556</v>
      </c>
      <c r="B53" s="2220"/>
      <c r="C53" s="2220"/>
      <c r="D53" s="2220"/>
      <c r="E53" s="2220"/>
      <c r="F53" s="2220"/>
      <c r="G53" s="2233"/>
      <c r="I53" s="2218"/>
      <c r="J53" s="2218"/>
      <c r="K53" s="2218"/>
      <c r="L53" s="2218"/>
    </row>
    <row r="54" spans="1:12" x14ac:dyDescent="0.2">
      <c r="A54" s="2222" t="s">
        <v>4836</v>
      </c>
      <c r="B54" s="2220"/>
      <c r="C54" s="2220"/>
      <c r="D54" s="2220"/>
      <c r="E54" s="2220"/>
      <c r="F54" s="2220"/>
      <c r="G54" s="2677">
        <v>0</v>
      </c>
      <c r="I54" s="2218"/>
      <c r="J54" s="2218"/>
      <c r="K54" s="2218"/>
      <c r="L54" s="2218"/>
    </row>
    <row r="55" spans="1:12" x14ac:dyDescent="0.2">
      <c r="A55" s="2222" t="s">
        <v>469</v>
      </c>
      <c r="B55" s="2220"/>
      <c r="C55" s="2220"/>
      <c r="D55" s="2220"/>
      <c r="E55" s="2220"/>
      <c r="F55" s="2220"/>
      <c r="G55" s="2677">
        <v>0</v>
      </c>
      <c r="I55" s="2218"/>
      <c r="J55" s="2218"/>
      <c r="K55" s="2218"/>
      <c r="L55" s="2218"/>
    </row>
    <row r="56" spans="1:12" x14ac:dyDescent="0.2">
      <c r="A56" s="2222" t="s">
        <v>470</v>
      </c>
      <c r="B56" s="2220"/>
      <c r="C56" s="2220"/>
      <c r="D56" s="2220"/>
      <c r="E56" s="2220"/>
      <c r="F56" s="2220"/>
      <c r="G56" s="2677">
        <v>0</v>
      </c>
      <c r="I56" s="2218"/>
      <c r="J56" s="2218"/>
      <c r="K56" s="2218"/>
      <c r="L56" s="2218"/>
    </row>
    <row r="57" spans="1:12" x14ac:dyDescent="0.2">
      <c r="A57" s="2235" t="s">
        <v>4837</v>
      </c>
      <c r="B57" s="2220"/>
      <c r="C57" s="2220"/>
      <c r="D57" s="2220"/>
      <c r="E57" s="2220"/>
      <c r="F57" s="2220"/>
      <c r="G57" s="2232">
        <f>G54+G55+G56</f>
        <v>0</v>
      </c>
      <c r="I57" s="2218"/>
      <c r="J57" s="2218"/>
      <c r="K57" s="2218"/>
      <c r="L57" s="2218"/>
    </row>
    <row r="58" spans="1:12" x14ac:dyDescent="0.2">
      <c r="A58" s="2231" t="s">
        <v>3433</v>
      </c>
      <c r="B58" s="2220"/>
      <c r="C58" s="2220"/>
      <c r="D58" s="2220"/>
      <c r="E58" s="2220"/>
      <c r="F58" s="2220"/>
      <c r="G58" s="2234">
        <f>G51-G57</f>
        <v>0</v>
      </c>
    </row>
    <row r="59" spans="1:12" x14ac:dyDescent="0.2">
      <c r="A59" s="2222" t="s">
        <v>4838</v>
      </c>
      <c r="B59" s="2220"/>
      <c r="C59" s="2220"/>
      <c r="D59" s="2220"/>
      <c r="E59" s="2220"/>
      <c r="F59" s="2220"/>
      <c r="G59" s="2678">
        <v>0</v>
      </c>
    </row>
    <row r="60" spans="1:12" ht="13.5" thickBot="1" x14ac:dyDescent="0.25">
      <c r="A60" s="2222" t="s">
        <v>4839</v>
      </c>
      <c r="B60" s="2220"/>
      <c r="C60" s="2220"/>
      <c r="D60" s="2220"/>
      <c r="E60" s="2220"/>
      <c r="F60" s="2220"/>
      <c r="G60" s="2236">
        <f>G58+G59</f>
        <v>0</v>
      </c>
    </row>
    <row r="61" spans="1:12" ht="13.5" thickTop="1" x14ac:dyDescent="0.2">
      <c r="A61" s="2220"/>
      <c r="B61" s="2220"/>
      <c r="C61" s="2220"/>
      <c r="D61" s="2220"/>
      <c r="E61" s="2220"/>
      <c r="F61" s="2220"/>
      <c r="G61" s="2220"/>
    </row>
  </sheetData>
  <sheetProtection algorithmName="SHA-512" hashValue="t5HjCd0QcFhIEVANPz+GOaVKyfizHwh7IPG+ajD/YhtSVcCthEt23Z1w4suvXXZjPH1HbmfIzJRXvvnyq4/coA==" saltValue="HEMeE0yDCGu40VaRCNpFWg==" spinCount="100000" sheet="1" objects="1" scenarios="1" autoFilter="0"/>
  <customSheetViews>
    <customSheetView guid="{B08879A4-635B-4C39-9937-AC7883D562FC}" showGridLines="0" fitToPage="1">
      <selection sqref="A1:K1"/>
      <pageMargins left="0.75" right="0.5" top="0.5" bottom="0.5" header="0.5" footer="0.25"/>
      <pageSetup scale="86" orientation="portrait" r:id="rId1"/>
      <headerFooter alignWithMargins="0">
        <oddFooter>&amp;R&amp;A</oddFooter>
      </headerFooter>
    </customSheetView>
    <customSheetView guid="{9FCFC836-1CA5-48BF-958D-24D2EA94B219}" showGridLines="0" fitToPage="1">
      <selection sqref="A1:K1"/>
      <pageMargins left="0.75" right="0.5" top="0.5" bottom="0.5" header="0.5" footer="0.25"/>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5" type="noConversion"/>
  <conditionalFormatting sqref="L1:L4">
    <cfRule type="cellIs" dxfId="7"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89" orientation="portrait" r:id="rId3"/>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5"/>
  <sheetViews>
    <sheetView showGridLines="0" zoomScaleNormal="100" workbookViewId="0">
      <selection activeCell="U4" sqref="U4"/>
    </sheetView>
  </sheetViews>
  <sheetFormatPr defaultColWidth="8" defaultRowHeight="12.75" x14ac:dyDescent="0.2"/>
  <cols>
    <col min="1" max="1" width="1.140625" style="1412" customWidth="1"/>
    <col min="2" max="2" width="46.28515625" style="911" customWidth="1"/>
    <col min="3" max="3" width="0.5703125" style="911" customWidth="1"/>
    <col min="4" max="4" width="16.42578125" style="911" customWidth="1"/>
    <col min="5" max="5" width="0.5703125" style="911" customWidth="1"/>
    <col min="6" max="6" width="13.42578125" style="911" customWidth="1"/>
    <col min="7" max="7" width="0.42578125" style="911" customWidth="1"/>
    <col min="8" max="8" width="13.42578125" style="911" customWidth="1"/>
    <col min="9" max="9" width="0.5703125" style="911" customWidth="1"/>
    <col min="10" max="10" width="14.5703125" style="911" customWidth="1"/>
    <col min="11" max="11" width="1.42578125" style="911" customWidth="1"/>
    <col min="12" max="12" width="14.42578125" style="911" customWidth="1"/>
    <col min="13" max="13" width="0.7109375" style="911" customWidth="1"/>
    <col min="14" max="14" width="14.42578125" style="911" customWidth="1"/>
    <col min="15" max="15" width="0.5703125" style="911" customWidth="1"/>
    <col min="16" max="16" width="14.42578125" style="911" customWidth="1"/>
    <col min="17" max="17" width="0.5703125" style="911" customWidth="1"/>
    <col min="18" max="18" width="14" style="911" customWidth="1"/>
    <col min="19" max="19" width="0.5703125" style="911" customWidth="1"/>
    <col min="20" max="20" width="17.140625" style="911" customWidth="1"/>
    <col min="21" max="21" width="4.5703125" style="911" customWidth="1"/>
    <col min="22" max="22" width="6.42578125" style="911" customWidth="1"/>
    <col min="23" max="25" width="14.42578125" style="911" customWidth="1"/>
    <col min="26" max="26" width="14.42578125" style="2271" customWidth="1"/>
    <col min="27" max="27" width="14.42578125" style="2274" customWidth="1"/>
    <col min="28" max="232" width="14.42578125" style="911" customWidth="1"/>
    <col min="233" max="16384" width="8" style="911"/>
  </cols>
  <sheetData>
    <row r="1" spans="1:27" s="72" customFormat="1" ht="15" customHeight="1" x14ac:dyDescent="0.3">
      <c r="A1" s="1410"/>
      <c r="B1" s="2767" t="str">
        <f>+Index!$A$1</f>
        <v xml:space="preserve">                                                               Office of the State Controller                                                                </v>
      </c>
      <c r="C1" s="2767"/>
      <c r="D1" s="2767"/>
      <c r="E1" s="2767"/>
      <c r="F1" s="2767"/>
      <c r="G1" s="2767"/>
      <c r="H1" s="2767"/>
      <c r="I1" s="2767"/>
      <c r="J1" s="2767"/>
      <c r="K1" s="2767"/>
      <c r="L1" s="2767"/>
      <c r="M1" s="2767"/>
      <c r="N1" s="2767"/>
      <c r="O1" s="2767"/>
      <c r="P1" s="2767"/>
      <c r="Q1" s="2767"/>
      <c r="R1" s="2767"/>
      <c r="S1" s="2767"/>
      <c r="T1" s="2767"/>
      <c r="U1" s="2775" t="str">
        <f>IF(Index!$B$21="na","NA","")</f>
        <v/>
      </c>
      <c r="Z1" s="2273"/>
    </row>
    <row r="2" spans="1:27" s="72" customFormat="1" ht="15" customHeight="1" x14ac:dyDescent="0.3">
      <c r="A2" s="1410"/>
      <c r="B2" s="2776" t="str">
        <f>+Index!$A$2</f>
        <v>2022 ACFR Worksheets</v>
      </c>
      <c r="C2" s="2776"/>
      <c r="D2" s="2776"/>
      <c r="E2" s="2776"/>
      <c r="F2" s="2776"/>
      <c r="G2" s="2776"/>
      <c r="H2" s="2776"/>
      <c r="I2" s="2776"/>
      <c r="J2" s="2776"/>
      <c r="K2" s="2776"/>
      <c r="L2" s="2776"/>
      <c r="M2" s="2776"/>
      <c r="N2" s="2776"/>
      <c r="O2" s="2776"/>
      <c r="P2" s="2776"/>
      <c r="Q2" s="2776"/>
      <c r="R2" s="2776"/>
      <c r="S2" s="2776"/>
      <c r="T2" s="2776"/>
      <c r="U2" s="2775"/>
      <c r="Z2" s="2273"/>
    </row>
    <row r="3" spans="1:27" s="72" customFormat="1" ht="15" customHeight="1" x14ac:dyDescent="0.3">
      <c r="A3" s="1410"/>
      <c r="B3" s="2776" t="s">
        <v>1519</v>
      </c>
      <c r="C3" s="2776"/>
      <c r="D3" s="2776"/>
      <c r="E3" s="2776"/>
      <c r="F3" s="2776"/>
      <c r="G3" s="2776"/>
      <c r="H3" s="2776"/>
      <c r="I3" s="2776"/>
      <c r="J3" s="2776"/>
      <c r="K3" s="2776"/>
      <c r="L3" s="2776"/>
      <c r="M3" s="2776"/>
      <c r="N3" s="2776"/>
      <c r="O3" s="2776"/>
      <c r="P3" s="2776"/>
      <c r="Q3" s="2776"/>
      <c r="R3" s="2776"/>
      <c r="S3" s="2776"/>
      <c r="T3" s="2776"/>
      <c r="U3" s="2775"/>
      <c r="Z3" s="2273"/>
    </row>
    <row r="4" spans="1:27" s="72" customFormat="1" ht="15" customHeight="1" x14ac:dyDescent="0.3">
      <c r="A4" s="1410"/>
      <c r="B4" s="240"/>
      <c r="C4" s="240"/>
      <c r="D4" s="240"/>
      <c r="E4" s="240"/>
      <c r="F4" s="240"/>
      <c r="G4" s="240"/>
      <c r="H4" s="240"/>
      <c r="I4" s="240"/>
      <c r="J4" s="1091" t="s">
        <v>4543</v>
      </c>
      <c r="K4" s="240"/>
      <c r="M4" s="240"/>
      <c r="O4" s="240"/>
      <c r="P4" s="240"/>
      <c r="Q4" s="240"/>
      <c r="R4" s="240"/>
      <c r="S4" s="240"/>
      <c r="T4" s="240"/>
      <c r="U4" s="910"/>
      <c r="Z4" s="2273"/>
    </row>
    <row r="5" spans="1:27" s="72" customFormat="1" ht="15" customHeight="1" x14ac:dyDescent="0.3">
      <c r="A5" s="1410"/>
      <c r="B5" s="73"/>
      <c r="C5" s="74"/>
      <c r="E5" s="74"/>
      <c r="F5" s="75"/>
      <c r="G5" s="74"/>
      <c r="H5" s="74"/>
      <c r="I5" s="74"/>
      <c r="J5" s="1092" t="s">
        <v>1483</v>
      </c>
      <c r="K5" s="74"/>
      <c r="M5" s="74"/>
      <c r="O5" s="74"/>
      <c r="P5" s="74"/>
      <c r="Q5" s="76"/>
      <c r="R5" s="76"/>
      <c r="Z5" s="2273"/>
    </row>
    <row r="6" spans="1:27" s="77" customFormat="1" ht="15" customHeight="1" x14ac:dyDescent="0.2">
      <c r="A6" s="1411"/>
      <c r="D6" s="255"/>
      <c r="J6" s="89" t="s">
        <v>973</v>
      </c>
      <c r="L6" s="77" t="s">
        <v>327</v>
      </c>
      <c r="N6" s="78" t="str">
        <f>+Index!$E$10</f>
        <v>01</v>
      </c>
      <c r="Z6" s="2271"/>
      <c r="AA6" s="2274"/>
    </row>
    <row r="7" spans="1:27" s="77" customFormat="1" ht="15" customHeight="1" x14ac:dyDescent="0.2">
      <c r="A7" s="1411"/>
      <c r="B7" s="2266" t="s">
        <v>4981</v>
      </c>
      <c r="D7" s="2394" t="s">
        <v>4982</v>
      </c>
      <c r="I7" s="88"/>
      <c r="K7" s="88"/>
      <c r="L7" s="77" t="s">
        <v>1154</v>
      </c>
      <c r="M7" s="88"/>
      <c r="N7" s="2777" t="str">
        <f>AgyName</f>
        <v>North Carolina General Assembly</v>
      </c>
      <c r="O7" s="2777"/>
      <c r="P7" s="2777"/>
      <c r="Q7" s="2777"/>
      <c r="R7" s="2777"/>
      <c r="S7" s="2777"/>
      <c r="T7" s="2777"/>
      <c r="Z7" s="2271"/>
      <c r="AA7" s="2274"/>
    </row>
    <row r="8" spans="1:27" s="77" customFormat="1" ht="15" customHeight="1" x14ac:dyDescent="0.2">
      <c r="A8" s="1411"/>
      <c r="B8" s="77" t="s">
        <v>477</v>
      </c>
      <c r="D8" s="464"/>
      <c r="I8" s="88"/>
      <c r="K8" s="88"/>
      <c r="L8" s="77" t="s">
        <v>972</v>
      </c>
      <c r="M8" s="88"/>
      <c r="N8" s="2778" t="str">
        <f>CONCATENATE(Index!$E$12," ",Index!$E$14)</f>
        <v xml:space="preserve"> </v>
      </c>
      <c r="O8" s="2778"/>
      <c r="P8" s="2778"/>
      <c r="Q8" s="2778"/>
      <c r="R8" s="2778"/>
      <c r="S8" s="2778"/>
      <c r="T8" s="2778"/>
      <c r="Z8" s="2271"/>
      <c r="AA8" s="2274"/>
    </row>
    <row r="9" spans="1:27" s="77" customFormat="1" ht="15" customHeight="1" x14ac:dyDescent="0.2">
      <c r="A9" s="1411"/>
      <c r="D9" s="1245"/>
      <c r="I9" s="88"/>
      <c r="K9" s="88"/>
      <c r="L9" s="77" t="s">
        <v>348</v>
      </c>
      <c r="M9" s="88"/>
      <c r="N9" s="2779">
        <f>+Index!$E$13</f>
        <v>0</v>
      </c>
      <c r="O9" s="2779"/>
      <c r="P9" s="2779"/>
      <c r="Q9" s="2779"/>
      <c r="R9" s="2779"/>
      <c r="S9" s="2779"/>
      <c r="T9" s="2779"/>
      <c r="Z9" s="2271"/>
      <c r="AA9" s="2274"/>
    </row>
    <row r="10" spans="1:27" s="77" customFormat="1" ht="8.25" customHeight="1" thickBot="1" x14ac:dyDescent="0.25">
      <c r="A10" s="1411"/>
      <c r="B10" s="79"/>
      <c r="C10" s="79"/>
      <c r="D10" s="79"/>
      <c r="E10" s="79"/>
      <c r="F10" s="79"/>
      <c r="G10" s="79"/>
      <c r="H10" s="79"/>
      <c r="I10" s="79"/>
      <c r="J10" s="79"/>
      <c r="K10" s="79"/>
      <c r="L10" s="79"/>
      <c r="M10" s="79"/>
      <c r="N10" s="79"/>
      <c r="O10" s="79"/>
      <c r="P10" s="79"/>
      <c r="Q10" s="79"/>
      <c r="R10" s="79"/>
      <c r="S10" s="79"/>
      <c r="T10" s="79"/>
      <c r="Z10" s="2271"/>
      <c r="AA10" s="2274"/>
    </row>
    <row r="11" spans="1:27" s="77" customFormat="1" ht="8.25" customHeight="1" x14ac:dyDescent="0.2">
      <c r="A11" s="1411"/>
      <c r="Z11" s="2271"/>
      <c r="AA11" s="2274"/>
    </row>
    <row r="12" spans="1:27" ht="17.25" customHeight="1" x14ac:dyDescent="0.2">
      <c r="B12" s="1241" t="s">
        <v>1830</v>
      </c>
      <c r="C12" s="1246"/>
      <c r="D12" s="1246"/>
      <c r="L12" s="936"/>
    </row>
    <row r="13" spans="1:27" s="80" customFormat="1" ht="12.75" customHeight="1" x14ac:dyDescent="0.2">
      <c r="A13" s="1413"/>
      <c r="D13" s="81"/>
      <c r="F13" s="81" t="s">
        <v>1047</v>
      </c>
      <c r="H13" s="2780" t="s">
        <v>417</v>
      </c>
      <c r="I13" s="82"/>
      <c r="J13" s="81"/>
      <c r="L13" s="2783" t="s">
        <v>1050</v>
      </c>
      <c r="M13" s="2784"/>
      <c r="N13" s="2785"/>
      <c r="P13" s="81"/>
      <c r="Q13" s="911"/>
      <c r="R13" s="81" t="s">
        <v>949</v>
      </c>
      <c r="T13" s="81"/>
      <c r="Z13" s="2268"/>
    </row>
    <row r="14" spans="1:27" s="80" customFormat="1" x14ac:dyDescent="0.2">
      <c r="A14" s="1413"/>
      <c r="D14" s="83"/>
      <c r="F14" s="83" t="s">
        <v>1048</v>
      </c>
      <c r="H14" s="2781"/>
      <c r="I14" s="82"/>
      <c r="J14" s="83" t="s">
        <v>230</v>
      </c>
      <c r="L14" s="81"/>
      <c r="N14" s="81"/>
      <c r="P14" s="83"/>
      <c r="Q14" s="911"/>
      <c r="R14" s="207" t="s">
        <v>950</v>
      </c>
      <c r="T14" s="83"/>
      <c r="Z14" s="2268"/>
    </row>
    <row r="15" spans="1:27" s="80" customFormat="1" x14ac:dyDescent="0.2">
      <c r="A15" s="1413"/>
      <c r="D15" s="83" t="s">
        <v>1160</v>
      </c>
      <c r="F15" s="83" t="s">
        <v>1049</v>
      </c>
      <c r="H15" s="2781"/>
      <c r="I15" s="82"/>
      <c r="J15" s="83" t="s">
        <v>303</v>
      </c>
      <c r="L15" s="83" t="s">
        <v>952</v>
      </c>
      <c r="N15" s="83" t="s">
        <v>953</v>
      </c>
      <c r="P15" s="83"/>
      <c r="Q15" s="911"/>
      <c r="R15" s="83" t="s">
        <v>302</v>
      </c>
      <c r="T15" s="83" t="s">
        <v>1160</v>
      </c>
      <c r="Z15" s="2268"/>
    </row>
    <row r="16" spans="1:27" s="80" customFormat="1" x14ac:dyDescent="0.2">
      <c r="A16" s="1413"/>
      <c r="B16" s="84" t="s">
        <v>132</v>
      </c>
      <c r="D16" s="86" t="str">
        <f>+TEXT(Data!$A$3,"mmmm d, yyyy")</f>
        <v>July 1, 2021</v>
      </c>
      <c r="F16" s="86" t="s">
        <v>1052</v>
      </c>
      <c r="H16" s="2782"/>
      <c r="I16" s="82"/>
      <c r="J16" s="86" t="s">
        <v>951</v>
      </c>
      <c r="L16" s="86" t="s">
        <v>1050</v>
      </c>
      <c r="N16" s="86" t="s">
        <v>1050</v>
      </c>
      <c r="P16" s="85" t="s">
        <v>1051</v>
      </c>
      <c r="Q16" s="911"/>
      <c r="R16" s="86" t="s">
        <v>247</v>
      </c>
      <c r="T16" s="85" t="str">
        <f>+TEXT(Data!$A$2,"mmmm d, yyy")</f>
        <v>June 30, 2022</v>
      </c>
      <c r="Z16" s="2268"/>
    </row>
    <row r="17" spans="1:27" s="80" customFormat="1" x14ac:dyDescent="0.2">
      <c r="A17" s="1413"/>
      <c r="F17" s="2268" t="s">
        <v>4983</v>
      </c>
      <c r="G17" s="2268"/>
      <c r="H17" s="2268" t="s">
        <v>4984</v>
      </c>
      <c r="I17" s="2269"/>
      <c r="J17" s="2268" t="s">
        <v>4985</v>
      </c>
      <c r="K17" s="2268"/>
      <c r="L17" s="2268" t="s">
        <v>4986</v>
      </c>
      <c r="M17" s="2268"/>
      <c r="N17" s="2268" t="s">
        <v>4987</v>
      </c>
      <c r="O17" s="2268"/>
      <c r="P17" s="2270" t="s">
        <v>4988</v>
      </c>
      <c r="Q17" s="2271"/>
      <c r="R17" s="2268" t="s">
        <v>4989</v>
      </c>
      <c r="T17" s="247"/>
      <c r="W17" s="2272"/>
      <c r="Z17" s="2268"/>
    </row>
    <row r="18" spans="1:27" s="80" customFormat="1" x14ac:dyDescent="0.2">
      <c r="A18" s="1413"/>
      <c r="D18" s="80" t="s">
        <v>118</v>
      </c>
      <c r="F18" s="80" t="s">
        <v>119</v>
      </c>
      <c r="H18" s="82" t="s">
        <v>996</v>
      </c>
      <c r="I18" s="82"/>
      <c r="J18" s="80" t="s">
        <v>997</v>
      </c>
      <c r="L18" s="80" t="s">
        <v>998</v>
      </c>
      <c r="N18" s="80" t="s">
        <v>999</v>
      </c>
      <c r="P18" s="247" t="s">
        <v>321</v>
      </c>
      <c r="Q18" s="911"/>
      <c r="R18" s="80" t="s">
        <v>322</v>
      </c>
      <c r="T18" s="247" t="s">
        <v>320</v>
      </c>
      <c r="Z18" s="2268"/>
    </row>
    <row r="19" spans="1:27" ht="21.75" customHeight="1" x14ac:dyDescent="0.2">
      <c r="B19" s="912" t="s">
        <v>1053</v>
      </c>
      <c r="C19" s="913"/>
      <c r="D19" s="913"/>
      <c r="E19" s="913"/>
      <c r="F19" s="913"/>
      <c r="G19" s="913"/>
      <c r="H19" s="913"/>
      <c r="I19" s="913"/>
      <c r="J19" s="913"/>
      <c r="K19" s="913"/>
      <c r="L19" s="913"/>
      <c r="M19" s="913"/>
      <c r="N19" s="913"/>
      <c r="O19" s="913"/>
      <c r="P19" s="913"/>
      <c r="Q19" s="913"/>
      <c r="R19" s="913"/>
      <c r="S19" s="913"/>
      <c r="T19" s="913"/>
      <c r="AA19" s="227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row>
    <row r="20" spans="1:27" ht="21.75" customHeight="1" x14ac:dyDescent="0.2">
      <c r="A20" s="1412">
        <v>1</v>
      </c>
      <c r="B20" s="246" t="s">
        <v>1331</v>
      </c>
      <c r="C20" s="913"/>
      <c r="D20" s="914" t="str">
        <f>IFERROR(HLOOKUP($N$6,PriorYr905!$E$8:$AH$79,54,FALSE),"")</f>
        <v/>
      </c>
      <c r="E20" s="913"/>
      <c r="F20" s="1445"/>
      <c r="G20" s="913"/>
      <c r="H20" s="914"/>
      <c r="I20" s="913"/>
      <c r="J20" s="914"/>
      <c r="K20" s="913"/>
      <c r="L20" s="914"/>
      <c r="M20" s="913"/>
      <c r="N20" s="914"/>
      <c r="O20" s="913"/>
      <c r="P20" s="914"/>
      <c r="Q20" s="913"/>
      <c r="R20" s="914"/>
      <c r="S20" s="913"/>
      <c r="T20" s="915">
        <f t="shared" ref="T20:T25" si="0">SUM(D20:S20)</f>
        <v>0</v>
      </c>
      <c r="Z20" s="2275">
        <v>12700000</v>
      </c>
    </row>
    <row r="21" spans="1:27" ht="21.75" customHeight="1" x14ac:dyDescent="0.2">
      <c r="A21" s="1412">
        <v>2</v>
      </c>
      <c r="B21" s="246" t="s">
        <v>3512</v>
      </c>
      <c r="C21" s="913"/>
      <c r="D21" s="914" t="str">
        <f>IFERROR(HLOOKUP($N$6,PriorYr905!$E$8:$AH$79,55,FALSE),"")</f>
        <v/>
      </c>
      <c r="E21" s="913"/>
      <c r="F21" s="914"/>
      <c r="G21" s="913"/>
      <c r="H21" s="914"/>
      <c r="I21" s="913"/>
      <c r="J21" s="914"/>
      <c r="K21" s="913"/>
      <c r="L21" s="914"/>
      <c r="M21" s="913"/>
      <c r="N21" s="914"/>
      <c r="O21" s="913"/>
      <c r="P21" s="914"/>
      <c r="Q21" s="913"/>
      <c r="R21" s="914"/>
      <c r="S21" s="913"/>
      <c r="T21" s="915">
        <f t="shared" si="0"/>
        <v>0</v>
      </c>
      <c r="Z21" s="2275">
        <v>12741000</v>
      </c>
    </row>
    <row r="22" spans="1:27" ht="21.75" customHeight="1" x14ac:dyDescent="0.2">
      <c r="A22" s="1412">
        <v>3</v>
      </c>
      <c r="B22" s="246" t="s">
        <v>418</v>
      </c>
      <c r="C22" s="913"/>
      <c r="D22" s="914" t="str">
        <f>IFERROR(HLOOKUP($N$6,PriorYr905!$E$8:$AH$79,56,FALSE),"")</f>
        <v/>
      </c>
      <c r="E22" s="913"/>
      <c r="F22" s="914"/>
      <c r="G22" s="913"/>
      <c r="H22" s="1638"/>
      <c r="I22" s="913"/>
      <c r="J22" s="1638"/>
      <c r="K22" s="913"/>
      <c r="L22" s="914"/>
      <c r="M22" s="913"/>
      <c r="N22" s="914"/>
      <c r="O22" s="913"/>
      <c r="P22" s="914"/>
      <c r="Q22" s="913"/>
      <c r="R22" s="914"/>
      <c r="S22" s="913"/>
      <c r="T22" s="915">
        <f t="shared" si="0"/>
        <v>0</v>
      </c>
      <c r="Z22" s="2275">
        <v>12780000</v>
      </c>
    </row>
    <row r="23" spans="1:27" ht="21.75" customHeight="1" x14ac:dyDescent="0.2">
      <c r="A23" s="1414" t="s">
        <v>3574</v>
      </c>
      <c r="B23" s="246" t="s">
        <v>1332</v>
      </c>
      <c r="C23" s="913"/>
      <c r="D23" s="914" t="str">
        <f>IFERROR(HLOOKUP($N$6,PriorYr905!$E$8:$AH$79,57,FALSE),"")</f>
        <v/>
      </c>
      <c r="E23" s="913"/>
      <c r="F23" s="914"/>
      <c r="G23" s="913"/>
      <c r="H23" s="1638"/>
      <c r="I23" s="913"/>
      <c r="J23" s="1638"/>
      <c r="K23" s="913"/>
      <c r="L23" s="914"/>
      <c r="M23" s="913"/>
      <c r="N23" s="914"/>
      <c r="O23" s="913"/>
      <c r="P23" s="914"/>
      <c r="Q23" s="913"/>
      <c r="R23" s="914"/>
      <c r="S23" s="913"/>
      <c r="T23" s="915">
        <f t="shared" si="0"/>
        <v>0</v>
      </c>
      <c r="Z23" s="2275">
        <v>12783000</v>
      </c>
    </row>
    <row r="24" spans="1:27" ht="21.75" customHeight="1" x14ac:dyDescent="0.2">
      <c r="A24" s="1414" t="s">
        <v>3575</v>
      </c>
      <c r="B24" s="477" t="s">
        <v>1333</v>
      </c>
      <c r="C24" s="913"/>
      <c r="D24" s="914" t="str">
        <f>IFERROR(HLOOKUP($N$6,PriorYr905!$E$8:$AH$79,58,FALSE),"")</f>
        <v/>
      </c>
      <c r="E24" s="913"/>
      <c r="F24" s="1445"/>
      <c r="G24" s="913"/>
      <c r="H24" s="1638"/>
      <c r="I24" s="913"/>
      <c r="J24" s="1638"/>
      <c r="K24" s="913"/>
      <c r="L24" s="914"/>
      <c r="M24" s="913"/>
      <c r="N24" s="914"/>
      <c r="O24" s="913"/>
      <c r="P24" s="914"/>
      <c r="Q24" s="913"/>
      <c r="R24" s="914"/>
      <c r="S24" s="913"/>
      <c r="T24" s="915">
        <f t="shared" si="0"/>
        <v>0</v>
      </c>
      <c r="Z24" s="2275">
        <v>12782000</v>
      </c>
    </row>
    <row r="25" spans="1:27" ht="21.75" customHeight="1" x14ac:dyDescent="0.2">
      <c r="A25" s="1414" t="s">
        <v>3576</v>
      </c>
      <c r="B25" s="477" t="s">
        <v>3513</v>
      </c>
      <c r="C25" s="913"/>
      <c r="D25" s="914" t="str">
        <f>IFERROR(HLOOKUP($N$6,PriorYr905!$E$8:$AH$79,59,FALSE),"")</f>
        <v/>
      </c>
      <c r="E25" s="913"/>
      <c r="F25" s="935"/>
      <c r="G25" s="913"/>
      <c r="H25" s="935"/>
      <c r="I25" s="913"/>
      <c r="J25" s="935"/>
      <c r="K25" s="913"/>
      <c r="L25" s="935"/>
      <c r="M25" s="913"/>
      <c r="N25" s="935"/>
      <c r="O25" s="913"/>
      <c r="P25" s="935"/>
      <c r="Q25" s="913"/>
      <c r="R25" s="935"/>
      <c r="S25" s="913"/>
      <c r="T25" s="915">
        <f t="shared" si="0"/>
        <v>0</v>
      </c>
      <c r="Z25" s="2275">
        <v>12750500</v>
      </c>
    </row>
    <row r="26" spans="1:27" ht="21.75" customHeight="1" x14ac:dyDescent="0.2">
      <c r="B26" s="912" t="s">
        <v>419</v>
      </c>
      <c r="C26" s="913"/>
      <c r="D26" s="916"/>
      <c r="E26" s="913"/>
      <c r="F26" s="916"/>
      <c r="G26" s="913"/>
      <c r="H26" s="916"/>
      <c r="I26" s="913"/>
      <c r="J26" s="916"/>
      <c r="K26" s="913"/>
      <c r="L26" s="916"/>
      <c r="M26" s="913"/>
      <c r="N26" s="916"/>
      <c r="O26" s="913"/>
      <c r="P26" s="916"/>
      <c r="Q26" s="913"/>
      <c r="R26" s="916"/>
      <c r="S26" s="913"/>
      <c r="T26" s="916"/>
      <c r="Z26" s="2275"/>
    </row>
    <row r="27" spans="1:27" ht="21.75" customHeight="1" x14ac:dyDescent="0.2">
      <c r="A27" s="1412">
        <v>4</v>
      </c>
      <c r="B27" s="246" t="s">
        <v>420</v>
      </c>
      <c r="C27" s="913"/>
      <c r="D27" s="914" t="str">
        <f>IFERROR(HLOOKUP($N$6,PriorYr905!$E$8:$AH$79,62,FALSE),"")</f>
        <v/>
      </c>
      <c r="E27" s="913"/>
      <c r="F27" s="914"/>
      <c r="G27" s="913"/>
      <c r="H27" s="914"/>
      <c r="I27" s="913"/>
      <c r="J27" s="914"/>
      <c r="K27" s="913"/>
      <c r="L27" s="914"/>
      <c r="M27" s="913"/>
      <c r="N27" s="914"/>
      <c r="O27" s="913"/>
      <c r="P27" s="914"/>
      <c r="Q27" s="913"/>
      <c r="R27" s="914"/>
      <c r="S27" s="913"/>
      <c r="T27" s="915">
        <f t="shared" ref="T27:T40" si="1">SUM(D27:S27)</f>
        <v>0</v>
      </c>
      <c r="Z27" s="2275">
        <v>12710000</v>
      </c>
    </row>
    <row r="28" spans="1:27" ht="21.75" customHeight="1" x14ac:dyDescent="0.2">
      <c r="A28" s="1412">
        <v>5</v>
      </c>
      <c r="B28" s="246" t="s">
        <v>498</v>
      </c>
      <c r="C28" s="913"/>
      <c r="D28" s="914" t="str">
        <f>IFERROR(HLOOKUP($N$6,PriorYr905!$E$8:$AH$79,63,FALSE),"")</f>
        <v/>
      </c>
      <c r="E28" s="913"/>
      <c r="F28" s="914"/>
      <c r="G28" s="913"/>
      <c r="H28" s="914"/>
      <c r="I28" s="913"/>
      <c r="J28" s="914"/>
      <c r="K28" s="913"/>
      <c r="L28" s="914"/>
      <c r="M28" s="913"/>
      <c r="N28" s="914"/>
      <c r="O28" s="913"/>
      <c r="P28" s="914"/>
      <c r="Q28" s="913"/>
      <c r="R28" s="914"/>
      <c r="S28" s="913"/>
      <c r="T28" s="915">
        <f t="shared" si="1"/>
        <v>0</v>
      </c>
      <c r="Z28" s="2275">
        <v>12732000</v>
      </c>
    </row>
    <row r="29" spans="1:27" ht="21.75" customHeight="1" x14ac:dyDescent="0.2">
      <c r="A29" s="1412">
        <v>6</v>
      </c>
      <c r="B29" s="246" t="s">
        <v>3514</v>
      </c>
      <c r="C29" s="913"/>
      <c r="D29" s="914" t="str">
        <f>IFERROR(HLOOKUP($N$6,PriorYr905!$E$8:$AH$79,64,FALSE),"")</f>
        <v/>
      </c>
      <c r="E29" s="913"/>
      <c r="F29" s="1445"/>
      <c r="G29" s="913"/>
      <c r="H29" s="914"/>
      <c r="I29" s="913"/>
      <c r="J29" s="914"/>
      <c r="K29" s="913"/>
      <c r="L29" s="914"/>
      <c r="M29" s="913"/>
      <c r="N29" s="914"/>
      <c r="O29" s="913"/>
      <c r="P29" s="914"/>
      <c r="Q29" s="913"/>
      <c r="R29" s="914"/>
      <c r="S29" s="913"/>
      <c r="T29" s="915">
        <f t="shared" si="1"/>
        <v>0</v>
      </c>
      <c r="Z29" s="2275">
        <v>12740000</v>
      </c>
    </row>
    <row r="30" spans="1:27" ht="21.75" customHeight="1" x14ac:dyDescent="0.2">
      <c r="A30" s="1412">
        <v>7</v>
      </c>
      <c r="B30" s="246" t="s">
        <v>3515</v>
      </c>
      <c r="C30" s="913"/>
      <c r="D30" s="914" t="str">
        <f>IFERROR(HLOOKUP($N$6,PriorYr905!$E$8:$AH$79,65,FALSE),"")</f>
        <v/>
      </c>
      <c r="E30" s="913"/>
      <c r="F30" s="1445"/>
      <c r="G30" s="913"/>
      <c r="H30" s="914"/>
      <c r="I30" s="913"/>
      <c r="J30" s="914"/>
      <c r="K30" s="913"/>
      <c r="L30" s="914"/>
      <c r="M30" s="913"/>
      <c r="N30" s="914"/>
      <c r="O30" s="913"/>
      <c r="P30" s="914"/>
      <c r="Q30" s="913"/>
      <c r="R30" s="914"/>
      <c r="S30" s="913"/>
      <c r="T30" s="915">
        <f t="shared" si="1"/>
        <v>0</v>
      </c>
      <c r="Z30" s="2275">
        <v>12729000</v>
      </c>
    </row>
    <row r="31" spans="1:27" ht="21.75" customHeight="1" x14ac:dyDescent="0.2">
      <c r="A31" s="1412">
        <v>8</v>
      </c>
      <c r="B31" s="246" t="s">
        <v>946</v>
      </c>
      <c r="C31" s="913"/>
      <c r="D31" s="914"/>
      <c r="E31" s="913"/>
      <c r="F31" s="1445"/>
      <c r="G31" s="913"/>
      <c r="H31" s="914"/>
      <c r="I31" s="913"/>
      <c r="J31" s="914"/>
      <c r="K31" s="913"/>
      <c r="L31" s="914"/>
      <c r="M31" s="913"/>
      <c r="N31" s="914"/>
      <c r="O31" s="913"/>
      <c r="P31" s="914"/>
      <c r="Q31" s="913"/>
      <c r="R31" s="914"/>
      <c r="S31" s="913"/>
      <c r="T31" s="915">
        <f t="shared" si="1"/>
        <v>0</v>
      </c>
      <c r="Z31" s="2275">
        <v>12720000</v>
      </c>
    </row>
    <row r="32" spans="1:27" ht="21.75" customHeight="1" x14ac:dyDescent="0.2">
      <c r="A32" s="1414" t="s">
        <v>4007</v>
      </c>
      <c r="B32" s="246" t="s">
        <v>3661</v>
      </c>
      <c r="C32" s="913"/>
      <c r="D32" s="914"/>
      <c r="E32" s="913"/>
      <c r="F32" s="914"/>
      <c r="G32" s="913"/>
      <c r="H32" s="914"/>
      <c r="I32" s="913"/>
      <c r="J32" s="914"/>
      <c r="K32" s="913"/>
      <c r="L32" s="914"/>
      <c r="M32" s="913"/>
      <c r="N32" s="914"/>
      <c r="O32" s="913"/>
      <c r="P32" s="914"/>
      <c r="Q32" s="913"/>
      <c r="R32" s="914"/>
      <c r="S32" s="913"/>
      <c r="T32" s="915">
        <f t="shared" si="1"/>
        <v>0</v>
      </c>
      <c r="Z32" s="2275">
        <v>12720001</v>
      </c>
    </row>
    <row r="33" spans="1:26" ht="21.75" customHeight="1" x14ac:dyDescent="0.2">
      <c r="A33" s="1412">
        <v>9</v>
      </c>
      <c r="B33" s="246" t="s">
        <v>1334</v>
      </c>
      <c r="C33" s="913"/>
      <c r="D33" s="914" t="str">
        <f>IFERROR(HLOOKUP($N$6,PriorYr905!$E$8:$AH$79,70,FALSE),"")</f>
        <v/>
      </c>
      <c r="E33" s="913"/>
      <c r="F33" s="914"/>
      <c r="G33" s="913"/>
      <c r="H33" s="914"/>
      <c r="I33" s="913"/>
      <c r="J33" s="914"/>
      <c r="K33" s="913"/>
      <c r="L33" s="914"/>
      <c r="M33" s="913"/>
      <c r="N33" s="914"/>
      <c r="O33" s="913"/>
      <c r="P33" s="914"/>
      <c r="Q33" s="913"/>
      <c r="R33" s="914"/>
      <c r="S33" s="913"/>
      <c r="T33" s="915">
        <f t="shared" si="1"/>
        <v>0</v>
      </c>
      <c r="Z33" s="2275">
        <v>12753000</v>
      </c>
    </row>
    <row r="34" spans="1:26" ht="21.75" customHeight="1" x14ac:dyDescent="0.2">
      <c r="A34" s="1412">
        <v>10</v>
      </c>
      <c r="B34" s="246" t="s">
        <v>1335</v>
      </c>
      <c r="C34" s="913"/>
      <c r="D34" s="914" t="str">
        <f>IFERROR(HLOOKUP($N$6,PriorYr905!$E$8:$AH$79,71,FALSE),"")</f>
        <v/>
      </c>
      <c r="E34" s="913"/>
      <c r="F34" s="914"/>
      <c r="G34" s="913"/>
      <c r="H34" s="914"/>
      <c r="I34" s="913"/>
      <c r="J34" s="914"/>
      <c r="K34" s="913"/>
      <c r="L34" s="914"/>
      <c r="M34" s="913"/>
      <c r="N34" s="914"/>
      <c r="O34" s="913"/>
      <c r="P34" s="914"/>
      <c r="Q34" s="913"/>
      <c r="R34" s="914"/>
      <c r="S34" s="913"/>
      <c r="T34" s="915">
        <f t="shared" si="1"/>
        <v>0</v>
      </c>
      <c r="Z34" s="2275">
        <v>12752000</v>
      </c>
    </row>
    <row r="35" spans="1:26" ht="21.75" customHeight="1" x14ac:dyDescent="0.2">
      <c r="A35" s="1412">
        <v>11</v>
      </c>
      <c r="B35" s="246" t="s">
        <v>3516</v>
      </c>
      <c r="C35" s="913"/>
      <c r="D35" s="914" t="str">
        <f>IFERROR(HLOOKUP($N$6,PriorYr905!$E$8:$AH$79,72,FALSE),"")</f>
        <v/>
      </c>
      <c r="E35" s="913"/>
      <c r="F35" s="914"/>
      <c r="G35" s="913"/>
      <c r="H35" s="914"/>
      <c r="I35" s="913"/>
      <c r="J35" s="914"/>
      <c r="K35" s="913"/>
      <c r="L35" s="914"/>
      <c r="M35" s="913"/>
      <c r="N35" s="914"/>
      <c r="O35" s="913"/>
      <c r="P35" s="914"/>
      <c r="Q35" s="913"/>
      <c r="R35" s="914"/>
      <c r="S35" s="913"/>
      <c r="T35" s="915">
        <f t="shared" si="1"/>
        <v>0</v>
      </c>
      <c r="Z35" s="2275">
        <v>12750000</v>
      </c>
    </row>
    <row r="36" spans="1:26" ht="21.75" customHeight="1" x14ac:dyDescent="0.2">
      <c r="B36" s="912" t="s">
        <v>5487</v>
      </c>
      <c r="C36" s="913"/>
      <c r="D36" s="2510"/>
      <c r="E36" s="2622"/>
      <c r="F36" s="2510"/>
      <c r="G36" s="2622"/>
      <c r="H36" s="2510"/>
      <c r="I36" s="2622"/>
      <c r="J36" s="2510"/>
      <c r="K36" s="2622"/>
      <c r="L36" s="2510"/>
      <c r="M36" s="2622"/>
      <c r="N36" s="2510"/>
      <c r="O36" s="2622"/>
      <c r="P36" s="2510"/>
      <c r="Q36" s="2622"/>
      <c r="R36" s="2510"/>
      <c r="S36" s="2622"/>
      <c r="T36" s="2621"/>
      <c r="U36" s="2623"/>
      <c r="Z36" s="2275"/>
    </row>
    <row r="37" spans="1:26" ht="21.75" customHeight="1" x14ac:dyDescent="0.2">
      <c r="A37" s="1412">
        <v>12</v>
      </c>
      <c r="B37" s="2506" t="s">
        <v>5481</v>
      </c>
      <c r="C37" s="913"/>
      <c r="D37" s="914" t="str">
        <f>IFERROR(HLOOKUP($N$6,PriorYr905!$E$8:$AH$79,66,FALSE),"")</f>
        <v/>
      </c>
      <c r="E37" s="913"/>
      <c r="F37" s="1445"/>
      <c r="G37" s="913"/>
      <c r="H37" s="914"/>
      <c r="I37" s="913"/>
      <c r="J37" s="914"/>
      <c r="K37" s="913"/>
      <c r="L37" s="914"/>
      <c r="M37" s="913"/>
      <c r="N37" s="914"/>
      <c r="O37" s="913"/>
      <c r="P37" s="914"/>
      <c r="Q37" s="913"/>
      <c r="R37" s="914"/>
      <c r="S37" s="913"/>
      <c r="T37" s="915">
        <f t="shared" si="1"/>
        <v>0</v>
      </c>
      <c r="U37" s="2498"/>
      <c r="V37" s="2500" t="s">
        <v>5444</v>
      </c>
      <c r="Z37" s="2275">
        <v>12700100</v>
      </c>
    </row>
    <row r="38" spans="1:26" ht="21.75" customHeight="1" x14ac:dyDescent="0.2">
      <c r="A38" s="1412">
        <v>13</v>
      </c>
      <c r="B38" s="2506" t="s">
        <v>5482</v>
      </c>
      <c r="C38" s="913"/>
      <c r="D38" s="914" t="str">
        <f>IFERROR(HLOOKUP($N$6,PriorYr905!$E$8:$AH$79,67,FALSE),"")</f>
        <v/>
      </c>
      <c r="E38" s="913"/>
      <c r="F38" s="914"/>
      <c r="G38" s="913"/>
      <c r="H38" s="914"/>
      <c r="I38" s="913"/>
      <c r="J38" s="914"/>
      <c r="K38" s="913"/>
      <c r="L38" s="914"/>
      <c r="M38" s="913"/>
      <c r="N38" s="914"/>
      <c r="O38" s="913"/>
      <c r="P38" s="914"/>
      <c r="Q38" s="913"/>
      <c r="R38" s="914"/>
      <c r="S38" s="913"/>
      <c r="T38" s="915">
        <f t="shared" si="1"/>
        <v>0</v>
      </c>
      <c r="U38" s="2500"/>
      <c r="V38" s="2500" t="s">
        <v>5444</v>
      </c>
      <c r="Z38" s="2275">
        <v>12710100</v>
      </c>
    </row>
    <row r="39" spans="1:26" ht="21.75" customHeight="1" x14ac:dyDescent="0.2">
      <c r="A39" s="1412">
        <v>14</v>
      </c>
      <c r="B39" s="2506" t="s">
        <v>5483</v>
      </c>
      <c r="C39" s="913"/>
      <c r="D39" s="914" t="str">
        <f>IFERROR(HLOOKUP($N$6,PriorYr905!$E$8:$AH$79,68,FALSE),"")</f>
        <v/>
      </c>
      <c r="E39" s="913"/>
      <c r="F39" s="914"/>
      <c r="G39" s="913"/>
      <c r="H39" s="914"/>
      <c r="I39" s="913"/>
      <c r="J39" s="914"/>
      <c r="K39" s="913"/>
      <c r="L39" s="914"/>
      <c r="M39" s="913"/>
      <c r="N39" s="914"/>
      <c r="O39" s="913"/>
      <c r="P39" s="914"/>
      <c r="Q39" s="913"/>
      <c r="R39" s="914"/>
      <c r="S39" s="913"/>
      <c r="T39" s="915">
        <f t="shared" si="1"/>
        <v>0</v>
      </c>
      <c r="U39" s="2500"/>
      <c r="V39" s="2500" t="s">
        <v>5444</v>
      </c>
      <c r="Z39" s="2275">
        <v>12735000</v>
      </c>
    </row>
    <row r="40" spans="1:26" ht="21.75" customHeight="1" x14ac:dyDescent="0.2">
      <c r="A40" s="1412">
        <v>15</v>
      </c>
      <c r="B40" s="2506" t="s">
        <v>5484</v>
      </c>
      <c r="C40" s="913"/>
      <c r="D40" s="914" t="str">
        <f>IFERROR(HLOOKUP($N$6,PriorYr905!$E$8:$AH$79,69,FALSE),"")</f>
        <v/>
      </c>
      <c r="E40" s="913"/>
      <c r="F40" s="1445"/>
      <c r="G40" s="913"/>
      <c r="H40" s="914"/>
      <c r="I40" s="913"/>
      <c r="J40" s="914"/>
      <c r="K40" s="913"/>
      <c r="L40" s="914"/>
      <c r="M40" s="913"/>
      <c r="N40" s="914"/>
      <c r="O40" s="913"/>
      <c r="P40" s="914"/>
      <c r="Q40" s="913"/>
      <c r="R40" s="914"/>
      <c r="S40" s="913"/>
      <c r="T40" s="915">
        <f t="shared" si="1"/>
        <v>0</v>
      </c>
      <c r="U40" s="2500"/>
      <c r="V40" s="2500" t="s">
        <v>5444</v>
      </c>
      <c r="Z40" s="2275">
        <v>12729500</v>
      </c>
    </row>
    <row r="41" spans="1:26" ht="21.75" customHeight="1" thickBot="1" x14ac:dyDescent="0.25">
      <c r="B41" s="917" t="s">
        <v>1056</v>
      </c>
      <c r="C41" s="913"/>
      <c r="D41" s="918">
        <f>SUM(D20:D40)</f>
        <v>0</v>
      </c>
      <c r="E41" s="916">
        <f t="shared" ref="E41:S41" si="2">SUM(E20:E35)</f>
        <v>0</v>
      </c>
      <c r="F41" s="918">
        <f>SUM(F20:F40)</f>
        <v>0</v>
      </c>
      <c r="G41" s="916">
        <f t="shared" si="2"/>
        <v>0</v>
      </c>
      <c r="H41" s="918">
        <f>SUM(H20:H40)</f>
        <v>0</v>
      </c>
      <c r="I41" s="916">
        <f t="shared" si="2"/>
        <v>0</v>
      </c>
      <c r="J41" s="918">
        <f>SUM(J20:J40)</f>
        <v>0</v>
      </c>
      <c r="K41" s="916">
        <f t="shared" si="2"/>
        <v>0</v>
      </c>
      <c r="L41" s="918">
        <f>SUM(L20:L40)</f>
        <v>0</v>
      </c>
      <c r="M41" s="916">
        <f t="shared" si="2"/>
        <v>0</v>
      </c>
      <c r="N41" s="918">
        <f>SUM(N20:N40)</f>
        <v>0</v>
      </c>
      <c r="O41" s="916">
        <f t="shared" si="2"/>
        <v>0</v>
      </c>
      <c r="P41" s="918">
        <f>SUM(P20:P40)</f>
        <v>0</v>
      </c>
      <c r="Q41" s="916">
        <f t="shared" si="2"/>
        <v>0</v>
      </c>
      <c r="R41" s="918">
        <f>SUM(R20:R40)</f>
        <v>0</v>
      </c>
      <c r="S41" s="916">
        <f t="shared" si="2"/>
        <v>0</v>
      </c>
      <c r="T41" s="918">
        <f>SUM(T20:T40)</f>
        <v>0</v>
      </c>
      <c r="Z41" s="2275"/>
    </row>
    <row r="42" spans="1:26" ht="16.5" customHeight="1" thickTop="1" x14ac:dyDescent="0.2">
      <c r="B42" s="919"/>
      <c r="D42" s="916"/>
      <c r="E42" s="913"/>
      <c r="F42" s="1444" t="str">
        <f>IF(W42&gt;0,"Worksheet 430G or Worksheet 430BTA must be completed"," ")</f>
        <v xml:space="preserve"> </v>
      </c>
      <c r="G42" s="913"/>
      <c r="H42" s="916"/>
      <c r="I42" s="913"/>
      <c r="J42" s="916"/>
      <c r="K42" s="913"/>
      <c r="L42" s="916"/>
      <c r="M42" s="913"/>
      <c r="N42" s="87"/>
      <c r="O42" s="913"/>
      <c r="P42" s="916"/>
      <c r="R42" s="916"/>
      <c r="T42" s="916"/>
      <c r="W42" s="911">
        <f>SUM(F20:F35)</f>
        <v>0</v>
      </c>
    </row>
    <row r="43" spans="1:26" ht="6" customHeight="1" x14ac:dyDescent="0.2">
      <c r="B43" s="919"/>
      <c r="D43" s="916"/>
      <c r="E43" s="913"/>
      <c r="F43" s="916"/>
      <c r="G43" s="913"/>
      <c r="H43" s="916"/>
      <c r="I43" s="913"/>
      <c r="J43" s="916"/>
      <c r="K43" s="913"/>
      <c r="L43" s="916"/>
      <c r="M43" s="913"/>
      <c r="N43" s="87"/>
      <c r="O43" s="913"/>
      <c r="P43" s="916"/>
      <c r="R43" s="916"/>
      <c r="T43" s="916"/>
    </row>
    <row r="44" spans="1:26" ht="6" customHeight="1" x14ac:dyDescent="0.2">
      <c r="B44" s="919"/>
      <c r="D44" s="916"/>
      <c r="E44" s="913"/>
      <c r="F44" s="916"/>
      <c r="G44" s="913"/>
      <c r="H44" s="916"/>
      <c r="I44" s="913"/>
      <c r="J44" s="916"/>
      <c r="K44" s="913"/>
      <c r="L44" s="916"/>
      <c r="M44" s="913"/>
      <c r="N44" s="87"/>
      <c r="O44" s="913"/>
      <c r="P44" s="916"/>
      <c r="R44" s="916"/>
      <c r="T44" s="916"/>
    </row>
    <row r="45" spans="1:26" ht="12" customHeight="1" x14ac:dyDescent="0.2">
      <c r="B45" s="2786" t="s">
        <v>3635</v>
      </c>
      <c r="C45" s="2787"/>
      <c r="D45" s="2787"/>
      <c r="E45" s="2787"/>
      <c r="F45" s="2787"/>
      <c r="G45" s="2787"/>
      <c r="H45" s="2787"/>
      <c r="I45" s="2787"/>
      <c r="J45" s="2787"/>
      <c r="K45" s="2787"/>
      <c r="L45" s="2787"/>
      <c r="M45" s="2787"/>
      <c r="N45" s="2787"/>
      <c r="O45" s="2787"/>
      <c r="P45" s="2787"/>
      <c r="Q45" s="2787"/>
      <c r="R45" s="2787"/>
      <c r="S45" s="2787"/>
      <c r="T45" s="2787"/>
    </row>
    <row r="46" spans="1:26" ht="15.75" customHeight="1" x14ac:dyDescent="0.25">
      <c r="B46" s="917" t="s">
        <v>5640</v>
      </c>
      <c r="E46" s="62"/>
      <c r="F46" s="62"/>
      <c r="G46" s="62"/>
      <c r="H46" s="62"/>
      <c r="I46" s="62"/>
      <c r="J46" s="62"/>
      <c r="K46" s="62"/>
      <c r="L46" s="62"/>
      <c r="M46" s="62"/>
      <c r="N46" s="62"/>
      <c r="O46" s="62"/>
      <c r="P46" s="62"/>
      <c r="Q46" s="62"/>
      <c r="R46" s="62"/>
      <c r="S46" s="62"/>
      <c r="T46" s="62"/>
    </row>
    <row r="47" spans="1:26" ht="15.75" customHeight="1" x14ac:dyDescent="0.25">
      <c r="B47" s="912" t="s">
        <v>4922</v>
      </c>
      <c r="E47" s="62"/>
      <c r="F47" s="62"/>
      <c r="G47" s="62"/>
      <c r="H47" s="62"/>
      <c r="I47" s="62"/>
      <c r="J47" s="62"/>
      <c r="K47" s="62"/>
      <c r="L47" s="62"/>
      <c r="M47" s="62"/>
      <c r="N47" s="62"/>
      <c r="O47" s="62"/>
      <c r="P47" s="62"/>
      <c r="Q47" s="62"/>
      <c r="R47" s="62"/>
      <c r="S47" s="62"/>
      <c r="T47" s="62"/>
    </row>
    <row r="48" spans="1:26" ht="15.75" customHeight="1" x14ac:dyDescent="0.25">
      <c r="B48" s="1035" t="s">
        <v>3727</v>
      </c>
      <c r="E48" s="62"/>
      <c r="F48" s="62"/>
      <c r="G48" s="62"/>
      <c r="H48" s="62"/>
      <c r="I48" s="62"/>
      <c r="J48" s="62"/>
      <c r="K48" s="62"/>
      <c r="L48" s="62"/>
      <c r="M48" s="62"/>
      <c r="N48" s="62"/>
      <c r="O48" s="62"/>
      <c r="P48" s="62"/>
      <c r="Q48" s="62"/>
      <c r="R48" s="62"/>
      <c r="S48" s="62"/>
      <c r="T48" s="62"/>
    </row>
    <row r="49" spans="1:26" ht="15.75" customHeight="1" x14ac:dyDescent="0.25">
      <c r="B49" s="917"/>
      <c r="D49" s="748"/>
      <c r="E49" s="62"/>
      <c r="F49" s="62"/>
      <c r="G49" s="62"/>
      <c r="I49" s="920"/>
      <c r="J49" s="920"/>
      <c r="K49" s="920"/>
      <c r="L49" s="921"/>
      <c r="M49" s="920"/>
      <c r="N49" s="920"/>
      <c r="O49" s="897"/>
      <c r="Q49" s="62"/>
      <c r="R49" s="62"/>
      <c r="S49" s="62"/>
      <c r="T49" s="62"/>
    </row>
    <row r="50" spans="1:26" ht="7.5" customHeight="1" x14ac:dyDescent="0.25">
      <c r="B50" s="917"/>
      <c r="E50" s="62"/>
      <c r="F50" s="62"/>
      <c r="G50" s="62"/>
      <c r="H50" s="748"/>
      <c r="I50" s="920"/>
      <c r="J50" s="920"/>
      <c r="K50" s="920"/>
      <c r="L50" s="920"/>
      <c r="M50" s="920"/>
      <c r="N50" s="920"/>
      <c r="O50" s="897"/>
      <c r="P50" s="921"/>
      <c r="Q50" s="62"/>
      <c r="R50" s="62"/>
      <c r="S50" s="62"/>
      <c r="T50" s="62"/>
    </row>
    <row r="51" spans="1:26" ht="15.75" customHeight="1" x14ac:dyDescent="0.25">
      <c r="B51" s="917"/>
      <c r="E51" s="62"/>
      <c r="F51" s="62"/>
      <c r="G51" s="62"/>
      <c r="H51" s="62"/>
      <c r="I51" s="62"/>
      <c r="J51" s="62"/>
      <c r="K51" s="62"/>
      <c r="L51" s="62"/>
      <c r="M51" s="62"/>
      <c r="N51" s="62"/>
      <c r="O51" s="62"/>
      <c r="P51" s="62"/>
      <c r="Q51" s="62"/>
      <c r="R51" s="62"/>
      <c r="S51" s="62"/>
      <c r="T51" s="62"/>
    </row>
    <row r="52" spans="1:26" ht="13.5" customHeight="1" x14ac:dyDescent="0.2">
      <c r="B52" s="748"/>
      <c r="C52" s="920"/>
      <c r="D52" s="920"/>
      <c r="E52" s="920"/>
      <c r="F52" s="920"/>
      <c r="G52" s="920"/>
      <c r="H52" s="920"/>
      <c r="I52" s="897"/>
      <c r="J52" s="921"/>
      <c r="Q52" s="921"/>
      <c r="R52" s="921"/>
      <c r="S52" s="921"/>
      <c r="T52" s="921"/>
    </row>
    <row r="53" spans="1:26" ht="13.5" customHeight="1" x14ac:dyDescent="0.2">
      <c r="A53" s="1415" t="str">
        <f ca="1">MID(CELL("filename",A1),FIND("]",CELL("filename",A1))+1,256)</f>
        <v>201</v>
      </c>
      <c r="B53" s="922"/>
      <c r="C53" s="920"/>
      <c r="D53" s="920"/>
      <c r="E53" s="920"/>
      <c r="F53" s="920"/>
      <c r="G53" s="920"/>
      <c r="H53" s="920"/>
      <c r="I53" s="920"/>
      <c r="J53" s="921"/>
      <c r="K53" s="921"/>
      <c r="L53" s="921"/>
      <c r="M53" s="921"/>
      <c r="N53" s="921"/>
      <c r="O53" s="921"/>
      <c r="P53" s="921"/>
      <c r="Q53" s="921"/>
      <c r="R53" s="921"/>
      <c r="S53" s="921"/>
      <c r="T53" s="921"/>
    </row>
    <row r="54" spans="1:26" ht="15" x14ac:dyDescent="0.2">
      <c r="A54" s="1415"/>
      <c r="B54" s="921"/>
      <c r="C54" s="923"/>
      <c r="D54" s="921"/>
      <c r="E54" s="921"/>
      <c r="F54" s="921"/>
      <c r="G54" s="921"/>
      <c r="H54" s="921"/>
      <c r="I54" s="921"/>
      <c r="J54" s="921"/>
      <c r="K54" s="921"/>
      <c r="L54" s="921"/>
      <c r="M54" s="921"/>
      <c r="N54" s="921"/>
      <c r="O54" s="921"/>
      <c r="P54" s="921"/>
      <c r="Q54" s="921"/>
      <c r="R54" s="921"/>
      <c r="S54" s="921"/>
      <c r="T54" s="921"/>
    </row>
    <row r="55" spans="1:26" ht="15" x14ac:dyDescent="0.2">
      <c r="A55" s="1415"/>
      <c r="B55" s="794"/>
      <c r="C55" s="794"/>
    </row>
    <row r="56" spans="1:26" s="76" customFormat="1" ht="15" x14ac:dyDescent="0.2">
      <c r="A56" s="1415"/>
      <c r="B56" s="794" t="s">
        <v>449</v>
      </c>
      <c r="C56" s="794"/>
      <c r="Z56" s="2276"/>
    </row>
    <row r="57" spans="1:26" s="76" customFormat="1" ht="15" x14ac:dyDescent="0.2">
      <c r="A57" s="1415" t="s">
        <v>446</v>
      </c>
      <c r="B57" s="794" t="str">
        <f t="shared" ref="B57:B66" ca="1" si="3">IF(ISNA(INDEX(ErrorTable,MATCH($A$53&amp;$A57&amp;FALSE,ErrorKey,0),6)),"",INDEX(ErrorTable,MATCH($A$53&amp;$A57&amp;FALSE,ErrorKey,0),6))</f>
        <v>GASB number is blank.</v>
      </c>
      <c r="C57" s="794"/>
      <c r="Z57" s="2276"/>
    </row>
    <row r="58" spans="1:26" s="76" customFormat="1" ht="15" x14ac:dyDescent="0.2">
      <c r="A58" s="1415" t="s">
        <v>447</v>
      </c>
      <c r="B58" s="794" t="str">
        <f t="shared" ca="1" si="3"/>
        <v/>
      </c>
      <c r="C58" s="794"/>
      <c r="Z58" s="2276"/>
    </row>
    <row r="59" spans="1:26" s="76" customFormat="1" ht="15" x14ac:dyDescent="0.2">
      <c r="A59" s="1415" t="s">
        <v>448</v>
      </c>
      <c r="B59" s="794" t="str">
        <f t="shared" ca="1" si="3"/>
        <v/>
      </c>
      <c r="C59" s="794"/>
      <c r="Z59" s="2276"/>
    </row>
    <row r="60" spans="1:26" s="76" customFormat="1" ht="15" x14ac:dyDescent="0.2">
      <c r="A60" s="1415" t="s">
        <v>450</v>
      </c>
      <c r="B60" s="794" t="str">
        <f t="shared" ca="1" si="3"/>
        <v/>
      </c>
      <c r="C60" s="794"/>
      <c r="Z60" s="2276"/>
    </row>
    <row r="61" spans="1:26" s="76" customFormat="1" ht="15" x14ac:dyDescent="0.2">
      <c r="A61" s="1415" t="s">
        <v>451</v>
      </c>
      <c r="B61" s="794" t="str">
        <f t="shared" ca="1" si="3"/>
        <v/>
      </c>
      <c r="C61" s="794"/>
      <c r="Z61" s="2276"/>
    </row>
    <row r="62" spans="1:26" s="76" customFormat="1" ht="15" x14ac:dyDescent="0.2">
      <c r="A62" s="1415" t="s">
        <v>452</v>
      </c>
      <c r="B62" s="794" t="str">
        <f t="shared" ca="1" si="3"/>
        <v/>
      </c>
      <c r="C62" s="794"/>
      <c r="Z62" s="2276"/>
    </row>
    <row r="63" spans="1:26" s="76" customFormat="1" ht="15" x14ac:dyDescent="0.2">
      <c r="A63" s="1415" t="s">
        <v>453</v>
      </c>
      <c r="B63" s="794" t="str">
        <f t="shared" ca="1" si="3"/>
        <v/>
      </c>
      <c r="C63" s="794"/>
      <c r="Z63" s="2276"/>
    </row>
    <row r="64" spans="1:26" s="76" customFormat="1" ht="20.100000000000001" customHeight="1" x14ac:dyDescent="0.2">
      <c r="A64" s="1415" t="s">
        <v>454</v>
      </c>
      <c r="B64" s="794" t="str">
        <f t="shared" ca="1" si="3"/>
        <v/>
      </c>
      <c r="Z64" s="2276"/>
    </row>
    <row r="65" spans="1:26" s="76" customFormat="1" ht="20.100000000000001" customHeight="1" x14ac:dyDescent="0.2">
      <c r="A65" s="1415" t="s">
        <v>455</v>
      </c>
      <c r="B65" s="794" t="str">
        <f t="shared" ca="1" si="3"/>
        <v/>
      </c>
      <c r="Z65" s="2276"/>
    </row>
    <row r="66" spans="1:26" s="76" customFormat="1" ht="20.100000000000001" customHeight="1" x14ac:dyDescent="0.2">
      <c r="A66" s="1415" t="s">
        <v>456</v>
      </c>
      <c r="B66" s="794" t="str">
        <f t="shared" ca="1" si="3"/>
        <v/>
      </c>
      <c r="Z66" s="2276"/>
    </row>
    <row r="67" spans="1:26" s="76" customFormat="1" ht="20.100000000000001" customHeight="1" x14ac:dyDescent="0.2">
      <c r="A67" s="1416"/>
      <c r="Z67" s="2276"/>
    </row>
    <row r="68" spans="1:26" s="76" customFormat="1" ht="20.100000000000001" customHeight="1" x14ac:dyDescent="0.2">
      <c r="A68" s="1416"/>
      <c r="Z68" s="2276"/>
    </row>
    <row r="69" spans="1:26" s="76" customFormat="1" ht="20.100000000000001" customHeight="1" x14ac:dyDescent="0.2">
      <c r="A69" s="1416"/>
      <c r="Z69" s="2276"/>
    </row>
    <row r="70" spans="1:26" s="76" customFormat="1" ht="20.100000000000001" customHeight="1" x14ac:dyDescent="0.2">
      <c r="A70" s="1416"/>
      <c r="Z70" s="2276"/>
    </row>
    <row r="71" spans="1:26" ht="20.100000000000001" customHeight="1" x14ac:dyDescent="0.2">
      <c r="A71" s="1416"/>
      <c r="Q71" s="76"/>
      <c r="R71" s="76"/>
    </row>
    <row r="72" spans="1:26" ht="20.100000000000001" customHeight="1" x14ac:dyDescent="0.2">
      <c r="A72" s="1416"/>
      <c r="Q72" s="76"/>
      <c r="R72" s="76"/>
    </row>
    <row r="73" spans="1:26" ht="20.100000000000001" customHeight="1" x14ac:dyDescent="0.2">
      <c r="A73" s="1416"/>
      <c r="Q73" s="76"/>
      <c r="R73" s="76"/>
    </row>
    <row r="74" spans="1:26" ht="20.100000000000001" customHeight="1" x14ac:dyDescent="0.2">
      <c r="Q74" s="76"/>
      <c r="R74" s="76"/>
    </row>
    <row r="75" spans="1:26" ht="20.100000000000001" customHeight="1" x14ac:dyDescent="0.2">
      <c r="Q75" s="76"/>
      <c r="R75" s="76"/>
    </row>
    <row r="76" spans="1:26" ht="20.100000000000001" customHeight="1" x14ac:dyDescent="0.2">
      <c r="Q76" s="76"/>
      <c r="R76" s="76"/>
    </row>
    <row r="77" spans="1:26" ht="20.100000000000001" customHeight="1" x14ac:dyDescent="0.2">
      <c r="Q77" s="76"/>
      <c r="R77" s="76"/>
    </row>
    <row r="78" spans="1:26" ht="20.100000000000001" customHeight="1" x14ac:dyDescent="0.2">
      <c r="Q78" s="76"/>
      <c r="R78" s="76"/>
    </row>
    <row r="79" spans="1:26" ht="20.100000000000001" customHeight="1" x14ac:dyDescent="0.2">
      <c r="Q79" s="76"/>
      <c r="R79" s="76"/>
    </row>
    <row r="80" spans="1:26" x14ac:dyDescent="0.2">
      <c r="Q80" s="76"/>
      <c r="R80" s="76"/>
    </row>
    <row r="81" spans="17:18" x14ac:dyDescent="0.2">
      <c r="Q81" s="76"/>
      <c r="R81" s="76"/>
    </row>
    <row r="82" spans="17:18" x14ac:dyDescent="0.2">
      <c r="Q82" s="76"/>
      <c r="R82" s="76"/>
    </row>
    <row r="83" spans="17:18" x14ac:dyDescent="0.2">
      <c r="Q83" s="76"/>
      <c r="R83" s="76"/>
    </row>
    <row r="84" spans="17:18" x14ac:dyDescent="0.2">
      <c r="Q84" s="76"/>
      <c r="R84" s="76"/>
    </row>
    <row r="85" spans="17:18" x14ac:dyDescent="0.2">
      <c r="Q85" s="76"/>
      <c r="R85" s="76"/>
    </row>
  </sheetData>
  <sheetProtection algorithmName="SHA-512" hashValue="A5F7au2/F1H+F3yfZoobQKU2OfthLgd8qWZxC+v0f5LoX9hj+c6M6n2clz7tOP632qviWp+tPosHtUscghPGlw==" saltValue="p9c/xOZPiWDixlpKQOa7sA==" spinCount="100000" sheet="1" objects="1" scenarios="1" autoFilter="0"/>
  <customSheetViews>
    <customSheetView guid="{B08879A4-635B-4C39-9937-AC7883D562FC}" showGridLines="0" fitToPage="1" hiddenColumns="1" topLeftCell="B1">
      <selection activeCell="H38" sqref="H38"/>
      <pageMargins left="0.5" right="0.5" top="0.75" bottom="0.5" header="0.5" footer="0.25"/>
      <pageSetup scale="66" pageOrder="overThenDown" orientation="landscape" r:id="rId1"/>
      <headerFooter alignWithMargins="0">
        <oddFooter>&amp;R&amp;A</oddFooter>
      </headerFooter>
    </customSheetView>
    <customSheetView guid="{9FCFC836-1CA5-48BF-958D-24D2EA94B219}" showGridLines="0" fitToPage="1" hiddenColumns="1" topLeftCell="B1">
      <selection activeCell="H38" sqref="H38"/>
      <pageMargins left="0.5" right="0.5" top="0.75" bottom="0.5" header="0.5" footer="0.25"/>
      <pageSetup scale="66" pageOrder="overThenDown" orientation="landscape" r:id="rId2"/>
      <headerFooter alignWithMargins="0">
        <oddFooter>&amp;R&amp;A</oddFooter>
      </headerFooter>
    </customSheetView>
  </customSheetViews>
  <mergeCells count="10">
    <mergeCell ref="N9:T9"/>
    <mergeCell ref="H13:H16"/>
    <mergeCell ref="L13:N13"/>
    <mergeCell ref="B45:T45"/>
    <mergeCell ref="B1:T1"/>
    <mergeCell ref="U1:U3"/>
    <mergeCell ref="B2:T2"/>
    <mergeCell ref="B3:T3"/>
    <mergeCell ref="N7:T7"/>
    <mergeCell ref="N8:T8"/>
  </mergeCells>
  <conditionalFormatting sqref="U1:U4">
    <cfRule type="cellIs" dxfId="169"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4:R25"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0" xr:uid="{00000000-0002-0000-0700-000002000000}">
      <formula1>0</formula1>
    </dataValidation>
    <dataValidation type="decimal" operator="lessThan" allowBlank="1" showErrorMessage="1" errorTitle="Invalid data!" error="Retirements must be entered as negative numbers." sqref="P20:P25 P27:P40" xr:uid="{00000000-0002-0000-0700-000003000000}">
      <formula1>0</formula1>
    </dataValidation>
    <dataValidation type="decimal" operator="lessThanOrEqual" allowBlank="1" showInputMessage="1" showErrorMessage="1" errorTitle="Invalid data!" error="Amount must be negative." sqref="J25 J20:J21 J27:J40" xr:uid="{00000000-0002-0000-0700-000004000000}">
      <formula1>0</formula1>
    </dataValidation>
    <dataValidation type="decimal" operator="greaterThanOrEqual" allowBlank="1" showInputMessage="1" showErrorMessage="1" errorTitle="Invalid data!" error="Amount must be positive!" sqref="L20:L25 N20:N25 N27:N40 L27:L40"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5" right="0.5" top="0.75" bottom="0.5" header="0.5" footer="0.25"/>
  <pageSetup scale="64" pageOrder="overThenDown" orientation="landscape" r:id="rId3"/>
  <headerFooter alignWithMargins="0">
    <oddFooter>&amp;R&amp;A</oddFooter>
  </headerFooter>
  <ignoredErrors>
    <ignoredError sqref="D20:D40" unlockedFormula="1"/>
    <ignoredError sqref="K41:L41 N41 P41 R41" formula="1"/>
  </ignoredErrors>
  <legacyDrawing r:id="rId4"/>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pageSetUpPr fitToPage="1"/>
  </sheetPr>
  <dimension ref="A1:Y257"/>
  <sheetViews>
    <sheetView showGridLines="0" zoomScaleNormal="100" zoomScaleSheetLayoutView="100" workbookViewId="0">
      <selection activeCell="A184" sqref="A184"/>
    </sheetView>
  </sheetViews>
  <sheetFormatPr defaultColWidth="9.42578125" defaultRowHeight="12.75" x14ac:dyDescent="0.2"/>
  <cols>
    <col min="1" max="1" width="4.42578125" bestFit="1" customWidth="1"/>
    <col min="2" max="2" width="15.42578125" customWidth="1"/>
    <col min="3" max="3" width="21.42578125" customWidth="1"/>
    <col min="4" max="4" width="1.5703125" customWidth="1"/>
    <col min="5" max="5" width="2.42578125" customWidth="1"/>
    <col min="6" max="6" width="19.42578125" style="649" customWidth="1"/>
    <col min="7" max="7" width="1.5703125" customWidth="1"/>
    <col min="8" max="8" width="17.85546875" style="649" bestFit="1" customWidth="1"/>
    <col min="9" max="9" width="1.42578125" customWidth="1"/>
    <col min="10" max="10" width="15.5703125" customWidth="1"/>
    <col min="11" max="11" width="1.42578125" customWidth="1"/>
    <col min="12" max="12" width="11.5703125" customWidth="1"/>
    <col min="13" max="13" width="1.42578125" customWidth="1"/>
    <col min="14" max="14" width="10.42578125" customWidth="1"/>
  </cols>
  <sheetData>
    <row r="1" spans="1:25" ht="15.75" x14ac:dyDescent="0.25">
      <c r="A1" s="2767" t="str">
        <f>+Index!$A$1</f>
        <v xml:space="preserve">                                                               Office of the State Controller                                                                </v>
      </c>
      <c r="B1" s="2767"/>
      <c r="C1" s="2767"/>
      <c r="D1" s="2767"/>
      <c r="E1" s="2767"/>
      <c r="F1" s="2767"/>
      <c r="G1" s="2767"/>
      <c r="H1" s="622"/>
      <c r="I1" s="622"/>
      <c r="J1" s="1576"/>
      <c r="K1" s="1577" t="s">
        <v>3961</v>
      </c>
      <c r="L1" s="1576"/>
      <c r="M1" s="622"/>
      <c r="N1" s="2775" t="str">
        <f>IF(Index!$B$108="na", "NA", "")</f>
        <v/>
      </c>
      <c r="O1" s="622"/>
      <c r="Q1" s="622"/>
      <c r="R1" s="622"/>
      <c r="S1" s="622"/>
      <c r="T1" s="622"/>
      <c r="U1" s="622"/>
      <c r="V1" s="622"/>
      <c r="W1" s="622"/>
      <c r="X1" s="622"/>
    </row>
    <row r="2" spans="1:25" ht="16.5" x14ac:dyDescent="0.3">
      <c r="A2" s="3360" t="str">
        <f>+Index!$A$2</f>
        <v>2022 ACFR Worksheets</v>
      </c>
      <c r="B2" s="3360"/>
      <c r="C2" s="3360"/>
      <c r="D2" s="3360"/>
      <c r="E2" s="3360"/>
      <c r="F2" s="3360"/>
      <c r="G2" s="3360"/>
      <c r="H2" s="622"/>
      <c r="I2" s="281"/>
      <c r="J2" s="1578"/>
      <c r="K2" s="1575" t="s">
        <v>3962</v>
      </c>
      <c r="L2" s="1579">
        <v>0.15</v>
      </c>
      <c r="M2" s="281"/>
      <c r="N2" s="2775"/>
      <c r="O2" s="281"/>
      <c r="Q2" s="632"/>
      <c r="R2" s="632"/>
      <c r="S2" s="632"/>
      <c r="T2" s="632"/>
      <c r="U2" s="632"/>
      <c r="V2" s="632"/>
      <c r="W2" s="632"/>
      <c r="X2" s="632"/>
    </row>
    <row r="3" spans="1:25" ht="16.5" customHeight="1" x14ac:dyDescent="0.3">
      <c r="B3" s="3327" t="s">
        <v>3963</v>
      </c>
      <c r="C3" s="3327"/>
      <c r="D3" s="3327"/>
      <c r="E3" s="3327"/>
      <c r="F3" s="3327"/>
      <c r="G3" s="3327"/>
      <c r="H3" s="637"/>
      <c r="I3" s="637"/>
      <c r="J3" s="1580"/>
      <c r="K3" s="1575" t="s">
        <v>3964</v>
      </c>
      <c r="L3" s="1581">
        <f>IF(C5="69",15000000,IF(C5="U30",30000000,IF(OR(C5="U20",C5="48",C5="48E",C5="48L",C5="48R",C5="48C",C5="48T",C5="48HP",C5="48CW",C5="48X"),40000000,10000000)))</f>
        <v>10000000</v>
      </c>
      <c r="M3" s="637"/>
      <c r="N3" s="2775"/>
      <c r="O3" s="637"/>
      <c r="Q3" s="632"/>
      <c r="R3" s="632"/>
      <c r="S3" s="632"/>
      <c r="T3" s="632"/>
      <c r="U3" s="632"/>
      <c r="V3" s="632"/>
      <c r="W3" s="632"/>
      <c r="X3" s="632"/>
    </row>
    <row r="4" spans="1:25" ht="13.5" x14ac:dyDescent="0.25">
      <c r="A4" s="2896" t="s">
        <v>3965</v>
      </c>
      <c r="B4" s="2896"/>
      <c r="C4" s="2896"/>
      <c r="D4" s="2896"/>
      <c r="E4" s="2896"/>
      <c r="F4" s="2896"/>
      <c r="G4" s="2896"/>
      <c r="H4" s="4"/>
      <c r="I4" s="4"/>
      <c r="J4" s="1582"/>
      <c r="K4" s="1575" t="s">
        <v>3966</v>
      </c>
      <c r="L4" s="1583">
        <f>COUNTIF(N6:N253,"=C")</f>
        <v>0</v>
      </c>
      <c r="M4" s="4"/>
    </row>
    <row r="5" spans="1:25" s="200" customFormat="1" ht="15" customHeight="1" x14ac:dyDescent="0.2">
      <c r="B5" s="200" t="s">
        <v>327</v>
      </c>
      <c r="C5" s="639" t="str">
        <f>+Index!$E$10</f>
        <v>01</v>
      </c>
      <c r="D5" s="635"/>
      <c r="E5" s="635"/>
      <c r="H5" s="806" t="s">
        <v>972</v>
      </c>
      <c r="I5" s="3320" t="str">
        <f>+CONCATENATE(Index!$E$12," ",Index!$E$14)</f>
        <v xml:space="preserve"> </v>
      </c>
      <c r="J5" s="3320"/>
      <c r="K5" s="3320"/>
      <c r="L5" s="3320"/>
      <c r="M5"/>
      <c r="N5"/>
      <c r="O5"/>
      <c r="Q5" s="633"/>
      <c r="Y5" s="199"/>
    </row>
    <row r="6" spans="1:25" s="200" customFormat="1" ht="15" customHeight="1" x14ac:dyDescent="0.2">
      <c r="B6" s="200" t="s">
        <v>1154</v>
      </c>
      <c r="C6" s="3358" t="str">
        <f>+Index!$E$11</f>
        <v>North Carolina General Assembly</v>
      </c>
      <c r="D6" s="3358"/>
      <c r="E6" s="3358"/>
      <c r="F6" s="3358"/>
      <c r="H6" s="800" t="s">
        <v>348</v>
      </c>
      <c r="I6" s="679"/>
      <c r="J6" s="3359">
        <f>+Index!$E$13</f>
        <v>0</v>
      </c>
      <c r="K6" s="3359"/>
      <c r="L6" s="3359"/>
      <c r="Q6" s="634"/>
      <c r="R6" s="634"/>
      <c r="S6" s="634"/>
      <c r="T6" s="634"/>
      <c r="U6" s="634"/>
      <c r="V6" s="634"/>
      <c r="W6" s="634"/>
      <c r="X6" s="201"/>
      <c r="Y6" s="199"/>
    </row>
    <row r="7" spans="1:25" s="200" customFormat="1" ht="15" customHeight="1" x14ac:dyDescent="0.2">
      <c r="B7" s="200" t="s">
        <v>477</v>
      </c>
      <c r="C7" s="1574" t="e">
        <f>INDEX(NetAssetsData,MATCH('905'!$C$5,NetAssetsDataRow,0),4)</f>
        <v>#N/A</v>
      </c>
      <c r="D7" s="1047"/>
      <c r="E7" s="1047"/>
      <c r="G7" s="633"/>
      <c r="Y7" s="199"/>
    </row>
    <row r="8" spans="1:25" s="38" customFormat="1" ht="12" customHeight="1" x14ac:dyDescent="0.2">
      <c r="B8" s="1359" t="s">
        <v>3481</v>
      </c>
      <c r="C8" s="1360"/>
      <c r="D8" s="1360"/>
      <c r="E8" s="1360"/>
      <c r="F8" s="1360"/>
      <c r="G8" s="1360"/>
      <c r="H8" s="1360"/>
      <c r="I8" s="1361"/>
      <c r="J8" s="1360"/>
      <c r="K8" s="1362"/>
      <c r="L8" s="725"/>
      <c r="O8" s="122"/>
    </row>
    <row r="9" spans="1:25" x14ac:dyDescent="0.2">
      <c r="F9" s="1231" t="s">
        <v>1745</v>
      </c>
      <c r="H9" s="1231" t="s">
        <v>1746</v>
      </c>
      <c r="N9" s="1565" t="s">
        <v>3967</v>
      </c>
    </row>
    <row r="10" spans="1:25" ht="12.75" customHeight="1" x14ac:dyDescent="0.25">
      <c r="B10" s="109"/>
      <c r="C10" s="392"/>
      <c r="D10" s="392"/>
      <c r="E10" s="392"/>
      <c r="F10" s="408" t="str">
        <f>CONCATENATE("FY",YEAR(Data!$A$3),"-",YEAR(Data!$A$2))</f>
        <v>FY2021-2022</v>
      </c>
      <c r="G10" s="409"/>
      <c r="H10" s="408" t="str">
        <f>CONCATENATE("FY",YEAR(Data!$A$3)-1,"-",YEAR(Data!$A$2)-1)</f>
        <v>FY2020-2021</v>
      </c>
      <c r="I10" s="410"/>
      <c r="J10" s="408" t="s">
        <v>478</v>
      </c>
      <c r="K10" s="411"/>
      <c r="L10" s="412" t="s">
        <v>1012</v>
      </c>
      <c r="M10" s="411"/>
      <c r="N10" s="412" t="s">
        <v>3968</v>
      </c>
    </row>
    <row r="11" spans="1:25" x14ac:dyDescent="0.2">
      <c r="B11" s="394" t="s">
        <v>3973</v>
      </c>
      <c r="C11" s="807"/>
      <c r="D11" s="807"/>
      <c r="E11" s="807"/>
      <c r="F11" s="807"/>
      <c r="G11" s="807"/>
    </row>
    <row r="12" spans="1:25" x14ac:dyDescent="0.2">
      <c r="B12" s="784" t="s">
        <v>629</v>
      </c>
      <c r="C12" s="395"/>
      <c r="D12" s="395"/>
      <c r="E12" s="395"/>
    </row>
    <row r="13" spans="1:25" ht="14.25" customHeight="1" x14ac:dyDescent="0.25">
      <c r="A13" s="335">
        <v>1000</v>
      </c>
      <c r="B13" s="3357" t="s">
        <v>630</v>
      </c>
      <c r="C13" s="3357"/>
      <c r="D13" s="643"/>
      <c r="E13" s="643"/>
      <c r="F13" s="650">
        <f>'905'!F13</f>
        <v>0</v>
      </c>
      <c r="H13" s="650" t="e">
        <f>INDEX(PY905Data,MATCH($A13,PY905Row,0),MATCH($C$5,PY905Col,0))</f>
        <v>#N/A</v>
      </c>
      <c r="J13" s="413" t="e">
        <f>F13-H13</f>
        <v>#N/A</v>
      </c>
      <c r="L13" s="414" t="e">
        <f>IF(H13=0,0,J13/H13)</f>
        <v>#N/A</v>
      </c>
      <c r="N13" s="26" t="str">
        <f>IF($F$84=0," ",IF(AND(ABS(J13)&gt;$L$3,ABS(L13)&gt;$L$2),"C",IF(AND(ABS(F13+H13)&gt;0,H13=0,ABS(J13)&gt;$L$3),"C"," ")))</f>
        <v xml:space="preserve"> </v>
      </c>
    </row>
    <row r="14" spans="1:25" ht="13.5" x14ac:dyDescent="0.25">
      <c r="A14" s="335">
        <v>1010</v>
      </c>
      <c r="B14" s="3206" t="s">
        <v>270</v>
      </c>
      <c r="C14" s="3206"/>
      <c r="D14" s="398"/>
      <c r="E14" s="398"/>
      <c r="F14" s="649">
        <f>'905'!F14</f>
        <v>0</v>
      </c>
      <c r="H14" s="649" t="e">
        <f>INDEX(PY905Data,MATCH($A14,PY905Row,0),MATCH($C$5,PY905Col,0))</f>
        <v>#N/A</v>
      </c>
      <c r="J14" s="413" t="e">
        <f>F14-H14</f>
        <v>#N/A</v>
      </c>
      <c r="L14" s="414" t="e">
        <f>IF(H14=0,0,J14/H14)</f>
        <v>#N/A</v>
      </c>
      <c r="N14" s="26" t="str">
        <f t="shared" ref="N14:N36" si="0">IF($F$84=0," ",IF(AND(ABS(J14)&gt;$L$3,ABS(L14)&gt;$L$2),"C",IF(AND(ABS(F14+H14)&gt;0,H14=0,ABS(J14)&gt;$L$3),"C"," ")))</f>
        <v xml:space="preserve"> </v>
      </c>
    </row>
    <row r="15" spans="1:25" ht="13.5" x14ac:dyDescent="0.25">
      <c r="A15" s="335">
        <v>1050</v>
      </c>
      <c r="B15" s="3206" t="s">
        <v>425</v>
      </c>
      <c r="C15" s="3206"/>
      <c r="D15" s="398"/>
      <c r="E15" s="398"/>
      <c r="F15" s="649">
        <f>'905'!F15</f>
        <v>0</v>
      </c>
      <c r="H15" s="649" t="e">
        <f>INDEX(PY905Data,MATCH($A15,PY905Row,0),MATCH($C$5,PY905Col,0))</f>
        <v>#N/A</v>
      </c>
      <c r="J15" s="413" t="e">
        <f>F15-H15</f>
        <v>#N/A</v>
      </c>
      <c r="L15" s="414" t="e">
        <f>IF(H15=0,0,J15/H15)</f>
        <v>#N/A</v>
      </c>
      <c r="N15" s="26" t="str">
        <f t="shared" si="0"/>
        <v xml:space="preserve"> </v>
      </c>
    </row>
    <row r="16" spans="1:25" ht="13.5" x14ac:dyDescent="0.25">
      <c r="A16" s="335">
        <v>1060</v>
      </c>
      <c r="B16" s="3206" t="s">
        <v>1223</v>
      </c>
      <c r="C16" s="3206"/>
      <c r="D16" s="398"/>
      <c r="E16" s="398"/>
      <c r="F16" s="649">
        <f>'905'!F16</f>
        <v>0</v>
      </c>
      <c r="H16" s="649" t="e">
        <f>INDEX(PY905Data,MATCH($A16,PY905Row,0),MATCH($C$5,PY905Col,0))</f>
        <v>#N/A</v>
      </c>
      <c r="J16" s="413" t="e">
        <f>F16-H16</f>
        <v>#N/A</v>
      </c>
      <c r="L16" s="414" t="e">
        <f>IF(H16=0,0,J16/H16)</f>
        <v>#N/A</v>
      </c>
      <c r="N16" s="26" t="str">
        <f t="shared" si="0"/>
        <v xml:space="preserve"> </v>
      </c>
    </row>
    <row r="17" spans="1:14" ht="13.5" x14ac:dyDescent="0.25">
      <c r="A17" s="335">
        <v>1090</v>
      </c>
      <c r="B17" s="3206" t="s">
        <v>1403</v>
      </c>
      <c r="C17" s="3206"/>
      <c r="D17" s="398"/>
      <c r="E17" s="398"/>
      <c r="F17" s="649">
        <f>'905'!F17</f>
        <v>0</v>
      </c>
      <c r="H17" s="649" t="e">
        <f>INDEX(PY905Data,MATCH($A17,PY905Row,0),MATCH($C$5,PY905Col,0))</f>
        <v>#N/A</v>
      </c>
      <c r="J17" s="413" t="e">
        <f>F17-H17</f>
        <v>#N/A</v>
      </c>
      <c r="L17" s="414" t="e">
        <f>IF(H17=0,0,J17/H17)</f>
        <v>#N/A</v>
      </c>
      <c r="N17" s="26" t="str">
        <f t="shared" si="0"/>
        <v xml:space="preserve"> </v>
      </c>
    </row>
    <row r="18" spans="1:14" ht="13.5" x14ac:dyDescent="0.25">
      <c r="A18" s="335"/>
      <c r="B18" s="335" t="s">
        <v>198</v>
      </c>
      <c r="C18" s="335"/>
      <c r="D18" s="335"/>
      <c r="E18" s="335"/>
      <c r="J18" s="413"/>
      <c r="L18" s="414"/>
    </row>
    <row r="19" spans="1:14" ht="13.5" x14ac:dyDescent="0.25">
      <c r="A19" s="335">
        <v>1110</v>
      </c>
      <c r="B19" s="3355" t="s">
        <v>199</v>
      </c>
      <c r="C19" s="3355"/>
      <c r="D19" s="399"/>
      <c r="E19" s="399"/>
      <c r="F19" s="649">
        <f>'905'!F19</f>
        <v>0</v>
      </c>
      <c r="H19" s="649" t="e">
        <f t="shared" ref="H19:H36" si="1">INDEX(PY905Data,MATCH($A19,PY905Row,0),MATCH($C$5,PY905Col,0))</f>
        <v>#N/A</v>
      </c>
      <c r="J19" s="413" t="e">
        <f t="shared" ref="J19:J27" si="2">F19-H19</f>
        <v>#N/A</v>
      </c>
      <c r="L19" s="414" t="e">
        <f t="shared" ref="L19:L27" si="3">IF(H19=0,0,J19/H19)</f>
        <v>#N/A</v>
      </c>
      <c r="N19" s="26" t="str">
        <f t="shared" si="0"/>
        <v xml:space="preserve"> </v>
      </c>
    </row>
    <row r="20" spans="1:14" ht="13.5" x14ac:dyDescent="0.25">
      <c r="A20" s="335">
        <v>1120</v>
      </c>
      <c r="B20" s="3355" t="s">
        <v>312</v>
      </c>
      <c r="C20" s="3355"/>
      <c r="D20" s="399"/>
      <c r="E20" s="399"/>
      <c r="F20" s="649">
        <f>'905'!F20</f>
        <v>0</v>
      </c>
      <c r="H20" s="649" t="e">
        <f t="shared" si="1"/>
        <v>#N/A</v>
      </c>
      <c r="J20" s="413" t="e">
        <f t="shared" si="2"/>
        <v>#N/A</v>
      </c>
      <c r="L20" s="414" t="e">
        <f t="shared" si="3"/>
        <v>#N/A</v>
      </c>
      <c r="N20" s="26" t="str">
        <f t="shared" si="0"/>
        <v xml:space="preserve"> </v>
      </c>
    </row>
    <row r="21" spans="1:14" ht="13.5" x14ac:dyDescent="0.25">
      <c r="A21" s="335">
        <v>1130</v>
      </c>
      <c r="B21" s="3355" t="s">
        <v>200</v>
      </c>
      <c r="C21" s="3355"/>
      <c r="D21" s="399"/>
      <c r="E21" s="399"/>
      <c r="F21" s="649">
        <f>'905'!F21</f>
        <v>0</v>
      </c>
      <c r="H21" s="649" t="e">
        <f t="shared" si="1"/>
        <v>#N/A</v>
      </c>
      <c r="J21" s="413" t="e">
        <f t="shared" si="2"/>
        <v>#N/A</v>
      </c>
      <c r="L21" s="414" t="e">
        <f t="shared" si="3"/>
        <v>#N/A</v>
      </c>
      <c r="N21" s="26" t="str">
        <f t="shared" si="0"/>
        <v xml:space="preserve"> </v>
      </c>
    </row>
    <row r="22" spans="1:14" ht="13.5" x14ac:dyDescent="0.25">
      <c r="A22" s="335">
        <v>1160</v>
      </c>
      <c r="B22" s="3355" t="s">
        <v>637</v>
      </c>
      <c r="C22" s="3355"/>
      <c r="D22" s="399"/>
      <c r="E22" s="399"/>
      <c r="F22" s="649">
        <f>'905'!F22</f>
        <v>0</v>
      </c>
      <c r="H22" s="649" t="e">
        <f t="shared" si="1"/>
        <v>#N/A</v>
      </c>
      <c r="J22" s="413" t="e">
        <f t="shared" si="2"/>
        <v>#N/A</v>
      </c>
      <c r="L22" s="414" t="e">
        <f t="shared" si="3"/>
        <v>#N/A</v>
      </c>
      <c r="N22" s="26" t="str">
        <f t="shared" si="0"/>
        <v xml:space="preserve"> </v>
      </c>
    </row>
    <row r="23" spans="1:14" s="2209" customFormat="1" ht="13.5" x14ac:dyDescent="0.25">
      <c r="A23" s="2080">
        <v>1175</v>
      </c>
      <c r="B23" s="3306" t="s">
        <v>4827</v>
      </c>
      <c r="C23" s="3306"/>
      <c r="D23" s="2211"/>
      <c r="E23" s="2211"/>
      <c r="F23" s="649">
        <f>'905'!F23</f>
        <v>0</v>
      </c>
      <c r="H23" s="649" t="e">
        <f t="shared" si="1"/>
        <v>#N/A</v>
      </c>
      <c r="J23" s="413" t="e">
        <f t="shared" si="2"/>
        <v>#N/A</v>
      </c>
      <c r="L23" s="414" t="e">
        <f t="shared" si="3"/>
        <v>#N/A</v>
      </c>
      <c r="N23" s="2210" t="str">
        <f t="shared" si="0"/>
        <v xml:space="preserve"> </v>
      </c>
    </row>
    <row r="24" spans="1:14" ht="13.5" x14ac:dyDescent="0.25">
      <c r="A24" s="1129">
        <v>1190</v>
      </c>
      <c r="B24" s="3206" t="s">
        <v>638</v>
      </c>
      <c r="C24" s="3206"/>
      <c r="D24" s="398"/>
      <c r="E24" s="398"/>
      <c r="F24" s="649">
        <f>'905'!F24</f>
        <v>0</v>
      </c>
      <c r="H24" s="649" t="e">
        <f t="shared" si="1"/>
        <v>#N/A</v>
      </c>
      <c r="J24" s="413" t="e">
        <f t="shared" si="2"/>
        <v>#N/A</v>
      </c>
      <c r="L24" s="414" t="e">
        <f t="shared" si="3"/>
        <v>#N/A</v>
      </c>
      <c r="N24" s="26" t="str">
        <f t="shared" si="0"/>
        <v xml:space="preserve"> </v>
      </c>
    </row>
    <row r="25" spans="1:14" ht="13.5" x14ac:dyDescent="0.25">
      <c r="A25" s="1129">
        <v>1195</v>
      </c>
      <c r="B25" s="3206" t="s">
        <v>1531</v>
      </c>
      <c r="C25" s="3206"/>
      <c r="D25" s="398"/>
      <c r="E25" s="398"/>
      <c r="F25" s="649">
        <f>'905'!F25</f>
        <v>0</v>
      </c>
      <c r="H25" s="649" t="e">
        <f t="shared" si="1"/>
        <v>#N/A</v>
      </c>
      <c r="J25" s="413" t="e">
        <f t="shared" si="2"/>
        <v>#N/A</v>
      </c>
      <c r="L25" s="414" t="e">
        <f t="shared" si="3"/>
        <v>#N/A</v>
      </c>
      <c r="N25" s="26" t="str">
        <f t="shared" si="0"/>
        <v xml:space="preserve"> </v>
      </c>
    </row>
    <row r="26" spans="1:14" ht="13.5" x14ac:dyDescent="0.25">
      <c r="A26" s="1129">
        <v>1200</v>
      </c>
      <c r="B26" s="3206" t="s">
        <v>361</v>
      </c>
      <c r="C26" s="3206"/>
      <c r="D26" s="398"/>
      <c r="E26" s="398"/>
      <c r="F26" s="649">
        <f>'905'!F26</f>
        <v>0</v>
      </c>
      <c r="H26" s="649" t="e">
        <f t="shared" si="1"/>
        <v>#N/A</v>
      </c>
      <c r="J26" s="413" t="e">
        <f t="shared" si="2"/>
        <v>#N/A</v>
      </c>
      <c r="L26" s="414" t="e">
        <f t="shared" si="3"/>
        <v>#N/A</v>
      </c>
      <c r="N26" s="26" t="str">
        <f t="shared" si="0"/>
        <v xml:space="preserve"> </v>
      </c>
    </row>
    <row r="27" spans="1:14" ht="13.5" x14ac:dyDescent="0.25">
      <c r="A27" s="335">
        <v>1220</v>
      </c>
      <c r="B27" s="3206" t="s">
        <v>931</v>
      </c>
      <c r="C27" s="3206"/>
      <c r="D27" s="398"/>
      <c r="E27" s="398"/>
      <c r="F27" s="649">
        <f>'905'!F27</f>
        <v>0</v>
      </c>
      <c r="H27" s="649" t="e">
        <f t="shared" si="1"/>
        <v>#N/A</v>
      </c>
      <c r="J27" s="413" t="e">
        <f t="shared" si="2"/>
        <v>#N/A</v>
      </c>
      <c r="L27" s="414" t="e">
        <f t="shared" si="3"/>
        <v>#N/A</v>
      </c>
      <c r="N27" s="26" t="str">
        <f t="shared" si="0"/>
        <v xml:space="preserve"> </v>
      </c>
    </row>
    <row r="28" spans="1:14" ht="13.5" x14ac:dyDescent="0.25">
      <c r="A28" s="335">
        <v>1230</v>
      </c>
      <c r="B28" s="3206" t="s">
        <v>631</v>
      </c>
      <c r="C28" s="3206"/>
      <c r="D28" s="398"/>
      <c r="E28" s="398"/>
      <c r="F28" s="649">
        <f>'905'!F28</f>
        <v>0</v>
      </c>
      <c r="H28" s="649" t="e">
        <f t="shared" si="1"/>
        <v>#N/A</v>
      </c>
      <c r="J28" s="413" t="e">
        <f t="shared" ref="J28:J36" si="4">F28-H28</f>
        <v>#N/A</v>
      </c>
      <c r="L28" s="414" t="e">
        <f t="shared" ref="L28:L36" si="5">IF(H28=0,0,J28/H28)</f>
        <v>#N/A</v>
      </c>
      <c r="N28" s="26" t="str">
        <f t="shared" si="0"/>
        <v xml:space="preserve"> </v>
      </c>
    </row>
    <row r="29" spans="1:14" ht="13.5" x14ac:dyDescent="0.25">
      <c r="A29" s="335">
        <v>1210</v>
      </c>
      <c r="B29" s="3206" t="s">
        <v>549</v>
      </c>
      <c r="C29" s="3206"/>
      <c r="D29" s="398"/>
      <c r="E29" s="398"/>
      <c r="F29" s="649">
        <f>'905'!F29</f>
        <v>0</v>
      </c>
      <c r="H29" s="649" t="e">
        <f t="shared" si="1"/>
        <v>#N/A</v>
      </c>
      <c r="J29" s="413" t="e">
        <f t="shared" si="4"/>
        <v>#N/A</v>
      </c>
      <c r="L29" s="414" t="e">
        <f t="shared" si="5"/>
        <v>#N/A</v>
      </c>
      <c r="N29" s="26" t="str">
        <f t="shared" si="0"/>
        <v xml:space="preserve"> </v>
      </c>
    </row>
    <row r="30" spans="1:14" s="2529" customFormat="1" ht="13.5" x14ac:dyDescent="0.25">
      <c r="A30" s="2531">
        <v>1211</v>
      </c>
      <c r="B30" s="3307" t="s">
        <v>5531</v>
      </c>
      <c r="C30" s="3307"/>
      <c r="D30" s="2532"/>
      <c r="E30" s="2532"/>
      <c r="F30" s="649">
        <f>'905'!F30</f>
        <v>0</v>
      </c>
      <c r="H30" s="649" t="e">
        <f t="shared" si="1"/>
        <v>#N/A</v>
      </c>
      <c r="J30" s="413" t="e">
        <f t="shared" si="4"/>
        <v>#N/A</v>
      </c>
      <c r="L30" s="414" t="e">
        <f t="shared" si="5"/>
        <v>#N/A</v>
      </c>
      <c r="N30" s="2530" t="str">
        <f t="shared" si="0"/>
        <v xml:space="preserve"> </v>
      </c>
    </row>
    <row r="31" spans="1:14" ht="13.5" x14ac:dyDescent="0.25">
      <c r="A31" s="335">
        <v>1020</v>
      </c>
      <c r="B31" s="3357" t="s">
        <v>641</v>
      </c>
      <c r="C31" s="3357"/>
      <c r="D31" s="643"/>
      <c r="E31" s="643"/>
      <c r="F31" s="649">
        <f>'905'!F31</f>
        <v>0</v>
      </c>
      <c r="H31" s="649" t="e">
        <f t="shared" si="1"/>
        <v>#N/A</v>
      </c>
      <c r="J31" s="413" t="e">
        <f t="shared" si="4"/>
        <v>#N/A</v>
      </c>
      <c r="L31" s="414" t="e">
        <f t="shared" si="5"/>
        <v>#N/A</v>
      </c>
      <c r="N31" s="26" t="str">
        <f t="shared" si="0"/>
        <v xml:space="preserve"> </v>
      </c>
    </row>
    <row r="32" spans="1:14" ht="13.5" x14ac:dyDescent="0.25">
      <c r="A32" s="335">
        <v>1030</v>
      </c>
      <c r="B32" s="3206" t="s">
        <v>1532</v>
      </c>
      <c r="C32" s="3357"/>
      <c r="D32" s="643"/>
      <c r="E32" s="643"/>
      <c r="F32" s="393">
        <f>'905'!F32</f>
        <v>0</v>
      </c>
      <c r="H32" s="649" t="e">
        <f t="shared" si="1"/>
        <v>#N/A</v>
      </c>
      <c r="J32" s="413" t="e">
        <f>F32-H32</f>
        <v>#N/A</v>
      </c>
      <c r="L32" s="414" t="e">
        <f>IF(H32=0,0,J32/H32)</f>
        <v>#N/A</v>
      </c>
      <c r="N32" s="26" t="str">
        <f t="shared" si="0"/>
        <v xml:space="preserve"> </v>
      </c>
    </row>
    <row r="33" spans="1:15" ht="13.5" x14ac:dyDescent="0.25">
      <c r="A33" s="335">
        <v>1070</v>
      </c>
      <c r="B33" s="3206" t="s">
        <v>426</v>
      </c>
      <c r="C33" s="3206"/>
      <c r="D33" s="398"/>
      <c r="E33" s="398"/>
      <c r="F33" s="393">
        <f>'905'!F33</f>
        <v>0</v>
      </c>
      <c r="H33" s="649" t="e">
        <f t="shared" si="1"/>
        <v>#N/A</v>
      </c>
      <c r="J33" s="413" t="e">
        <f t="shared" si="4"/>
        <v>#N/A</v>
      </c>
      <c r="L33" s="414" t="e">
        <f t="shared" si="5"/>
        <v>#N/A</v>
      </c>
      <c r="N33" s="26" t="str">
        <f t="shared" si="0"/>
        <v xml:space="preserve"> </v>
      </c>
    </row>
    <row r="34" spans="1:15" ht="13.5" x14ac:dyDescent="0.25">
      <c r="A34" s="335">
        <v>1232</v>
      </c>
      <c r="B34" s="3206" t="s">
        <v>1346</v>
      </c>
      <c r="C34" s="3206"/>
      <c r="D34" s="398"/>
      <c r="E34" s="398"/>
      <c r="F34" s="393">
        <f>'905'!F34</f>
        <v>0</v>
      </c>
      <c r="H34" s="649" t="e">
        <f t="shared" si="1"/>
        <v>#N/A</v>
      </c>
      <c r="J34" s="413" t="e">
        <f>F34-H34</f>
        <v>#N/A</v>
      </c>
      <c r="L34" s="414" t="e">
        <f>IF(H34=0,0,J34/H34)</f>
        <v>#N/A</v>
      </c>
      <c r="N34" s="26" t="str">
        <f>IF($F$84=0," ",IF(AND(ABS(J34)&gt;$L$3,ABS(L34)&gt;$L$2),"C",IF(AND(ABS(F34+H34)&gt;0,H34=0,ABS(J34)&gt;$L$3),"C"," ")))</f>
        <v xml:space="preserve"> </v>
      </c>
    </row>
    <row r="35" spans="1:15" ht="13.5" x14ac:dyDescent="0.25">
      <c r="A35" s="335">
        <v>1235</v>
      </c>
      <c r="B35" s="3206" t="s">
        <v>4454</v>
      </c>
      <c r="C35" s="3206"/>
      <c r="D35" s="398"/>
      <c r="E35" s="398"/>
      <c r="F35" s="393">
        <f>'905'!F35</f>
        <v>0</v>
      </c>
      <c r="H35" s="649" t="e">
        <f t="shared" si="1"/>
        <v>#N/A</v>
      </c>
      <c r="J35" s="413" t="e">
        <f>F35-H35</f>
        <v>#N/A</v>
      </c>
      <c r="L35" s="414" t="e">
        <f>IF(H35=0,0,J35/H35)</f>
        <v>#N/A</v>
      </c>
      <c r="N35" s="26" t="str">
        <f>IF($F$84=0," ",IF(AND(ABS(J35)&gt;$L$3,ABS(L35)&gt;$L$2),"C",IF(AND(ABS(F35+H35)&gt;0,H35=0,ABS(J35)&gt;$L$3),"C"," ")))</f>
        <v xml:space="preserve"> </v>
      </c>
      <c r="O35" s="1610"/>
    </row>
    <row r="36" spans="1:15" ht="13.5" x14ac:dyDescent="0.25">
      <c r="A36" s="335">
        <v>1233</v>
      </c>
      <c r="B36" s="3206" t="s">
        <v>4450</v>
      </c>
      <c r="C36" s="3206"/>
      <c r="D36" s="398"/>
      <c r="E36" s="398"/>
      <c r="F36" s="393">
        <f>'905'!F36</f>
        <v>0</v>
      </c>
      <c r="H36" s="649" t="e">
        <f t="shared" si="1"/>
        <v>#N/A</v>
      </c>
      <c r="J36" s="413" t="e">
        <f t="shared" si="4"/>
        <v>#N/A</v>
      </c>
      <c r="L36" s="414" t="e">
        <f t="shared" si="5"/>
        <v>#N/A</v>
      </c>
      <c r="N36" s="26" t="str">
        <f t="shared" si="0"/>
        <v xml:space="preserve"> </v>
      </c>
      <c r="O36" s="1610"/>
    </row>
    <row r="37" spans="1:15" ht="13.5" x14ac:dyDescent="0.25">
      <c r="B37" s="3206" t="s">
        <v>639</v>
      </c>
      <c r="C37" s="3206"/>
      <c r="D37" s="398"/>
      <c r="E37" s="398"/>
      <c r="F37" s="661">
        <f>SUM(F13:F36)</f>
        <v>0</v>
      </c>
      <c r="H37" s="661" t="e">
        <f>SUM(H13:H36)</f>
        <v>#N/A</v>
      </c>
      <c r="J37" s="413" t="e">
        <f>F37-H37</f>
        <v>#N/A</v>
      </c>
      <c r="L37" s="414" t="e">
        <f>IF(H37=0,0,J37/H37)</f>
        <v>#N/A</v>
      </c>
    </row>
    <row r="38" spans="1:15" ht="6" customHeight="1" x14ac:dyDescent="0.25">
      <c r="B38" s="415"/>
      <c r="C38" s="415"/>
      <c r="D38" s="415"/>
      <c r="E38" s="415"/>
      <c r="L38" s="414"/>
    </row>
    <row r="39" spans="1:15" ht="13.5" x14ac:dyDescent="0.25">
      <c r="B39" s="395" t="s">
        <v>640</v>
      </c>
      <c r="C39" s="395"/>
      <c r="D39" s="395"/>
      <c r="E39" s="395"/>
      <c r="L39" s="414"/>
    </row>
    <row r="40" spans="1:15" ht="13.5" x14ac:dyDescent="0.25">
      <c r="A40" s="335">
        <v>1300</v>
      </c>
      <c r="B40" s="3206" t="s">
        <v>548</v>
      </c>
      <c r="C40" s="3206"/>
      <c r="D40" s="398"/>
      <c r="E40" s="398"/>
      <c r="F40" s="649">
        <f>'905'!F40</f>
        <v>0</v>
      </c>
      <c r="H40" s="649" t="e">
        <f>INDEX(PY905Data,MATCH($A40,PY905Row,0),MATCH($C$5,PY905Col,0))</f>
        <v>#N/A</v>
      </c>
      <c r="J40" s="413" t="e">
        <f>F40-H40</f>
        <v>#N/A</v>
      </c>
      <c r="L40" s="414" t="e">
        <f>IF(H40=0,0,J40/H40)</f>
        <v>#N/A</v>
      </c>
      <c r="N40" s="26" t="str">
        <f t="shared" ref="N40:N66" si="6">IF($F$84=0," ",IF(AND(ABS(J40)&gt;$L$3,ABS(L40)&gt;$L$2),"C",IF(AND(ABS(F40+H40)&gt;0,H40=0,ABS(J40)&gt;$L$3),"C"," ")))</f>
        <v xml:space="preserve"> </v>
      </c>
    </row>
    <row r="41" spans="1:15" ht="13.5" x14ac:dyDescent="0.25">
      <c r="A41" s="335">
        <v>1310</v>
      </c>
      <c r="B41" s="3206" t="s">
        <v>1297</v>
      </c>
      <c r="C41" s="3206"/>
      <c r="D41" s="398"/>
      <c r="E41" s="398"/>
      <c r="F41" s="649">
        <f>'905'!F41</f>
        <v>0</v>
      </c>
      <c r="H41" s="649" t="e">
        <f>INDEX(PY905Data,MATCH($A41,PY905Row,0),MATCH($C$5,PY905Col,0))</f>
        <v>#N/A</v>
      </c>
      <c r="J41" s="413" t="e">
        <f>F41-H41</f>
        <v>#N/A</v>
      </c>
      <c r="L41" s="414" t="e">
        <f>IF(H41=0,0,J41/H41)</f>
        <v>#N/A</v>
      </c>
      <c r="N41" s="26" t="str">
        <f t="shared" si="6"/>
        <v xml:space="preserve"> </v>
      </c>
    </row>
    <row r="42" spans="1:15" ht="13.5" x14ac:dyDescent="0.25">
      <c r="A42" s="335"/>
      <c r="B42" s="335" t="s">
        <v>198</v>
      </c>
      <c r="C42" s="335"/>
      <c r="D42" s="335"/>
      <c r="E42" s="335"/>
      <c r="J42" s="413"/>
      <c r="L42" s="414"/>
    </row>
    <row r="43" spans="1:15" ht="13.5" x14ac:dyDescent="0.25">
      <c r="A43" s="335">
        <v>1340</v>
      </c>
      <c r="B43" s="3355" t="s">
        <v>199</v>
      </c>
      <c r="C43" s="3355"/>
      <c r="D43" s="399"/>
      <c r="E43" s="399"/>
      <c r="F43" s="649">
        <f>'905'!F43</f>
        <v>0</v>
      </c>
      <c r="H43" s="649" t="e">
        <f t="shared" ref="H43:H53" si="7">INDEX(PY905Data,MATCH($A43,PY905Row,0),MATCH($C$5,PY905Col,0))</f>
        <v>#N/A</v>
      </c>
      <c r="J43" s="413" t="e">
        <f t="shared" ref="J43:J59" si="8">F43-H43</f>
        <v>#N/A</v>
      </c>
      <c r="L43" s="414" t="e">
        <f t="shared" ref="L43:L59" si="9">IF(H43=0,0,J43/H43)</f>
        <v>#N/A</v>
      </c>
      <c r="N43" s="26" t="str">
        <f t="shared" si="6"/>
        <v xml:space="preserve"> </v>
      </c>
    </row>
    <row r="44" spans="1:15" ht="13.5" x14ac:dyDescent="0.25">
      <c r="A44" s="335">
        <v>1345</v>
      </c>
      <c r="B44" s="3355" t="s">
        <v>312</v>
      </c>
      <c r="C44" s="3355"/>
      <c r="D44" s="399"/>
      <c r="E44" s="399"/>
      <c r="F44" s="649">
        <f>'905'!F44</f>
        <v>0</v>
      </c>
      <c r="H44" s="649" t="e">
        <f t="shared" si="7"/>
        <v>#N/A</v>
      </c>
      <c r="J44" s="413" t="e">
        <f t="shared" si="8"/>
        <v>#N/A</v>
      </c>
      <c r="L44" s="414" t="e">
        <f t="shared" si="9"/>
        <v>#N/A</v>
      </c>
      <c r="N44" s="26" t="str">
        <f t="shared" si="6"/>
        <v xml:space="preserve"> </v>
      </c>
    </row>
    <row r="45" spans="1:15" ht="13.5" x14ac:dyDescent="0.25">
      <c r="A45" s="335">
        <v>1350</v>
      </c>
      <c r="B45" s="3355" t="s">
        <v>200</v>
      </c>
      <c r="C45" s="3355"/>
      <c r="D45" s="399"/>
      <c r="E45" s="399"/>
      <c r="F45" s="649">
        <f>'905'!F45</f>
        <v>0</v>
      </c>
      <c r="H45" s="649" t="e">
        <f t="shared" si="7"/>
        <v>#N/A</v>
      </c>
      <c r="J45" s="413" t="e">
        <f t="shared" si="8"/>
        <v>#N/A</v>
      </c>
      <c r="L45" s="414" t="e">
        <f t="shared" si="9"/>
        <v>#N/A</v>
      </c>
      <c r="N45" s="26" t="str">
        <f t="shared" si="6"/>
        <v xml:space="preserve"> </v>
      </c>
    </row>
    <row r="46" spans="1:15" ht="13.5" x14ac:dyDescent="0.25">
      <c r="A46" s="335">
        <v>1370</v>
      </c>
      <c r="B46" s="3355" t="s">
        <v>637</v>
      </c>
      <c r="C46" s="3355"/>
      <c r="D46" s="399"/>
      <c r="E46" s="399"/>
      <c r="F46" s="649">
        <f>'905'!F46</f>
        <v>0</v>
      </c>
      <c r="H46" s="649" t="e">
        <f t="shared" si="7"/>
        <v>#N/A</v>
      </c>
      <c r="J46" s="413" t="e">
        <f t="shared" si="8"/>
        <v>#N/A</v>
      </c>
      <c r="L46" s="414" t="e">
        <f t="shared" si="9"/>
        <v>#N/A</v>
      </c>
      <c r="N46" s="26" t="str">
        <f t="shared" si="6"/>
        <v xml:space="preserve"> </v>
      </c>
    </row>
    <row r="47" spans="1:15" ht="13.5" x14ac:dyDescent="0.25">
      <c r="A47" s="335">
        <v>1400</v>
      </c>
      <c r="B47" s="3206" t="s">
        <v>549</v>
      </c>
      <c r="C47" s="3206"/>
      <c r="D47" s="398"/>
      <c r="E47" s="398"/>
      <c r="F47" s="649">
        <f>'905'!F47</f>
        <v>0</v>
      </c>
      <c r="H47" s="649" t="e">
        <f t="shared" si="7"/>
        <v>#N/A</v>
      </c>
      <c r="J47" s="413" t="e">
        <f t="shared" si="8"/>
        <v>#N/A</v>
      </c>
      <c r="L47" s="414" t="e">
        <f t="shared" si="9"/>
        <v>#N/A</v>
      </c>
      <c r="N47" s="26" t="str">
        <f t="shared" si="6"/>
        <v xml:space="preserve"> </v>
      </c>
    </row>
    <row r="48" spans="1:15" s="2529" customFormat="1" ht="13.5" x14ac:dyDescent="0.25">
      <c r="A48" s="2531">
        <v>1401</v>
      </c>
      <c r="B48" s="3307" t="s">
        <v>5531</v>
      </c>
      <c r="C48" s="3307"/>
      <c r="D48" s="2532"/>
      <c r="E48" s="2532"/>
      <c r="F48" s="649">
        <f>'905'!F48</f>
        <v>0</v>
      </c>
      <c r="H48" s="649" t="e">
        <f t="shared" si="7"/>
        <v>#N/A</v>
      </c>
      <c r="J48" s="413" t="e">
        <f t="shared" si="8"/>
        <v>#N/A</v>
      </c>
      <c r="L48" s="414" t="e">
        <f t="shared" si="9"/>
        <v>#N/A</v>
      </c>
      <c r="N48" s="2530" t="str">
        <f t="shared" si="6"/>
        <v xml:space="preserve"> </v>
      </c>
    </row>
    <row r="49" spans="1:15" ht="13.5" x14ac:dyDescent="0.25">
      <c r="A49" s="335">
        <v>1415</v>
      </c>
      <c r="B49" s="3206" t="s">
        <v>1417</v>
      </c>
      <c r="C49" s="3206"/>
      <c r="D49" s="398"/>
      <c r="E49" s="398"/>
      <c r="F49" s="649">
        <f>'905'!F49</f>
        <v>0</v>
      </c>
      <c r="H49" s="649" t="e">
        <f t="shared" si="7"/>
        <v>#N/A</v>
      </c>
      <c r="J49" s="413" t="e">
        <f t="shared" si="8"/>
        <v>#N/A</v>
      </c>
      <c r="L49" s="414" t="e">
        <f t="shared" si="9"/>
        <v>#N/A</v>
      </c>
      <c r="N49" s="26" t="str">
        <f t="shared" si="6"/>
        <v xml:space="preserve"> </v>
      </c>
    </row>
    <row r="50" spans="1:15" ht="13.5" x14ac:dyDescent="0.25">
      <c r="A50" s="335">
        <v>1420</v>
      </c>
      <c r="B50" s="3206" t="s">
        <v>3703</v>
      </c>
      <c r="C50" s="3206"/>
      <c r="D50" s="398"/>
      <c r="E50" s="398"/>
      <c r="F50" s="649">
        <f>'905'!F50</f>
        <v>0</v>
      </c>
      <c r="H50" s="649" t="e">
        <f t="shared" si="7"/>
        <v>#N/A</v>
      </c>
      <c r="J50" s="413" t="e">
        <f t="shared" si="8"/>
        <v>#N/A</v>
      </c>
      <c r="L50" s="414" t="e">
        <f t="shared" si="9"/>
        <v>#N/A</v>
      </c>
      <c r="N50" s="26" t="str">
        <f t="shared" si="6"/>
        <v xml:space="preserve"> </v>
      </c>
    </row>
    <row r="51" spans="1:15" ht="13.5" x14ac:dyDescent="0.25">
      <c r="A51" s="335">
        <v>1270</v>
      </c>
      <c r="B51" s="3206" t="s">
        <v>641</v>
      </c>
      <c r="C51" s="3206"/>
      <c r="D51" s="398"/>
      <c r="E51" s="398"/>
      <c r="F51" s="649">
        <f>'905'!F51</f>
        <v>0</v>
      </c>
      <c r="H51" s="649" t="e">
        <f t="shared" si="7"/>
        <v>#N/A</v>
      </c>
      <c r="J51" s="413" t="e">
        <f t="shared" si="8"/>
        <v>#N/A</v>
      </c>
      <c r="L51" s="414" t="e">
        <f t="shared" si="9"/>
        <v>#N/A</v>
      </c>
      <c r="N51" s="26" t="str">
        <f t="shared" si="6"/>
        <v xml:space="preserve"> </v>
      </c>
    </row>
    <row r="52" spans="1:15" ht="13.5" x14ac:dyDescent="0.25">
      <c r="A52" s="335">
        <v>1280</v>
      </c>
      <c r="B52" s="3206" t="s">
        <v>1422</v>
      </c>
      <c r="C52" s="3206"/>
      <c r="D52" s="398"/>
      <c r="E52" s="398"/>
      <c r="F52" s="649">
        <f>'905'!F52</f>
        <v>0</v>
      </c>
      <c r="H52" s="649" t="e">
        <f t="shared" si="7"/>
        <v>#N/A</v>
      </c>
      <c r="J52" s="413" t="e">
        <f t="shared" si="8"/>
        <v>#N/A</v>
      </c>
      <c r="L52" s="414" t="e">
        <f t="shared" si="9"/>
        <v>#N/A</v>
      </c>
      <c r="N52" s="26" t="str">
        <f t="shared" si="6"/>
        <v xml:space="preserve"> </v>
      </c>
    </row>
    <row r="53" spans="1:15" ht="13.5" x14ac:dyDescent="0.25">
      <c r="A53" s="335">
        <v>1410</v>
      </c>
      <c r="B53" s="3206" t="s">
        <v>642</v>
      </c>
      <c r="C53" s="3206"/>
      <c r="D53" s="398"/>
      <c r="E53" s="398"/>
      <c r="F53" s="649">
        <f>'905'!F53</f>
        <v>0</v>
      </c>
      <c r="H53" s="649" t="e">
        <f t="shared" si="7"/>
        <v>#N/A</v>
      </c>
      <c r="J53" s="413" t="e">
        <f t="shared" si="8"/>
        <v>#N/A</v>
      </c>
      <c r="L53" s="414" t="e">
        <f t="shared" si="9"/>
        <v>#N/A</v>
      </c>
      <c r="N53" s="26" t="str">
        <f t="shared" si="6"/>
        <v xml:space="preserve"> </v>
      </c>
    </row>
    <row r="54" spans="1:15" ht="13.5" x14ac:dyDescent="0.25">
      <c r="A54" s="335"/>
      <c r="B54" s="3206" t="s">
        <v>1224</v>
      </c>
      <c r="C54" s="3206"/>
      <c r="D54" s="398"/>
      <c r="E54" s="398"/>
      <c r="F54" s="649">
        <f>'905'!F54</f>
        <v>0</v>
      </c>
      <c r="J54" s="413">
        <f t="shared" si="8"/>
        <v>0</v>
      </c>
      <c r="L54" s="414">
        <f t="shared" si="9"/>
        <v>0</v>
      </c>
      <c r="N54" s="26" t="str">
        <f t="shared" si="6"/>
        <v xml:space="preserve"> </v>
      </c>
    </row>
    <row r="55" spans="1:15" ht="13.5" x14ac:dyDescent="0.25">
      <c r="A55" s="1129">
        <v>1395</v>
      </c>
      <c r="B55" s="3206" t="s">
        <v>1213</v>
      </c>
      <c r="C55" s="3206"/>
      <c r="D55" s="398"/>
      <c r="E55" s="398"/>
      <c r="F55" s="649">
        <f>'905'!F55</f>
        <v>0</v>
      </c>
      <c r="H55" s="649" t="e">
        <f>INDEX(PY905Data,MATCH($A55,PY905Row,0),MATCH($C$5,PY905Col,0))</f>
        <v>#N/A</v>
      </c>
      <c r="J55" s="413" t="e">
        <f t="shared" si="8"/>
        <v>#N/A</v>
      </c>
      <c r="L55" s="414" t="e">
        <f t="shared" si="9"/>
        <v>#N/A</v>
      </c>
      <c r="N55" s="26" t="str">
        <f t="shared" si="6"/>
        <v xml:space="preserve"> </v>
      </c>
    </row>
    <row r="56" spans="1:15" ht="13.5" x14ac:dyDescent="0.25">
      <c r="A56" s="1129">
        <v>1390</v>
      </c>
      <c r="B56" s="3206" t="s">
        <v>646</v>
      </c>
      <c r="C56" s="3206"/>
      <c r="D56" s="398"/>
      <c r="E56" s="398"/>
      <c r="F56" s="649">
        <f>'905'!F56</f>
        <v>0</v>
      </c>
      <c r="H56" s="649" t="e">
        <f>INDEX(PY905Data,MATCH($A56,PY905Row,0),MATCH($C$5,PY905Col,0))</f>
        <v>#N/A</v>
      </c>
      <c r="J56" s="413" t="e">
        <f t="shared" si="8"/>
        <v>#N/A</v>
      </c>
      <c r="L56" s="414" t="e">
        <f t="shared" si="9"/>
        <v>#N/A</v>
      </c>
      <c r="N56" s="26" t="str">
        <f t="shared" si="6"/>
        <v xml:space="preserve"> </v>
      </c>
    </row>
    <row r="57" spans="1:15" ht="13.5" x14ac:dyDescent="0.25">
      <c r="A57" s="335">
        <v>1432</v>
      </c>
      <c r="B57" s="3206" t="s">
        <v>1346</v>
      </c>
      <c r="C57" s="3206"/>
      <c r="D57" s="398"/>
      <c r="E57" s="398"/>
      <c r="F57" s="649">
        <f>'905'!F57</f>
        <v>0</v>
      </c>
      <c r="H57" s="649" t="e">
        <f>INDEX(PY905Data,MATCH($A57,PY905Row,0),MATCH($C$5,PY905Col,0))</f>
        <v>#N/A</v>
      </c>
      <c r="J57" s="413" t="e">
        <f>F57-H57</f>
        <v>#N/A</v>
      </c>
      <c r="L57" s="414" t="e">
        <f>IF(H57=0,0,J57/H57)</f>
        <v>#N/A</v>
      </c>
      <c r="N57" s="26" t="str">
        <f>IF($F$84=0," ",IF(AND(ABS(J57)&gt;$L$3,ABS(L57)&gt;$L$2),"C",IF(AND(ABS(F57+H57)&gt;0,H57=0,ABS(J57)&gt;$L$3),"C"," ")))</f>
        <v xml:space="preserve"> </v>
      </c>
    </row>
    <row r="58" spans="1:15" ht="13.5" x14ac:dyDescent="0.25">
      <c r="A58" s="335">
        <v>1434</v>
      </c>
      <c r="B58" s="3206" t="s">
        <v>4454</v>
      </c>
      <c r="C58" s="3206"/>
      <c r="D58" s="398"/>
      <c r="E58" s="398"/>
      <c r="F58" s="649">
        <f>'905'!F58</f>
        <v>0</v>
      </c>
      <c r="H58" s="649" t="e">
        <f>INDEX(PY905Data,MATCH($A58,PY905Row,0),MATCH($C$5,PY905Col,0))</f>
        <v>#N/A</v>
      </c>
      <c r="J58" s="413" t="e">
        <f>F58-H58</f>
        <v>#N/A</v>
      </c>
      <c r="L58" s="414" t="e">
        <f>IF(H58=0,0,J58/H58)</f>
        <v>#N/A</v>
      </c>
      <c r="N58" s="26" t="str">
        <f>IF($F$84=0," ",IF(AND(ABS(J58)&gt;$L$3,ABS(L58)&gt;$L$2),"C",IF(AND(ABS(F58+H58)&gt;0,H58=0,ABS(J58)&gt;$L$3),"C"," ")))</f>
        <v xml:space="preserve"> </v>
      </c>
      <c r="O58" s="1610"/>
    </row>
    <row r="59" spans="1:15" ht="13.5" x14ac:dyDescent="0.25">
      <c r="A59" s="335">
        <v>1433</v>
      </c>
      <c r="B59" s="3206" t="s">
        <v>4450</v>
      </c>
      <c r="C59" s="3206"/>
      <c r="D59" s="398"/>
      <c r="E59" s="398"/>
      <c r="F59" s="649">
        <f>'905'!F59</f>
        <v>0</v>
      </c>
      <c r="H59" s="649" t="e">
        <f>INDEX(PY905Data,MATCH($A59,PY905Row,0),MATCH($C$5,PY905Col,0))</f>
        <v>#N/A</v>
      </c>
      <c r="J59" s="413" t="e">
        <f t="shared" si="8"/>
        <v>#N/A</v>
      </c>
      <c r="L59" s="414" t="e">
        <f t="shared" si="9"/>
        <v>#N/A</v>
      </c>
      <c r="N59" s="26" t="str">
        <f t="shared" si="6"/>
        <v xml:space="preserve"> </v>
      </c>
      <c r="O59" s="1610"/>
    </row>
    <row r="60" spans="1:15" ht="13.5" x14ac:dyDescent="0.25">
      <c r="A60" s="335"/>
      <c r="B60" s="335" t="s">
        <v>1533</v>
      </c>
      <c r="C60" s="335"/>
      <c r="D60" s="335"/>
      <c r="E60" s="335"/>
      <c r="J60" s="413"/>
      <c r="L60" s="414"/>
    </row>
    <row r="61" spans="1:15" ht="13.5" x14ac:dyDescent="0.25">
      <c r="A61" s="1129">
        <v>1480</v>
      </c>
      <c r="B61" s="3355" t="s">
        <v>1407</v>
      </c>
      <c r="C61" s="3355"/>
      <c r="D61" s="399"/>
      <c r="E61" s="399"/>
      <c r="F61" s="649">
        <f>'905'!F61</f>
        <v>0</v>
      </c>
      <c r="H61" s="649" t="e">
        <f t="shared" ref="H61:H66" si="10">INDEX(PY905Data,MATCH($A61,PY905Row,0),MATCH($C$5,PY905Col,0))</f>
        <v>#N/A</v>
      </c>
      <c r="J61" s="413" t="e">
        <f t="shared" ref="J61:J67" si="11">F61-H61</f>
        <v>#N/A</v>
      </c>
      <c r="L61" s="414" t="e">
        <f t="shared" ref="L61:L67" si="12">IF(H61=0,0,J61/H61)</f>
        <v>#N/A</v>
      </c>
      <c r="N61" s="26" t="str">
        <f t="shared" si="6"/>
        <v xml:space="preserve"> </v>
      </c>
    </row>
    <row r="62" spans="1:15" ht="13.5" x14ac:dyDescent="0.25">
      <c r="A62" s="1129">
        <v>1490</v>
      </c>
      <c r="B62" s="3355" t="s">
        <v>1408</v>
      </c>
      <c r="C62" s="3355"/>
      <c r="D62" s="399"/>
      <c r="E62" s="399"/>
      <c r="F62" s="649">
        <f>'905'!F62</f>
        <v>0</v>
      </c>
      <c r="H62" s="649" t="e">
        <f t="shared" si="10"/>
        <v>#N/A</v>
      </c>
      <c r="J62" s="413" t="e">
        <f t="shared" si="11"/>
        <v>#N/A</v>
      </c>
      <c r="L62" s="414" t="e">
        <f t="shared" si="12"/>
        <v>#N/A</v>
      </c>
      <c r="N62" s="26" t="str">
        <f t="shared" si="6"/>
        <v xml:space="preserve"> </v>
      </c>
    </row>
    <row r="63" spans="1:15" ht="13.5" x14ac:dyDescent="0.25">
      <c r="A63" s="1129">
        <v>1500</v>
      </c>
      <c r="B63" s="3355" t="s">
        <v>1409</v>
      </c>
      <c r="C63" s="3355"/>
      <c r="D63" s="399"/>
      <c r="E63" s="399"/>
      <c r="F63" s="649">
        <f>'905'!F63</f>
        <v>0</v>
      </c>
      <c r="H63" s="649" t="e">
        <f t="shared" si="10"/>
        <v>#N/A</v>
      </c>
      <c r="J63" s="413" t="e">
        <f t="shared" si="11"/>
        <v>#N/A</v>
      </c>
      <c r="L63" s="414" t="e">
        <f t="shared" si="12"/>
        <v>#N/A</v>
      </c>
      <c r="N63" s="26" t="str">
        <f t="shared" si="6"/>
        <v xml:space="preserve"> </v>
      </c>
    </row>
    <row r="64" spans="1:15" ht="13.5" x14ac:dyDescent="0.25">
      <c r="A64" s="1129">
        <v>1503</v>
      </c>
      <c r="B64" s="3355" t="s">
        <v>1534</v>
      </c>
      <c r="C64" s="3355"/>
      <c r="D64" s="399"/>
      <c r="E64" s="399"/>
      <c r="F64" s="649">
        <f>'905'!F64</f>
        <v>0</v>
      </c>
      <c r="H64" s="649" t="e">
        <f t="shared" si="10"/>
        <v>#N/A</v>
      </c>
      <c r="J64" s="413" t="e">
        <f t="shared" si="11"/>
        <v>#N/A</v>
      </c>
      <c r="L64" s="414" t="e">
        <f t="shared" si="12"/>
        <v>#N/A</v>
      </c>
      <c r="N64" s="26" t="str">
        <f t="shared" si="6"/>
        <v xml:space="preserve"> </v>
      </c>
    </row>
    <row r="65" spans="1:14" ht="13.5" x14ac:dyDescent="0.25">
      <c r="A65" s="1129">
        <v>1505</v>
      </c>
      <c r="B65" s="3355" t="s">
        <v>1410</v>
      </c>
      <c r="C65" s="3355"/>
      <c r="D65" s="399"/>
      <c r="E65" s="399"/>
      <c r="F65" s="649">
        <f>'905'!F65</f>
        <v>0</v>
      </c>
      <c r="H65" s="649" t="e">
        <f t="shared" si="10"/>
        <v>#N/A</v>
      </c>
      <c r="J65" s="413" t="e">
        <f t="shared" si="11"/>
        <v>#N/A</v>
      </c>
      <c r="L65" s="414" t="e">
        <f t="shared" si="12"/>
        <v>#N/A</v>
      </c>
      <c r="N65" s="26" t="str">
        <f t="shared" si="6"/>
        <v xml:space="preserve"> </v>
      </c>
    </row>
    <row r="66" spans="1:14" ht="13.5" x14ac:dyDescent="0.25">
      <c r="A66" s="1129">
        <v>1506</v>
      </c>
      <c r="B66" s="3355" t="s">
        <v>1806</v>
      </c>
      <c r="C66" s="3355"/>
      <c r="D66" s="399"/>
      <c r="E66" s="399"/>
      <c r="F66" s="651">
        <f>'905'!F66</f>
        <v>0</v>
      </c>
      <c r="H66" s="649" t="e">
        <f t="shared" si="10"/>
        <v>#N/A</v>
      </c>
      <c r="J66" s="413" t="e">
        <f>F66-H66</f>
        <v>#N/A</v>
      </c>
      <c r="L66" s="414" t="e">
        <f>IF(H66=0,0,J66/H66)</f>
        <v>#N/A</v>
      </c>
      <c r="N66" s="26" t="str">
        <f t="shared" si="6"/>
        <v xml:space="preserve"> </v>
      </c>
    </row>
    <row r="67" spans="1:14" ht="13.5" x14ac:dyDescent="0.25">
      <c r="A67" s="335"/>
      <c r="B67" s="3206" t="s">
        <v>1535</v>
      </c>
      <c r="C67" s="3206"/>
      <c r="D67" s="398"/>
      <c r="E67" s="398"/>
      <c r="F67" s="661">
        <f>SUM(F61:F66)</f>
        <v>0</v>
      </c>
      <c r="H67" s="661" t="e">
        <f>SUM(H61:H66)</f>
        <v>#N/A</v>
      </c>
      <c r="J67" s="413" t="e">
        <f t="shared" si="11"/>
        <v>#N/A</v>
      </c>
      <c r="L67" s="414" t="e">
        <f t="shared" si="12"/>
        <v>#N/A</v>
      </c>
    </row>
    <row r="68" spans="1:14" ht="13.5" x14ac:dyDescent="0.25">
      <c r="A68" s="335"/>
      <c r="B68" s="335" t="s">
        <v>1536</v>
      </c>
      <c r="C68" s="335"/>
      <c r="D68" s="335"/>
      <c r="E68" s="335"/>
      <c r="J68" s="413"/>
      <c r="L68" s="414"/>
    </row>
    <row r="69" spans="1:14" ht="13.5" x14ac:dyDescent="0.25">
      <c r="A69" s="1129">
        <v>1520</v>
      </c>
      <c r="B69" s="3355" t="s">
        <v>617</v>
      </c>
      <c r="C69" s="3355"/>
      <c r="D69" s="399"/>
      <c r="E69" s="399"/>
      <c r="F69" s="649">
        <f>'905'!F69</f>
        <v>0</v>
      </c>
      <c r="H69" s="649" t="e">
        <f t="shared" ref="H69:H80" si="13">INDEX(PY905Data,MATCH($A69,PY905Row,0),MATCH($C$5,PY905Col,0))</f>
        <v>#N/A</v>
      </c>
      <c r="J69" s="413" t="e">
        <f t="shared" ref="J69:J82" si="14">F69-H69</f>
        <v>#N/A</v>
      </c>
      <c r="L69" s="414" t="e">
        <f t="shared" ref="L69:L82" si="15">IF(H69=0,0,J69/H69)</f>
        <v>#N/A</v>
      </c>
      <c r="N69" s="26" t="str">
        <f t="shared" ref="N69:N80" si="16">IF($F$84=0," ",IF(AND(ABS(J69)&gt;$L$3,ABS(L69)&gt;$L$2),"C",IF(AND(ABS(F69+H69)&gt;0,H69=0,ABS(J69)&gt;$L$3),"C"," ")))</f>
        <v xml:space="preserve"> </v>
      </c>
    </row>
    <row r="70" spans="1:14" ht="13.5" x14ac:dyDescent="0.25">
      <c r="A70" s="1129">
        <v>1530</v>
      </c>
      <c r="B70" s="3355" t="s">
        <v>1411</v>
      </c>
      <c r="C70" s="3355"/>
      <c r="D70" s="399"/>
      <c r="E70" s="399"/>
      <c r="F70" s="649">
        <f>'905'!F70</f>
        <v>0</v>
      </c>
      <c r="H70" s="649" t="e">
        <f t="shared" si="13"/>
        <v>#N/A</v>
      </c>
      <c r="J70" s="413" t="e">
        <f t="shared" si="14"/>
        <v>#N/A</v>
      </c>
      <c r="L70" s="414" t="e">
        <f t="shared" si="15"/>
        <v>#N/A</v>
      </c>
      <c r="N70" s="26" t="str">
        <f t="shared" si="16"/>
        <v xml:space="preserve"> </v>
      </c>
    </row>
    <row r="71" spans="1:14" ht="13.5" x14ac:dyDescent="0.25">
      <c r="A71" s="1129">
        <v>1540</v>
      </c>
      <c r="B71" s="3355" t="s">
        <v>1537</v>
      </c>
      <c r="C71" s="3355"/>
      <c r="D71" s="399"/>
      <c r="E71" s="399"/>
      <c r="F71" s="649">
        <f>'905'!F71</f>
        <v>0</v>
      </c>
      <c r="H71" s="649" t="e">
        <f t="shared" si="13"/>
        <v>#N/A</v>
      </c>
      <c r="J71" s="413" t="e">
        <f t="shared" si="14"/>
        <v>#N/A</v>
      </c>
      <c r="L71" s="414" t="e">
        <f t="shared" si="15"/>
        <v>#N/A</v>
      </c>
      <c r="N71" s="26" t="str">
        <f t="shared" si="16"/>
        <v xml:space="preserve"> </v>
      </c>
    </row>
    <row r="72" spans="1:14" ht="13.5" x14ac:dyDescent="0.25">
      <c r="A72" s="1129">
        <v>1550</v>
      </c>
      <c r="B72" s="3355" t="s">
        <v>1412</v>
      </c>
      <c r="C72" s="3355"/>
      <c r="D72" s="399"/>
      <c r="E72" s="399"/>
      <c r="F72" s="649">
        <f>'905'!F72</f>
        <v>0</v>
      </c>
      <c r="H72" s="649" t="e">
        <f t="shared" si="13"/>
        <v>#N/A</v>
      </c>
      <c r="J72" s="413" t="e">
        <f t="shared" si="14"/>
        <v>#N/A</v>
      </c>
      <c r="L72" s="414" t="e">
        <f t="shared" si="15"/>
        <v>#N/A</v>
      </c>
      <c r="N72" s="26" t="str">
        <f t="shared" si="16"/>
        <v xml:space="preserve"> </v>
      </c>
    </row>
    <row r="73" spans="1:14" s="2529" customFormat="1" ht="13.5" x14ac:dyDescent="0.25">
      <c r="A73" s="1129">
        <v>1481</v>
      </c>
      <c r="B73" s="3354" t="s">
        <v>5532</v>
      </c>
      <c r="C73" s="3354"/>
      <c r="D73" s="2535"/>
      <c r="E73" s="2535"/>
      <c r="F73" s="649">
        <f>'905'!F73</f>
        <v>0</v>
      </c>
      <c r="H73" s="649" t="e">
        <f t="shared" si="13"/>
        <v>#N/A</v>
      </c>
      <c r="J73" s="413" t="e">
        <f t="shared" si="14"/>
        <v>#N/A</v>
      </c>
      <c r="L73" s="414" t="e">
        <f t="shared" si="15"/>
        <v>#N/A</v>
      </c>
      <c r="N73" s="2530" t="str">
        <f t="shared" si="16"/>
        <v xml:space="preserve"> </v>
      </c>
    </row>
    <row r="74" spans="1:14" s="2529" customFormat="1" ht="13.5" x14ac:dyDescent="0.25">
      <c r="A74" s="1129">
        <v>1521</v>
      </c>
      <c r="B74" s="3354" t="s">
        <v>5533</v>
      </c>
      <c r="C74" s="3354"/>
      <c r="D74" s="2535"/>
      <c r="E74" s="2535"/>
      <c r="F74" s="649">
        <f>'905'!F74</f>
        <v>0</v>
      </c>
      <c r="H74" s="649" t="e">
        <f t="shared" si="13"/>
        <v>#N/A</v>
      </c>
      <c r="J74" s="413" t="e">
        <f t="shared" si="14"/>
        <v>#N/A</v>
      </c>
      <c r="L74" s="414" t="e">
        <f t="shared" si="15"/>
        <v>#N/A</v>
      </c>
      <c r="N74" s="2530" t="str">
        <f t="shared" si="16"/>
        <v xml:space="preserve"> </v>
      </c>
    </row>
    <row r="75" spans="1:14" s="2529" customFormat="1" ht="13.5" x14ac:dyDescent="0.25">
      <c r="A75" s="1129">
        <v>1531</v>
      </c>
      <c r="B75" s="3354" t="s">
        <v>5534</v>
      </c>
      <c r="C75" s="3354"/>
      <c r="D75" s="2535"/>
      <c r="E75" s="2535"/>
      <c r="F75" s="649">
        <f>'905'!F75</f>
        <v>0</v>
      </c>
      <c r="H75" s="649" t="e">
        <f t="shared" si="13"/>
        <v>#N/A</v>
      </c>
      <c r="J75" s="413" t="e">
        <f t="shared" si="14"/>
        <v>#N/A</v>
      </c>
      <c r="L75" s="414" t="e">
        <f t="shared" si="15"/>
        <v>#N/A</v>
      </c>
      <c r="N75" s="2530" t="str">
        <f t="shared" si="16"/>
        <v xml:space="preserve"> </v>
      </c>
    </row>
    <row r="76" spans="1:14" s="2529" customFormat="1" ht="13.5" x14ac:dyDescent="0.25">
      <c r="A76" s="1129">
        <v>1551</v>
      </c>
      <c r="B76" s="3354" t="s">
        <v>5535</v>
      </c>
      <c r="C76" s="3354"/>
      <c r="D76" s="2535"/>
      <c r="E76" s="2535"/>
      <c r="F76" s="649">
        <f>'905'!F76</f>
        <v>0</v>
      </c>
      <c r="H76" s="649" t="e">
        <f t="shared" si="13"/>
        <v>#N/A</v>
      </c>
      <c r="J76" s="413" t="e">
        <f t="shared" si="14"/>
        <v>#N/A</v>
      </c>
      <c r="L76" s="414" t="e">
        <f t="shared" si="15"/>
        <v>#N/A</v>
      </c>
      <c r="N76" s="2530" t="str">
        <f t="shared" si="16"/>
        <v xml:space="preserve"> </v>
      </c>
    </row>
    <row r="77" spans="1:14" ht="13.5" x14ac:dyDescent="0.25">
      <c r="A77" s="1129">
        <v>1553</v>
      </c>
      <c r="B77" s="3355" t="s">
        <v>1538</v>
      </c>
      <c r="C77" s="3355"/>
      <c r="D77" s="399"/>
      <c r="E77" s="399"/>
      <c r="F77" s="649">
        <f>'905'!F77</f>
        <v>0</v>
      </c>
      <c r="H77" s="649" t="e">
        <f t="shared" si="13"/>
        <v>#N/A</v>
      </c>
      <c r="J77" s="413" t="e">
        <f t="shared" si="14"/>
        <v>#N/A</v>
      </c>
      <c r="L77" s="414" t="e">
        <f t="shared" si="15"/>
        <v>#N/A</v>
      </c>
      <c r="N77" s="26" t="str">
        <f t="shared" si="16"/>
        <v xml:space="preserve"> </v>
      </c>
    </row>
    <row r="78" spans="1:14" ht="13.5" x14ac:dyDescent="0.25">
      <c r="A78" s="1129">
        <v>1555</v>
      </c>
      <c r="B78" s="3355" t="s">
        <v>1413</v>
      </c>
      <c r="C78" s="3355"/>
      <c r="D78" s="399"/>
      <c r="E78" s="399"/>
      <c r="F78" s="649">
        <f>'905'!F78</f>
        <v>0</v>
      </c>
      <c r="H78" s="649" t="e">
        <f t="shared" si="13"/>
        <v>#N/A</v>
      </c>
      <c r="J78" s="413" t="e">
        <f t="shared" si="14"/>
        <v>#N/A</v>
      </c>
      <c r="L78" s="414" t="e">
        <f t="shared" si="15"/>
        <v>#N/A</v>
      </c>
      <c r="N78" s="26" t="str">
        <f t="shared" si="16"/>
        <v xml:space="preserve"> </v>
      </c>
    </row>
    <row r="79" spans="1:14" ht="13.5" x14ac:dyDescent="0.25">
      <c r="A79" s="1129">
        <v>1560</v>
      </c>
      <c r="B79" s="3355" t="s">
        <v>1807</v>
      </c>
      <c r="C79" s="3355"/>
      <c r="D79" s="399"/>
      <c r="E79" s="399"/>
      <c r="F79" s="649">
        <f>'905'!F79</f>
        <v>0</v>
      </c>
      <c r="H79" s="649" t="e">
        <f t="shared" si="13"/>
        <v>#N/A</v>
      </c>
      <c r="J79" s="413" t="e">
        <f t="shared" si="14"/>
        <v>#N/A</v>
      </c>
      <c r="L79" s="414" t="e">
        <f t="shared" si="15"/>
        <v>#N/A</v>
      </c>
      <c r="N79" s="26" t="str">
        <f t="shared" si="16"/>
        <v xml:space="preserve"> </v>
      </c>
    </row>
    <row r="80" spans="1:14" ht="13.5" x14ac:dyDescent="0.25">
      <c r="A80" s="1129">
        <v>1570</v>
      </c>
      <c r="B80" s="3206" t="s">
        <v>1539</v>
      </c>
      <c r="C80" s="3206"/>
      <c r="D80" s="398"/>
      <c r="E80" s="398"/>
      <c r="F80" s="651">
        <f>'905'!F80</f>
        <v>0</v>
      </c>
      <c r="H80" s="651" t="e">
        <f t="shared" si="13"/>
        <v>#N/A</v>
      </c>
      <c r="J80" s="413" t="e">
        <f t="shared" si="14"/>
        <v>#N/A</v>
      </c>
      <c r="L80" s="414" t="e">
        <f t="shared" si="15"/>
        <v>#N/A</v>
      </c>
      <c r="N80" s="26" t="str">
        <f t="shared" si="16"/>
        <v xml:space="preserve"> </v>
      </c>
    </row>
    <row r="81" spans="1:15" ht="13.5" x14ac:dyDescent="0.25">
      <c r="A81" s="785"/>
      <c r="B81" s="3206" t="s">
        <v>1540</v>
      </c>
      <c r="C81" s="3206"/>
      <c r="D81" s="398"/>
      <c r="E81" s="398"/>
      <c r="F81" s="649">
        <f>SUM(F69:F80)</f>
        <v>0</v>
      </c>
      <c r="H81" s="649" t="e">
        <f>SUM(H69:H80)</f>
        <v>#N/A</v>
      </c>
      <c r="J81" s="413" t="e">
        <f t="shared" si="14"/>
        <v>#N/A</v>
      </c>
      <c r="L81" s="414" t="e">
        <f t="shared" si="15"/>
        <v>#N/A</v>
      </c>
    </row>
    <row r="82" spans="1:15" ht="13.5" x14ac:dyDescent="0.25">
      <c r="A82" s="675"/>
      <c r="B82" s="3206" t="s">
        <v>271</v>
      </c>
      <c r="C82" s="3206"/>
      <c r="D82" s="398"/>
      <c r="E82" s="398"/>
      <c r="F82" s="662">
        <f>SUM(F40:F81)-F67-F81</f>
        <v>0</v>
      </c>
      <c r="H82" s="662" t="e">
        <f>SUM(H40:H81)-H67-H81</f>
        <v>#N/A</v>
      </c>
      <c r="J82" s="413" t="e">
        <f t="shared" si="14"/>
        <v>#N/A</v>
      </c>
      <c r="L82" s="414" t="e">
        <f t="shared" si="15"/>
        <v>#N/A</v>
      </c>
    </row>
    <row r="83" spans="1:15" ht="6" customHeight="1" x14ac:dyDescent="0.25">
      <c r="B83" s="398"/>
      <c r="C83" s="398"/>
      <c r="D83" s="398"/>
      <c r="E83" s="398"/>
      <c r="J83" s="413"/>
      <c r="L83" s="414"/>
    </row>
    <row r="84" spans="1:15" ht="13.5" x14ac:dyDescent="0.25">
      <c r="B84" s="3206" t="s">
        <v>272</v>
      </c>
      <c r="C84" s="3206"/>
      <c r="D84" s="398"/>
      <c r="E84" s="398"/>
      <c r="F84" s="400">
        <f>F37+F82</f>
        <v>0</v>
      </c>
      <c r="H84" s="400" t="e">
        <f>H37+H82</f>
        <v>#N/A</v>
      </c>
      <c r="J84" s="413" t="e">
        <f>F84-H84</f>
        <v>#N/A</v>
      </c>
      <c r="L84" s="414" t="e">
        <f>IF(H84=0,0,J84/H84)</f>
        <v>#N/A</v>
      </c>
    </row>
    <row r="85" spans="1:15" ht="13.5" x14ac:dyDescent="0.25">
      <c r="B85" s="398"/>
      <c r="C85" s="398"/>
      <c r="D85" s="398"/>
      <c r="E85" s="398"/>
      <c r="F85" s="808"/>
      <c r="H85" s="808"/>
      <c r="J85" s="413"/>
      <c r="L85" s="414"/>
    </row>
    <row r="86" spans="1:15" ht="13.5" x14ac:dyDescent="0.25">
      <c r="B86" s="783" t="s">
        <v>1929</v>
      </c>
      <c r="F86"/>
      <c r="H86" s="1435"/>
      <c r="I86" s="2"/>
      <c r="J86" s="1366"/>
      <c r="L86" s="414"/>
    </row>
    <row r="87" spans="1:15" ht="13.5" x14ac:dyDescent="0.25">
      <c r="A87" s="1401">
        <v>1234</v>
      </c>
      <c r="B87" s="3206" t="s">
        <v>1930</v>
      </c>
      <c r="C87" s="3206"/>
      <c r="D87" s="3206"/>
      <c r="E87" s="3206"/>
      <c r="F87" s="649">
        <f>'905'!F87</f>
        <v>0</v>
      </c>
      <c r="G87" s="398"/>
      <c r="H87" s="649" t="e">
        <f t="shared" ref="H87:H93" si="17">INDEX(PY905Data,MATCH($A87,PY905Row,0),MATCH($C$5,PY905Col,0))</f>
        <v>#N/A</v>
      </c>
      <c r="J87" s="413" t="e">
        <f t="shared" ref="J87:J94" si="18">F87-H87</f>
        <v>#N/A</v>
      </c>
      <c r="L87" s="414" t="e">
        <f t="shared" ref="L87:L94" si="19">IF(H87=0,0,J87/H87)</f>
        <v>#N/A</v>
      </c>
      <c r="N87" s="26" t="str">
        <f t="shared" ref="N87:N93" si="20">IF($F$84=0," ",IF(AND(ABS(J87)&gt;$L$3,ABS(L87)&gt;$L$2),"C",IF(AND(ABS(F87+H87)&gt;0,H87=0,ABS(J87)&gt;$L$3),"C"," ")))</f>
        <v xml:space="preserve"> </v>
      </c>
    </row>
    <row r="88" spans="1:15" ht="13.5" x14ac:dyDescent="0.25">
      <c r="A88" s="1401">
        <v>1236</v>
      </c>
      <c r="B88" s="3206" t="s">
        <v>3585</v>
      </c>
      <c r="C88" s="3206"/>
      <c r="D88" s="3206"/>
      <c r="E88" s="3206"/>
      <c r="F88" s="649">
        <f>'905'!F88</f>
        <v>0</v>
      </c>
      <c r="G88" s="398"/>
      <c r="H88" s="649" t="e">
        <f t="shared" si="17"/>
        <v>#N/A</v>
      </c>
      <c r="J88" s="413" t="e">
        <f t="shared" si="18"/>
        <v>#N/A</v>
      </c>
      <c r="L88" s="414" t="e">
        <f t="shared" si="19"/>
        <v>#N/A</v>
      </c>
      <c r="N88" s="26" t="str">
        <f t="shared" si="20"/>
        <v xml:space="preserve"> </v>
      </c>
    </row>
    <row r="89" spans="1:15" ht="13.5" x14ac:dyDescent="0.25">
      <c r="A89" s="1401">
        <v>1242</v>
      </c>
      <c r="B89" s="3206" t="s">
        <v>4608</v>
      </c>
      <c r="C89" s="3206"/>
      <c r="D89" s="3206"/>
      <c r="E89" s="3206"/>
      <c r="F89" s="649">
        <f>'905'!F89</f>
        <v>0</v>
      </c>
      <c r="G89" s="398"/>
      <c r="H89" s="649" t="e">
        <f t="shared" si="17"/>
        <v>#N/A</v>
      </c>
      <c r="J89" s="413" t="e">
        <f>F89-H89</f>
        <v>#N/A</v>
      </c>
      <c r="L89" s="414" t="e">
        <f>IF(H89=0,0,J89/H89)</f>
        <v>#N/A</v>
      </c>
      <c r="N89" s="26" t="str">
        <f>IF($F$84=0," ",IF(AND(ABS(J89)&gt;$L$3,ABS(L89)&gt;$L$2),"C",IF(AND(ABS(F89+H89)&gt;0,H89=0,ABS(J89)&gt;$L$3),"C"," ")))</f>
        <v xml:space="preserve"> </v>
      </c>
    </row>
    <row r="90" spans="1:15" ht="13.5" x14ac:dyDescent="0.25">
      <c r="A90" s="1853">
        <v>1237</v>
      </c>
      <c r="B90" s="3356" t="s">
        <v>3870</v>
      </c>
      <c r="C90" s="3356"/>
      <c r="D90" s="3356"/>
      <c r="E90" s="3356"/>
      <c r="F90" s="649">
        <f>'905'!F90</f>
        <v>0</v>
      </c>
      <c r="G90" s="398"/>
      <c r="H90" s="649" t="e">
        <f t="shared" si="17"/>
        <v>#N/A</v>
      </c>
      <c r="J90" s="413" t="e">
        <f>F90-H90</f>
        <v>#N/A</v>
      </c>
      <c r="L90" s="414" t="e">
        <f>IF(H90=0,0,J90/H90)</f>
        <v>#N/A</v>
      </c>
      <c r="N90" s="26" t="str">
        <f t="shared" si="20"/>
        <v xml:space="preserve"> </v>
      </c>
    </row>
    <row r="91" spans="1:15" ht="13.5" x14ac:dyDescent="0.25">
      <c r="A91" s="1401">
        <v>1241</v>
      </c>
      <c r="B91" s="3356" t="s">
        <v>4452</v>
      </c>
      <c r="C91" s="3356"/>
      <c r="D91" s="3356"/>
      <c r="E91" s="3356"/>
      <c r="F91" s="649">
        <f>'905'!F91</f>
        <v>0</v>
      </c>
      <c r="G91" s="398"/>
      <c r="H91" s="649" t="e">
        <f t="shared" si="17"/>
        <v>#N/A</v>
      </c>
      <c r="J91" s="413" t="e">
        <f t="shared" si="18"/>
        <v>#N/A</v>
      </c>
      <c r="L91" s="414" t="e">
        <f t="shared" si="19"/>
        <v>#N/A</v>
      </c>
      <c r="N91" s="26" t="str">
        <f t="shared" si="20"/>
        <v xml:space="preserve"> </v>
      </c>
      <c r="O91" s="1610"/>
    </row>
    <row r="92" spans="1:15" ht="13.5" x14ac:dyDescent="0.25">
      <c r="A92" s="1401">
        <v>1238</v>
      </c>
      <c r="B92" s="3206" t="s">
        <v>3877</v>
      </c>
      <c r="C92" s="3206"/>
      <c r="D92" s="3206"/>
      <c r="E92" s="3206"/>
      <c r="F92" s="649">
        <f>'905'!F92</f>
        <v>0</v>
      </c>
      <c r="G92" s="398"/>
      <c r="H92" s="649" t="e">
        <f t="shared" si="17"/>
        <v>#N/A</v>
      </c>
      <c r="J92" s="413" t="e">
        <f t="shared" si="18"/>
        <v>#N/A</v>
      </c>
      <c r="L92" s="414" t="e">
        <f t="shared" si="19"/>
        <v>#N/A</v>
      </c>
      <c r="N92" s="26" t="str">
        <f t="shared" si="20"/>
        <v xml:space="preserve"> </v>
      </c>
    </row>
    <row r="93" spans="1:15" ht="13.5" x14ac:dyDescent="0.25">
      <c r="A93" s="1401">
        <v>1239</v>
      </c>
      <c r="B93" s="3206" t="s">
        <v>3953</v>
      </c>
      <c r="C93" s="3206"/>
      <c r="D93" s="3206"/>
      <c r="E93" s="3206"/>
      <c r="F93" s="649">
        <f>'905'!F93</f>
        <v>0</v>
      </c>
      <c r="G93" s="398"/>
      <c r="H93" s="649" t="e">
        <f t="shared" si="17"/>
        <v>#N/A</v>
      </c>
      <c r="J93" s="413" t="e">
        <f t="shared" si="18"/>
        <v>#N/A</v>
      </c>
      <c r="L93" s="414" t="e">
        <f t="shared" si="19"/>
        <v>#N/A</v>
      </c>
      <c r="N93" s="26" t="str">
        <f t="shared" si="20"/>
        <v xml:space="preserve"> </v>
      </c>
    </row>
    <row r="94" spans="1:15" ht="13.5" x14ac:dyDescent="0.25">
      <c r="B94" s="3206" t="s">
        <v>3704</v>
      </c>
      <c r="C94" s="3206"/>
      <c r="D94" s="398"/>
      <c r="E94" s="398"/>
      <c r="F94" s="400">
        <f>SUM(F87:F93)</f>
        <v>0</v>
      </c>
      <c r="H94" s="400" t="e">
        <f>SUM(H87:H93)</f>
        <v>#N/A</v>
      </c>
      <c r="J94" s="413" t="e">
        <f t="shared" si="18"/>
        <v>#N/A</v>
      </c>
      <c r="L94" s="414" t="e">
        <f t="shared" si="19"/>
        <v>#N/A</v>
      </c>
    </row>
    <row r="95" spans="1:15" ht="7.5" customHeight="1" x14ac:dyDescent="0.25">
      <c r="B95" s="398"/>
      <c r="C95" s="398"/>
      <c r="D95" s="398"/>
      <c r="E95" s="398"/>
      <c r="F95" s="808"/>
      <c r="H95" s="808"/>
      <c r="J95" s="413"/>
      <c r="L95" s="414"/>
    </row>
    <row r="96" spans="1:15" x14ac:dyDescent="0.2">
      <c r="B96" s="394" t="s">
        <v>273</v>
      </c>
      <c r="C96" s="394"/>
      <c r="D96" s="394"/>
      <c r="E96" s="394"/>
    </row>
    <row r="97" spans="1:14" x14ac:dyDescent="0.2">
      <c r="B97" s="401" t="s">
        <v>274</v>
      </c>
      <c r="C97" s="401"/>
      <c r="D97" s="401"/>
      <c r="E97" s="401"/>
    </row>
    <row r="98" spans="1:14" x14ac:dyDescent="0.2">
      <c r="A98" s="335"/>
      <c r="B98" s="335" t="s">
        <v>275</v>
      </c>
      <c r="C98" s="335"/>
      <c r="D98" s="335"/>
      <c r="E98" s="335"/>
    </row>
    <row r="99" spans="1:14" ht="13.5" x14ac:dyDescent="0.25">
      <c r="A99" s="335">
        <v>1640</v>
      </c>
      <c r="B99" s="3355" t="s">
        <v>1060</v>
      </c>
      <c r="C99" s="3355"/>
      <c r="D99" s="399"/>
      <c r="E99" s="399"/>
      <c r="F99" s="649">
        <f>'905'!F99</f>
        <v>0</v>
      </c>
      <c r="H99" s="649" t="e">
        <f>INDEX(PY905Data,MATCH($A99,PY905Row,0),MATCH($C$5,PY905Col,0))</f>
        <v>#N/A</v>
      </c>
      <c r="J99" s="413" t="e">
        <f>F99-H99</f>
        <v>#N/A</v>
      </c>
      <c r="L99" s="414" t="e">
        <f>IF(H99=0,0,J99/H99)</f>
        <v>#N/A</v>
      </c>
      <c r="N99" s="26" t="str">
        <f t="shared" ref="N99:N131" si="21">IF($F$84=0," ",IF(AND(ABS(J99)&gt;$L$3,ABS(L99)&gt;$L$2),"C",IF(AND(ABS(F99+H99)&gt;0,H99=0,ABS(J99)&gt;$L$3),"C"," ")))</f>
        <v xml:space="preserve"> </v>
      </c>
    </row>
    <row r="100" spans="1:14" ht="13.5" x14ac:dyDescent="0.25">
      <c r="A100" s="335">
        <v>1650</v>
      </c>
      <c r="B100" s="3355" t="s">
        <v>815</v>
      </c>
      <c r="C100" s="3355"/>
      <c r="D100" s="399"/>
      <c r="E100" s="399"/>
      <c r="F100" s="649">
        <f>'905'!F100</f>
        <v>0</v>
      </c>
      <c r="H100" s="649" t="e">
        <f>INDEX(PY905Data,MATCH($A100,PY905Row,0),MATCH($C$5,PY905Col,0))</f>
        <v>#N/A</v>
      </c>
      <c r="J100" s="413" t="e">
        <f>F100-H100</f>
        <v>#N/A</v>
      </c>
      <c r="L100" s="414" t="e">
        <f>IF(H100=0,0,J100/H100)</f>
        <v>#N/A</v>
      </c>
      <c r="N100" s="26" t="str">
        <f t="shared" si="21"/>
        <v xml:space="preserve"> </v>
      </c>
    </row>
    <row r="101" spans="1:14" ht="13.5" x14ac:dyDescent="0.25">
      <c r="A101" s="335">
        <v>1660</v>
      </c>
      <c r="B101" s="3355" t="s">
        <v>816</v>
      </c>
      <c r="C101" s="3355"/>
      <c r="D101" s="399"/>
      <c r="E101" s="399"/>
      <c r="F101" s="649">
        <f>'905'!F101</f>
        <v>0</v>
      </c>
      <c r="H101" s="649" t="e">
        <f>INDEX(PY905Data,MATCH($A101,PY905Row,0),MATCH($C$5,PY905Col,0))</f>
        <v>#N/A</v>
      </c>
      <c r="J101" s="413" t="e">
        <f>F101-H101</f>
        <v>#N/A</v>
      </c>
      <c r="L101" s="414" t="e">
        <f>IF(H101=0,0,J101/H101)</f>
        <v>#N/A</v>
      </c>
      <c r="N101" s="26" t="str">
        <f t="shared" si="21"/>
        <v xml:space="preserve"> </v>
      </c>
    </row>
    <row r="102" spans="1:14" ht="13.5" x14ac:dyDescent="0.25">
      <c r="A102" s="335">
        <v>1670</v>
      </c>
      <c r="B102" s="3355" t="s">
        <v>700</v>
      </c>
      <c r="C102" s="3355"/>
      <c r="D102" s="399"/>
      <c r="E102" s="399"/>
      <c r="F102" s="649">
        <f>'905'!F102</f>
        <v>0</v>
      </c>
      <c r="H102" s="649" t="e">
        <f>INDEX(PY905Data,MATCH($A102,PY905Row,0),MATCH($C$5,PY905Col,0))</f>
        <v>#N/A</v>
      </c>
      <c r="J102" s="413" t="e">
        <f>F102-H102</f>
        <v>#N/A</v>
      </c>
      <c r="L102" s="414" t="e">
        <f>IF(H102=0,0,J102/H102)</f>
        <v>#N/A</v>
      </c>
      <c r="N102" s="26" t="str">
        <f t="shared" si="21"/>
        <v xml:space="preserve"> </v>
      </c>
    </row>
    <row r="103" spans="1:14" ht="13.5" x14ac:dyDescent="0.25">
      <c r="A103" s="335">
        <v>1840</v>
      </c>
      <c r="B103" s="3206" t="s">
        <v>278</v>
      </c>
      <c r="C103" s="3206"/>
      <c r="D103" s="398"/>
      <c r="E103" s="398"/>
      <c r="F103" s="649">
        <f>'905'!F103</f>
        <v>0</v>
      </c>
      <c r="H103" s="649" t="e">
        <f>INDEX(PY905Data,MATCH($A103,PY905Row,0),MATCH($C$5,PY905Col,0))</f>
        <v>#N/A</v>
      </c>
      <c r="J103" s="413" t="e">
        <f>F103-H103</f>
        <v>#N/A</v>
      </c>
      <c r="L103" s="414" t="e">
        <f>IF(H103=0,0,J103/H103)</f>
        <v>#N/A</v>
      </c>
      <c r="N103" s="26" t="str">
        <f t="shared" si="21"/>
        <v xml:space="preserve"> </v>
      </c>
    </row>
    <row r="104" spans="1:14" ht="13.5" x14ac:dyDescent="0.25">
      <c r="A104" s="335"/>
      <c r="B104" s="335" t="s">
        <v>1423</v>
      </c>
      <c r="C104" s="335"/>
      <c r="D104" s="335"/>
      <c r="E104" s="335"/>
      <c r="J104" s="413"/>
      <c r="L104" s="414"/>
      <c r="N104" s="26" t="str">
        <f t="shared" si="21"/>
        <v xml:space="preserve"> </v>
      </c>
    </row>
    <row r="105" spans="1:14" ht="13.5" x14ac:dyDescent="0.25">
      <c r="A105" s="1129">
        <v>1788</v>
      </c>
      <c r="B105" s="3355" t="s">
        <v>4632</v>
      </c>
      <c r="C105" s="3355"/>
      <c r="D105" s="399"/>
      <c r="E105" s="399"/>
      <c r="F105" s="649">
        <f>'905'!F105</f>
        <v>0</v>
      </c>
      <c r="H105" s="649" t="e">
        <f t="shared" ref="H105:H131" si="22">INDEX(PY905Data,MATCH($A105,PY905Row,0),MATCH($C$5,PY905Col,0))</f>
        <v>#N/A</v>
      </c>
      <c r="J105" s="413" t="e">
        <f t="shared" ref="J105:J122" si="23">F105-H105</f>
        <v>#N/A</v>
      </c>
      <c r="L105" s="414" t="e">
        <f t="shared" ref="L105:L122" si="24">IF(H105=0,0,J105/H105)</f>
        <v>#N/A</v>
      </c>
      <c r="N105" s="26" t="str">
        <f t="shared" si="21"/>
        <v xml:space="preserve"> </v>
      </c>
    </row>
    <row r="106" spans="1:14" ht="13.5" x14ac:dyDescent="0.25">
      <c r="A106" s="1129">
        <v>1785</v>
      </c>
      <c r="B106" s="3355" t="s">
        <v>1541</v>
      </c>
      <c r="C106" s="3355"/>
      <c r="D106" s="399"/>
      <c r="E106" s="399"/>
      <c r="F106" s="649">
        <f>'905'!F106</f>
        <v>0</v>
      </c>
      <c r="H106" s="649" t="e">
        <f t="shared" si="22"/>
        <v>#N/A</v>
      </c>
      <c r="J106" s="413" t="e">
        <f t="shared" si="23"/>
        <v>#N/A</v>
      </c>
      <c r="L106" s="414" t="e">
        <f t="shared" si="24"/>
        <v>#N/A</v>
      </c>
      <c r="N106" s="26" t="str">
        <f t="shared" si="21"/>
        <v xml:space="preserve"> </v>
      </c>
    </row>
    <row r="107" spans="1:14" ht="13.5" x14ac:dyDescent="0.25">
      <c r="A107" s="1129">
        <v>1790</v>
      </c>
      <c r="B107" s="3355" t="s">
        <v>4604</v>
      </c>
      <c r="C107" s="3355"/>
      <c r="D107" s="399"/>
      <c r="E107" s="399"/>
      <c r="F107" s="649">
        <f>'905'!F107</f>
        <v>0</v>
      </c>
      <c r="H107" s="649" t="e">
        <f t="shared" si="22"/>
        <v>#N/A</v>
      </c>
      <c r="J107" s="413" t="e">
        <f t="shared" si="23"/>
        <v>#N/A</v>
      </c>
      <c r="L107" s="414" t="e">
        <f t="shared" si="24"/>
        <v>#N/A</v>
      </c>
      <c r="N107" s="2031" t="str">
        <f t="shared" si="21"/>
        <v xml:space="preserve"> </v>
      </c>
    </row>
    <row r="108" spans="1:14" ht="13.5" x14ac:dyDescent="0.25">
      <c r="A108" s="1129">
        <v>1791</v>
      </c>
      <c r="B108" s="3355" t="s">
        <v>4701</v>
      </c>
      <c r="C108" s="3355"/>
      <c r="D108" s="399"/>
      <c r="E108" s="399"/>
      <c r="F108" s="649">
        <f>'905'!F108</f>
        <v>0</v>
      </c>
      <c r="H108" s="649" t="e">
        <f t="shared" si="22"/>
        <v>#N/A</v>
      </c>
      <c r="J108" s="413" t="e">
        <f t="shared" si="23"/>
        <v>#N/A</v>
      </c>
      <c r="L108" s="414" t="e">
        <f t="shared" si="24"/>
        <v>#N/A</v>
      </c>
      <c r="N108" s="2031" t="str">
        <f t="shared" si="21"/>
        <v xml:space="preserve"> </v>
      </c>
    </row>
    <row r="109" spans="1:14" ht="13.5" x14ac:dyDescent="0.25">
      <c r="A109" s="1129">
        <v>1787</v>
      </c>
      <c r="B109" s="3355" t="s">
        <v>1542</v>
      </c>
      <c r="C109" s="3355"/>
      <c r="D109" s="399"/>
      <c r="E109" s="399"/>
      <c r="F109" s="649">
        <f>'905'!F109</f>
        <v>0</v>
      </c>
      <c r="H109" s="649" t="e">
        <f t="shared" si="22"/>
        <v>#N/A</v>
      </c>
      <c r="J109" s="413" t="e">
        <f t="shared" si="23"/>
        <v>#N/A</v>
      </c>
      <c r="L109" s="414" t="e">
        <f t="shared" si="24"/>
        <v>#N/A</v>
      </c>
      <c r="N109" s="26" t="str">
        <f t="shared" si="21"/>
        <v xml:space="preserve"> </v>
      </c>
    </row>
    <row r="110" spans="1:14" ht="13.5" x14ac:dyDescent="0.25">
      <c r="A110" s="1129">
        <v>1730</v>
      </c>
      <c r="B110" s="3206" t="s">
        <v>276</v>
      </c>
      <c r="C110" s="3206"/>
      <c r="D110" s="398"/>
      <c r="E110" s="398"/>
      <c r="F110" s="649">
        <f>'905'!F110</f>
        <v>0</v>
      </c>
      <c r="H110" s="649" t="e">
        <f t="shared" si="22"/>
        <v>#N/A</v>
      </c>
      <c r="J110" s="413" t="e">
        <f t="shared" si="23"/>
        <v>#N/A</v>
      </c>
      <c r="L110" s="414" t="e">
        <f t="shared" si="24"/>
        <v>#N/A</v>
      </c>
      <c r="N110" s="26" t="str">
        <f t="shared" si="21"/>
        <v xml:space="preserve"> </v>
      </c>
    </row>
    <row r="111" spans="1:14" ht="13.5" x14ac:dyDescent="0.25">
      <c r="A111" s="335">
        <v>1735</v>
      </c>
      <c r="B111" s="3206" t="s">
        <v>1543</v>
      </c>
      <c r="C111" s="3206"/>
      <c r="D111" s="398"/>
      <c r="E111" s="398"/>
      <c r="F111" s="649">
        <f>'905'!F111</f>
        <v>0</v>
      </c>
      <c r="H111" s="649" t="e">
        <f t="shared" si="22"/>
        <v>#N/A</v>
      </c>
      <c r="J111" s="413" t="e">
        <f t="shared" si="23"/>
        <v>#N/A</v>
      </c>
      <c r="L111" s="414" t="e">
        <f t="shared" si="24"/>
        <v>#N/A</v>
      </c>
      <c r="N111" s="26" t="str">
        <f t="shared" si="21"/>
        <v xml:space="preserve"> </v>
      </c>
    </row>
    <row r="112" spans="1:14" ht="13.5" x14ac:dyDescent="0.25">
      <c r="A112" s="1129">
        <v>1740</v>
      </c>
      <c r="B112" s="3206" t="s">
        <v>699</v>
      </c>
      <c r="C112" s="3206"/>
      <c r="D112" s="398"/>
      <c r="E112" s="398"/>
      <c r="F112" s="649">
        <f>'905'!F112</f>
        <v>0</v>
      </c>
      <c r="H112" s="649" t="e">
        <f t="shared" si="22"/>
        <v>#N/A</v>
      </c>
      <c r="J112" s="413" t="e">
        <f t="shared" si="23"/>
        <v>#N/A</v>
      </c>
      <c r="L112" s="414" t="e">
        <f t="shared" si="24"/>
        <v>#N/A</v>
      </c>
      <c r="N112" s="26" t="str">
        <f t="shared" si="21"/>
        <v xml:space="preserve"> </v>
      </c>
    </row>
    <row r="113" spans="1:14" ht="13.5" x14ac:dyDescent="0.25">
      <c r="A113" s="335">
        <v>1890</v>
      </c>
      <c r="B113" s="3206" t="s">
        <v>569</v>
      </c>
      <c r="C113" s="3206"/>
      <c r="D113" s="398"/>
      <c r="E113" s="398"/>
      <c r="F113" s="649">
        <f>'905'!F113</f>
        <v>0</v>
      </c>
      <c r="H113" s="649" t="e">
        <f t="shared" si="22"/>
        <v>#N/A</v>
      </c>
      <c r="J113" s="413" t="e">
        <f t="shared" si="23"/>
        <v>#N/A</v>
      </c>
      <c r="L113" s="414" t="e">
        <f t="shared" si="24"/>
        <v>#N/A</v>
      </c>
      <c r="N113" s="26" t="str">
        <f t="shared" si="21"/>
        <v xml:space="preserve"> </v>
      </c>
    </row>
    <row r="114" spans="1:14" ht="13.5" x14ac:dyDescent="0.25">
      <c r="A114" s="335">
        <v>1750</v>
      </c>
      <c r="B114" s="3206" t="s">
        <v>277</v>
      </c>
      <c r="C114" s="3206"/>
      <c r="D114" s="398"/>
      <c r="E114" s="398"/>
      <c r="F114" s="649">
        <f>'905'!F114</f>
        <v>0</v>
      </c>
      <c r="H114" s="649" t="e">
        <f t="shared" si="22"/>
        <v>#N/A</v>
      </c>
      <c r="J114" s="413" t="e">
        <f t="shared" si="23"/>
        <v>#N/A</v>
      </c>
      <c r="L114" s="414" t="e">
        <f t="shared" si="24"/>
        <v>#N/A</v>
      </c>
      <c r="N114" s="26" t="str">
        <f t="shared" si="21"/>
        <v xml:space="preserve"> </v>
      </c>
    </row>
    <row r="115" spans="1:14" ht="13.5" x14ac:dyDescent="0.25">
      <c r="A115" s="335">
        <v>1760</v>
      </c>
      <c r="B115" s="3206" t="s">
        <v>1402</v>
      </c>
      <c r="C115" s="3206"/>
      <c r="D115" s="398"/>
      <c r="E115" s="398"/>
      <c r="F115" s="649">
        <f>'905'!F115</f>
        <v>0</v>
      </c>
      <c r="H115" s="649" t="e">
        <f t="shared" si="22"/>
        <v>#N/A</v>
      </c>
      <c r="J115" s="413" t="e">
        <f t="shared" si="23"/>
        <v>#N/A</v>
      </c>
      <c r="L115" s="414" t="e">
        <f t="shared" si="24"/>
        <v>#N/A</v>
      </c>
      <c r="N115" s="26" t="str">
        <f t="shared" si="21"/>
        <v xml:space="preserve"> </v>
      </c>
    </row>
    <row r="116" spans="1:14" ht="13.5" x14ac:dyDescent="0.25">
      <c r="A116" s="335">
        <v>1870</v>
      </c>
      <c r="B116" s="3206" t="s">
        <v>739</v>
      </c>
      <c r="C116" s="3206"/>
      <c r="D116" s="398"/>
      <c r="E116" s="398"/>
      <c r="F116" s="649">
        <f>'905'!F116</f>
        <v>0</v>
      </c>
      <c r="H116" s="649" t="e">
        <f t="shared" si="22"/>
        <v>#N/A</v>
      </c>
      <c r="J116" s="413" t="e">
        <f t="shared" si="23"/>
        <v>#N/A</v>
      </c>
      <c r="L116" s="414" t="e">
        <f t="shared" si="24"/>
        <v>#N/A</v>
      </c>
      <c r="N116" s="26" t="str">
        <f t="shared" si="21"/>
        <v xml:space="preserve"> </v>
      </c>
    </row>
    <row r="117" spans="1:14" ht="13.5" x14ac:dyDescent="0.25">
      <c r="A117" s="335">
        <v>1880</v>
      </c>
      <c r="B117" s="3206" t="s">
        <v>701</v>
      </c>
      <c r="C117" s="3206"/>
      <c r="D117" s="398"/>
      <c r="E117" s="398"/>
      <c r="F117" s="649">
        <f>'905'!F117</f>
        <v>0</v>
      </c>
      <c r="H117" s="649" t="e">
        <f t="shared" si="22"/>
        <v>#N/A</v>
      </c>
      <c r="J117" s="413" t="e">
        <f t="shared" si="23"/>
        <v>#N/A</v>
      </c>
      <c r="L117" s="414" t="e">
        <f t="shared" si="24"/>
        <v>#N/A</v>
      </c>
      <c r="N117" s="26" t="str">
        <f t="shared" si="21"/>
        <v xml:space="preserve"> </v>
      </c>
    </row>
    <row r="118" spans="1:14" ht="13.5" x14ac:dyDescent="0.25">
      <c r="A118" s="335">
        <v>1762</v>
      </c>
      <c r="B118" s="3206" t="s">
        <v>1347</v>
      </c>
      <c r="C118" s="3206"/>
      <c r="D118" s="398"/>
      <c r="E118" s="398"/>
      <c r="F118" s="649">
        <f>'905'!F118</f>
        <v>0</v>
      </c>
      <c r="H118" s="649" t="e">
        <f t="shared" si="22"/>
        <v>#N/A</v>
      </c>
      <c r="J118" s="413" t="e">
        <f t="shared" si="23"/>
        <v>#N/A</v>
      </c>
      <c r="L118" s="414" t="e">
        <f t="shared" si="24"/>
        <v>#N/A</v>
      </c>
      <c r="N118" s="26" t="str">
        <f t="shared" si="21"/>
        <v xml:space="preserve"> </v>
      </c>
    </row>
    <row r="119" spans="1:14" ht="13.5" x14ac:dyDescent="0.25">
      <c r="A119" s="1129">
        <v>1775</v>
      </c>
      <c r="B119" s="3206" t="s">
        <v>4633</v>
      </c>
      <c r="C119" s="3206"/>
      <c r="D119" s="398"/>
      <c r="E119" s="398"/>
      <c r="F119" s="649">
        <f>'905'!F119</f>
        <v>0</v>
      </c>
      <c r="H119" s="649" t="e">
        <f t="shared" si="22"/>
        <v>#N/A</v>
      </c>
      <c r="J119" s="413" t="e">
        <f t="shared" si="23"/>
        <v>#N/A</v>
      </c>
      <c r="L119" s="414" t="e">
        <f t="shared" si="24"/>
        <v>#N/A</v>
      </c>
      <c r="N119" s="2031" t="str">
        <f t="shared" si="21"/>
        <v xml:space="preserve"> </v>
      </c>
    </row>
    <row r="120" spans="1:14" ht="13.5" x14ac:dyDescent="0.25">
      <c r="A120" s="1129">
        <v>1780</v>
      </c>
      <c r="B120" s="3307" t="s">
        <v>5536</v>
      </c>
      <c r="C120" s="3307"/>
      <c r="D120" s="398"/>
      <c r="E120" s="398"/>
      <c r="F120" s="649">
        <f>'905'!F120</f>
        <v>0</v>
      </c>
      <c r="H120" s="649" t="e">
        <f t="shared" si="22"/>
        <v>#N/A</v>
      </c>
      <c r="J120" s="413" t="e">
        <f t="shared" si="23"/>
        <v>#N/A</v>
      </c>
      <c r="L120" s="414" t="e">
        <f t="shared" si="24"/>
        <v>#N/A</v>
      </c>
      <c r="N120" s="26" t="str">
        <f t="shared" si="21"/>
        <v xml:space="preserve"> </v>
      </c>
    </row>
    <row r="121" spans="1:14" ht="13.5" x14ac:dyDescent="0.25">
      <c r="A121" s="1129">
        <v>1800</v>
      </c>
      <c r="B121" s="3206" t="s">
        <v>1544</v>
      </c>
      <c r="C121" s="3206"/>
      <c r="D121" s="398"/>
      <c r="E121" s="398"/>
      <c r="F121" s="649">
        <f>'905'!F121</f>
        <v>0</v>
      </c>
      <c r="H121" s="649" t="e">
        <f t="shared" si="22"/>
        <v>#N/A</v>
      </c>
      <c r="J121" s="413" t="e">
        <f t="shared" si="23"/>
        <v>#N/A</v>
      </c>
      <c r="L121" s="414" t="e">
        <f t="shared" si="24"/>
        <v>#N/A</v>
      </c>
      <c r="N121" s="26" t="str">
        <f t="shared" si="21"/>
        <v xml:space="preserve"> </v>
      </c>
    </row>
    <row r="122" spans="1:14" ht="13.5" x14ac:dyDescent="0.25">
      <c r="A122" s="1129">
        <v>1850</v>
      </c>
      <c r="B122" s="3206" t="s">
        <v>1165</v>
      </c>
      <c r="C122" s="3206"/>
      <c r="D122" s="398"/>
      <c r="E122" s="398"/>
      <c r="F122" s="649">
        <f>'905'!F122</f>
        <v>0</v>
      </c>
      <c r="H122" s="649" t="e">
        <f t="shared" si="22"/>
        <v>#N/A</v>
      </c>
      <c r="J122" s="413" t="e">
        <f t="shared" si="23"/>
        <v>#N/A</v>
      </c>
      <c r="L122" s="414" t="e">
        <f t="shared" si="24"/>
        <v>#N/A</v>
      </c>
      <c r="N122" s="26" t="str">
        <f t="shared" si="21"/>
        <v xml:space="preserve"> </v>
      </c>
    </row>
    <row r="123" spans="1:14" ht="13.5" x14ac:dyDescent="0.25">
      <c r="A123" s="1129">
        <v>1851</v>
      </c>
      <c r="B123" s="3206" t="s">
        <v>3805</v>
      </c>
      <c r="C123" s="3206"/>
      <c r="D123" s="398"/>
      <c r="E123" s="398"/>
      <c r="F123" s="649">
        <f>'905'!F123</f>
        <v>0</v>
      </c>
      <c r="H123" s="649" t="e">
        <f t="shared" si="22"/>
        <v>#N/A</v>
      </c>
      <c r="J123" s="413" t="e">
        <f t="shared" ref="J123:J131" si="25">F123-H123</f>
        <v>#N/A</v>
      </c>
      <c r="L123" s="414" t="e">
        <f t="shared" ref="L123:L131" si="26">IF(H123=0,0,J123/H123)</f>
        <v>#N/A</v>
      </c>
      <c r="N123" s="26" t="str">
        <f t="shared" si="21"/>
        <v xml:space="preserve"> </v>
      </c>
    </row>
    <row r="124" spans="1:14" ht="13.5" x14ac:dyDescent="0.25">
      <c r="A124" s="1129">
        <v>1786</v>
      </c>
      <c r="B124" s="3206" t="s">
        <v>1545</v>
      </c>
      <c r="C124" s="3206"/>
      <c r="D124" s="398"/>
      <c r="E124" s="398"/>
      <c r="F124" s="649">
        <f>'905'!F124</f>
        <v>0</v>
      </c>
      <c r="H124" s="649" t="e">
        <f t="shared" si="22"/>
        <v>#N/A</v>
      </c>
      <c r="J124" s="413" t="e">
        <f t="shared" si="25"/>
        <v>#N/A</v>
      </c>
      <c r="L124" s="414" t="e">
        <f t="shared" si="26"/>
        <v>#N/A</v>
      </c>
      <c r="N124" s="26" t="str">
        <f t="shared" si="21"/>
        <v xml:space="preserve"> </v>
      </c>
    </row>
    <row r="125" spans="1:14" ht="13.5" x14ac:dyDescent="0.25">
      <c r="A125" s="1129">
        <v>1855</v>
      </c>
      <c r="B125" s="3206" t="s">
        <v>1295</v>
      </c>
      <c r="C125" s="3206"/>
      <c r="D125" s="398"/>
      <c r="E125" s="398"/>
      <c r="F125" s="649">
        <f>'905'!F125</f>
        <v>0</v>
      </c>
      <c r="H125" s="649" t="e">
        <f t="shared" si="22"/>
        <v>#N/A</v>
      </c>
      <c r="J125" s="413" t="e">
        <f t="shared" si="25"/>
        <v>#N/A</v>
      </c>
      <c r="L125" s="414" t="e">
        <f t="shared" si="26"/>
        <v>#N/A</v>
      </c>
      <c r="N125" s="26" t="str">
        <f t="shared" si="21"/>
        <v xml:space="preserve"> </v>
      </c>
    </row>
    <row r="126" spans="1:14" ht="13.5" x14ac:dyDescent="0.25">
      <c r="A126" s="1129">
        <v>1857</v>
      </c>
      <c r="B126" s="3206" t="s">
        <v>4621</v>
      </c>
      <c r="C126" s="3206"/>
      <c r="D126" s="398"/>
      <c r="E126" s="398"/>
      <c r="F126" s="649">
        <f>'905'!F126</f>
        <v>0</v>
      </c>
      <c r="H126" s="649" t="e">
        <f t="shared" si="22"/>
        <v>#N/A</v>
      </c>
      <c r="J126" s="413" t="e">
        <f>F126-H126</f>
        <v>#N/A</v>
      </c>
      <c r="L126" s="414" t="e">
        <f>IF(H126=0,0,J126/H126)</f>
        <v>#N/A</v>
      </c>
      <c r="N126" s="26" t="str">
        <f>IF($F$84=0," ",IF(AND(ABS(J126)&gt;$L$3,ABS(L126)&gt;$L$2),"C",IF(AND(ABS(F126+H126)&gt;0,H126=0,ABS(J126)&gt;$L$3),"C"," ")))</f>
        <v xml:space="preserve"> </v>
      </c>
    </row>
    <row r="127" spans="1:14" ht="13.5" x14ac:dyDescent="0.25">
      <c r="A127" s="1129">
        <v>1860</v>
      </c>
      <c r="B127" s="3206" t="s">
        <v>3878</v>
      </c>
      <c r="C127" s="3206"/>
      <c r="D127" s="3206"/>
      <c r="E127" s="3206"/>
      <c r="F127" s="649">
        <f>'905'!F127</f>
        <v>0</v>
      </c>
      <c r="H127" s="649" t="e">
        <f t="shared" si="22"/>
        <v>#N/A</v>
      </c>
      <c r="J127" s="413" t="e">
        <f t="shared" si="25"/>
        <v>#N/A</v>
      </c>
      <c r="L127" s="414" t="e">
        <f t="shared" si="26"/>
        <v>#N/A</v>
      </c>
      <c r="N127" s="26" t="str">
        <f t="shared" si="21"/>
        <v xml:space="preserve"> </v>
      </c>
    </row>
    <row r="128" spans="1:14" ht="13.5" x14ac:dyDescent="0.25">
      <c r="A128" s="1129">
        <v>1868</v>
      </c>
      <c r="B128" s="3206" t="s">
        <v>4490</v>
      </c>
      <c r="C128" s="3206"/>
      <c r="D128" s="3206"/>
      <c r="E128" s="3206"/>
      <c r="F128" s="649">
        <f>'905'!F128</f>
        <v>0</v>
      </c>
      <c r="H128" s="649" t="e">
        <f t="shared" si="22"/>
        <v>#N/A</v>
      </c>
      <c r="J128" s="413" t="e">
        <f>F128-H128</f>
        <v>#N/A</v>
      </c>
      <c r="L128" s="414" t="e">
        <f>IF(H128=0,0,J128/H128)</f>
        <v>#N/A</v>
      </c>
      <c r="N128" s="26" t="str">
        <f>IF($F$84=0," ",IF(AND(ABS(J128)&gt;$L$3,ABS(L128)&gt;$L$2),"C",IF(AND(ABS(F128+H128)&gt;0,H128=0,ABS(J128)&gt;$L$3),"C"," ")))</f>
        <v xml:space="preserve"> </v>
      </c>
    </row>
    <row r="129" spans="1:15" ht="13.5" x14ac:dyDescent="0.25">
      <c r="A129" s="1129">
        <v>1869</v>
      </c>
      <c r="B129" s="3356" t="s">
        <v>4491</v>
      </c>
      <c r="C129" s="3356"/>
      <c r="D129" s="3356"/>
      <c r="E129" s="3356"/>
      <c r="F129" s="649">
        <f>'905'!F129</f>
        <v>0</v>
      </c>
      <c r="H129" s="649" t="e">
        <f t="shared" si="22"/>
        <v>#N/A</v>
      </c>
      <c r="J129" s="413" t="e">
        <f>F129-H129</f>
        <v>#N/A</v>
      </c>
      <c r="L129" s="414" t="e">
        <f>IF(H129=0,0,J129/H129)</f>
        <v>#N/A</v>
      </c>
      <c r="N129" s="26" t="str">
        <f t="shared" si="21"/>
        <v xml:space="preserve"> </v>
      </c>
      <c r="O129" s="1610"/>
    </row>
    <row r="130" spans="1:15" ht="13.5" x14ac:dyDescent="0.25">
      <c r="A130" s="1129">
        <v>1865</v>
      </c>
      <c r="B130" s="3206" t="s">
        <v>1546</v>
      </c>
      <c r="C130" s="3206"/>
      <c r="D130" s="398"/>
      <c r="E130" s="398"/>
      <c r="F130" s="649">
        <f>'905'!F130</f>
        <v>0</v>
      </c>
      <c r="H130" s="649" t="e">
        <f t="shared" si="22"/>
        <v>#N/A</v>
      </c>
      <c r="J130" s="413" t="e">
        <f t="shared" si="25"/>
        <v>#N/A</v>
      </c>
      <c r="L130" s="414" t="e">
        <f t="shared" si="26"/>
        <v>#N/A</v>
      </c>
      <c r="N130" s="26" t="str">
        <f t="shared" si="21"/>
        <v xml:space="preserve"> </v>
      </c>
    </row>
    <row r="131" spans="1:15" ht="13.5" x14ac:dyDescent="0.25">
      <c r="A131" s="1129">
        <v>1866</v>
      </c>
      <c r="B131" s="3206" t="s">
        <v>1547</v>
      </c>
      <c r="C131" s="3206"/>
      <c r="D131" s="398"/>
      <c r="E131" s="398"/>
      <c r="F131" s="649">
        <f>'905'!F131</f>
        <v>0</v>
      </c>
      <c r="H131" s="649" t="e">
        <f t="shared" si="22"/>
        <v>#N/A</v>
      </c>
      <c r="J131" s="413" t="e">
        <f t="shared" si="25"/>
        <v>#N/A</v>
      </c>
      <c r="L131" s="414" t="e">
        <f t="shared" si="26"/>
        <v>#N/A</v>
      </c>
      <c r="N131" s="26" t="str">
        <f t="shared" si="21"/>
        <v xml:space="preserve"> </v>
      </c>
    </row>
    <row r="132" spans="1:15" ht="13.5" x14ac:dyDescent="0.25">
      <c r="B132" s="3206" t="s">
        <v>787</v>
      </c>
      <c r="C132" s="3206"/>
      <c r="D132" s="398"/>
      <c r="E132" s="398"/>
      <c r="F132" s="402">
        <f>SUM(F98:F131)</f>
        <v>0</v>
      </c>
      <c r="H132" s="402" t="e">
        <f>SUM(H98:H131)</f>
        <v>#N/A</v>
      </c>
      <c r="J132" s="413" t="e">
        <f>F132-H132</f>
        <v>#N/A</v>
      </c>
      <c r="L132" s="414" t="e">
        <f>IF(H132=0,0,J132/H132)</f>
        <v>#N/A</v>
      </c>
    </row>
    <row r="133" spans="1:15" ht="9.75" customHeight="1" x14ac:dyDescent="0.25">
      <c r="B133" s="398"/>
      <c r="C133" s="398"/>
      <c r="D133" s="398"/>
      <c r="E133" s="398"/>
      <c r="J133" s="413"/>
      <c r="L133" s="414"/>
    </row>
    <row r="134" spans="1:15" ht="13.5" x14ac:dyDescent="0.25">
      <c r="B134" s="403" t="s">
        <v>788</v>
      </c>
      <c r="C134" s="403"/>
      <c r="D134" s="403"/>
      <c r="E134" s="403"/>
      <c r="J134" s="413"/>
      <c r="L134" s="414"/>
    </row>
    <row r="135" spans="1:15" x14ac:dyDescent="0.2">
      <c r="A135" s="335"/>
      <c r="B135" s="335" t="s">
        <v>275</v>
      </c>
      <c r="C135" s="335"/>
      <c r="D135" s="335"/>
      <c r="E135" s="335"/>
    </row>
    <row r="136" spans="1:15" ht="13.5" x14ac:dyDescent="0.25">
      <c r="A136" s="335">
        <v>1940</v>
      </c>
      <c r="B136" s="3355" t="s">
        <v>1060</v>
      </c>
      <c r="C136" s="3355"/>
      <c r="D136" s="399"/>
      <c r="E136" s="399"/>
      <c r="F136" s="649">
        <f>'905'!F136</f>
        <v>0</v>
      </c>
      <c r="H136" s="649" t="e">
        <f t="shared" ref="H136:H156" si="27">INDEX(PY905Data,MATCH($A136,PY905Row,0),MATCH($C$5,PY905Col,0))</f>
        <v>#N/A</v>
      </c>
      <c r="J136" s="413" t="e">
        <f>F136-H136</f>
        <v>#N/A</v>
      </c>
      <c r="L136" s="414" t="e">
        <f>IF(H136=0,0,J136/H136)</f>
        <v>#N/A</v>
      </c>
      <c r="N136" s="26" t="str">
        <f t="shared" ref="N136:N156" si="28">IF($F$84=0," ",IF(AND(ABS(J136)&gt;$L$3,ABS(L136)&gt;$L$2),"C",IF(AND(ABS(F136+H136)&gt;0,H136=0,ABS(J136)&gt;$L$3),"C"," ")))</f>
        <v xml:space="preserve"> </v>
      </c>
    </row>
    <row r="137" spans="1:15" ht="13.5" x14ac:dyDescent="0.25">
      <c r="A137" s="335">
        <v>1950</v>
      </c>
      <c r="B137" s="3355" t="s">
        <v>816</v>
      </c>
      <c r="C137" s="3355"/>
      <c r="D137" s="399"/>
      <c r="E137" s="399"/>
      <c r="F137" s="649">
        <f>'905'!F137</f>
        <v>0</v>
      </c>
      <c r="H137" s="649" t="e">
        <f t="shared" si="27"/>
        <v>#N/A</v>
      </c>
      <c r="J137" s="413" t="e">
        <f t="shared" ref="J137:J159" si="29">F137-H137</f>
        <v>#N/A</v>
      </c>
      <c r="L137" s="414" t="e">
        <f t="shared" ref="L137:L159" si="30">IF(H137=0,0,J137/H137)</f>
        <v>#N/A</v>
      </c>
      <c r="N137" s="26" t="str">
        <f t="shared" si="28"/>
        <v xml:space="preserve"> </v>
      </c>
    </row>
    <row r="138" spans="1:15" ht="13.5" x14ac:dyDescent="0.25">
      <c r="A138" s="335">
        <v>1960</v>
      </c>
      <c r="B138" s="3355" t="s">
        <v>700</v>
      </c>
      <c r="C138" s="3355"/>
      <c r="D138" s="399"/>
      <c r="E138" s="399"/>
      <c r="F138" s="649">
        <f>'905'!F138</f>
        <v>0</v>
      </c>
      <c r="H138" s="649" t="e">
        <f t="shared" si="27"/>
        <v>#N/A</v>
      </c>
      <c r="J138" s="413" t="e">
        <f t="shared" si="29"/>
        <v>#N/A</v>
      </c>
      <c r="L138" s="414" t="e">
        <f t="shared" si="30"/>
        <v>#N/A</v>
      </c>
      <c r="N138" s="26" t="str">
        <f t="shared" si="28"/>
        <v xml:space="preserve"> </v>
      </c>
    </row>
    <row r="139" spans="1:15" ht="13.5" x14ac:dyDescent="0.25">
      <c r="A139" s="1129">
        <v>2020</v>
      </c>
      <c r="B139" s="3206" t="s">
        <v>789</v>
      </c>
      <c r="C139" s="3206"/>
      <c r="D139" s="398"/>
      <c r="E139" s="398"/>
      <c r="F139" s="649">
        <f>'905'!F139</f>
        <v>0</v>
      </c>
      <c r="H139" s="649" t="e">
        <f t="shared" si="27"/>
        <v>#N/A</v>
      </c>
      <c r="J139" s="413" t="e">
        <f t="shared" si="29"/>
        <v>#N/A</v>
      </c>
      <c r="L139" s="414" t="e">
        <f t="shared" si="30"/>
        <v>#N/A</v>
      </c>
      <c r="N139" s="26" t="str">
        <f t="shared" si="28"/>
        <v xml:space="preserve"> </v>
      </c>
    </row>
    <row r="140" spans="1:15" ht="13.5" x14ac:dyDescent="0.25">
      <c r="A140" s="335">
        <v>2097</v>
      </c>
      <c r="B140" s="3206" t="s">
        <v>569</v>
      </c>
      <c r="C140" s="3206"/>
      <c r="D140" s="398"/>
      <c r="E140" s="398"/>
      <c r="F140" s="649">
        <f>'905'!F140</f>
        <v>0</v>
      </c>
      <c r="H140" s="649" t="e">
        <f t="shared" si="27"/>
        <v>#N/A</v>
      </c>
      <c r="J140" s="413" t="e">
        <f>F140-H140</f>
        <v>#N/A</v>
      </c>
      <c r="L140" s="414" t="e">
        <f>IF(H140=0,0,J140/H140)</f>
        <v>#N/A</v>
      </c>
      <c r="N140" s="26" t="str">
        <f t="shared" si="28"/>
        <v xml:space="preserve"> </v>
      </c>
    </row>
    <row r="141" spans="1:15" ht="13.5" x14ac:dyDescent="0.25">
      <c r="A141" s="335">
        <v>2070</v>
      </c>
      <c r="B141" s="3206" t="s">
        <v>739</v>
      </c>
      <c r="C141" s="3206"/>
      <c r="D141" s="398"/>
      <c r="E141" s="398"/>
      <c r="F141" s="649">
        <f>'905'!F141</f>
        <v>0</v>
      </c>
      <c r="H141" s="649" t="e">
        <f t="shared" si="27"/>
        <v>#N/A</v>
      </c>
      <c r="J141" s="413" t="e">
        <f t="shared" si="29"/>
        <v>#N/A</v>
      </c>
      <c r="L141" s="414" t="e">
        <f t="shared" si="30"/>
        <v>#N/A</v>
      </c>
      <c r="N141" s="26" t="str">
        <f t="shared" si="28"/>
        <v xml:space="preserve"> </v>
      </c>
    </row>
    <row r="142" spans="1:15" ht="13.5" x14ac:dyDescent="0.25">
      <c r="A142" s="335">
        <v>2080</v>
      </c>
      <c r="B142" s="3206" t="s">
        <v>701</v>
      </c>
      <c r="C142" s="3206"/>
      <c r="D142" s="398"/>
      <c r="E142" s="398"/>
      <c r="F142" s="649">
        <f>'905'!F142</f>
        <v>0</v>
      </c>
      <c r="H142" s="649" t="e">
        <f t="shared" si="27"/>
        <v>#N/A</v>
      </c>
      <c r="J142" s="413" t="e">
        <f t="shared" si="29"/>
        <v>#N/A</v>
      </c>
      <c r="L142" s="414" t="e">
        <f t="shared" si="30"/>
        <v>#N/A</v>
      </c>
      <c r="N142" s="26" t="str">
        <f t="shared" si="28"/>
        <v xml:space="preserve"> </v>
      </c>
    </row>
    <row r="143" spans="1:15" ht="13.5" x14ac:dyDescent="0.25">
      <c r="A143" s="335">
        <v>2024</v>
      </c>
      <c r="B143" s="3206" t="s">
        <v>1347</v>
      </c>
      <c r="C143" s="3206"/>
      <c r="D143" s="398"/>
      <c r="E143" s="398"/>
      <c r="F143" s="649">
        <f>'905'!F143</f>
        <v>0</v>
      </c>
      <c r="H143" s="649" t="e">
        <f t="shared" si="27"/>
        <v>#N/A</v>
      </c>
      <c r="J143" s="413" t="e">
        <f>F143-H143</f>
        <v>#N/A</v>
      </c>
      <c r="L143" s="414" t="e">
        <f>IF(H143=0,0,J143/H143)</f>
        <v>#N/A</v>
      </c>
      <c r="N143" s="26" t="str">
        <f t="shared" si="28"/>
        <v xml:space="preserve"> </v>
      </c>
    </row>
    <row r="144" spans="1:15" ht="13.5" x14ac:dyDescent="0.25">
      <c r="A144" s="1129">
        <v>2035</v>
      </c>
      <c r="B144" s="3206" t="s">
        <v>4604</v>
      </c>
      <c r="C144" s="3206"/>
      <c r="D144" s="398"/>
      <c r="E144" s="398"/>
      <c r="F144" s="649">
        <f>'905'!F144</f>
        <v>0</v>
      </c>
      <c r="H144" s="649" t="e">
        <f t="shared" si="27"/>
        <v>#N/A</v>
      </c>
      <c r="J144" s="413" t="e">
        <f t="shared" si="29"/>
        <v>#N/A</v>
      </c>
      <c r="L144" s="414" t="e">
        <f t="shared" si="30"/>
        <v>#N/A</v>
      </c>
      <c r="N144" s="2031" t="str">
        <f t="shared" si="28"/>
        <v xml:space="preserve"> </v>
      </c>
    </row>
    <row r="145" spans="1:15" ht="13.5" x14ac:dyDescent="0.25">
      <c r="A145" s="1129">
        <v>2040</v>
      </c>
      <c r="B145" s="3307" t="s">
        <v>5491</v>
      </c>
      <c r="C145" s="3307"/>
      <c r="D145" s="398"/>
      <c r="E145" s="398"/>
      <c r="F145" s="649">
        <f>'905'!F145</f>
        <v>0</v>
      </c>
      <c r="H145" s="649" t="e">
        <f t="shared" si="27"/>
        <v>#N/A</v>
      </c>
      <c r="J145" s="413" t="e">
        <f t="shared" si="29"/>
        <v>#N/A</v>
      </c>
      <c r="L145" s="414" t="e">
        <f t="shared" si="30"/>
        <v>#N/A</v>
      </c>
      <c r="N145" s="26" t="str">
        <f t="shared" si="28"/>
        <v xml:space="preserve"> </v>
      </c>
    </row>
    <row r="146" spans="1:15" ht="13.5" x14ac:dyDescent="0.25">
      <c r="A146" s="1129">
        <v>2050</v>
      </c>
      <c r="B146" s="3206" t="s">
        <v>1548</v>
      </c>
      <c r="C146" s="3206"/>
      <c r="D146" s="398"/>
      <c r="E146" s="398"/>
      <c r="F146" s="649">
        <f>'905'!F146</f>
        <v>0</v>
      </c>
      <c r="H146" s="649" t="e">
        <f t="shared" si="27"/>
        <v>#N/A</v>
      </c>
      <c r="J146" s="413" t="e">
        <f t="shared" si="29"/>
        <v>#N/A</v>
      </c>
      <c r="L146" s="414" t="e">
        <f t="shared" si="30"/>
        <v>#N/A</v>
      </c>
      <c r="N146" s="26" t="str">
        <f t="shared" si="28"/>
        <v xml:space="preserve"> </v>
      </c>
    </row>
    <row r="147" spans="1:15" ht="13.5" x14ac:dyDescent="0.25">
      <c r="A147" s="1129">
        <v>2060</v>
      </c>
      <c r="B147" s="3206" t="s">
        <v>1061</v>
      </c>
      <c r="C147" s="3206"/>
      <c r="D147" s="398"/>
      <c r="E147" s="398"/>
      <c r="F147" s="649">
        <f>'905'!F147</f>
        <v>0</v>
      </c>
      <c r="H147" s="649" t="e">
        <f t="shared" si="27"/>
        <v>#N/A</v>
      </c>
      <c r="J147" s="413" t="e">
        <f t="shared" si="29"/>
        <v>#N/A</v>
      </c>
      <c r="L147" s="414" t="e">
        <f t="shared" si="30"/>
        <v>#N/A</v>
      </c>
      <c r="N147" s="26" t="str">
        <f t="shared" si="28"/>
        <v xml:space="preserve"> </v>
      </c>
    </row>
    <row r="148" spans="1:15" ht="13.5" x14ac:dyDescent="0.25">
      <c r="A148" s="1129">
        <v>2061</v>
      </c>
      <c r="B148" s="3206" t="s">
        <v>1062</v>
      </c>
      <c r="C148" s="3206"/>
      <c r="D148" s="398"/>
      <c r="E148" s="398"/>
      <c r="F148" s="649">
        <f>'905'!F148</f>
        <v>0</v>
      </c>
      <c r="H148" s="649" t="e">
        <f t="shared" si="27"/>
        <v>#N/A</v>
      </c>
      <c r="J148" s="413" t="e">
        <f t="shared" ref="J148:J156" si="31">F148-H148</f>
        <v>#N/A</v>
      </c>
      <c r="L148" s="414" t="e">
        <f t="shared" ref="L148:L156" si="32">IF(H148=0,0,J148/H148)</f>
        <v>#N/A</v>
      </c>
      <c r="N148" s="26" t="str">
        <f t="shared" si="28"/>
        <v xml:space="preserve"> </v>
      </c>
    </row>
    <row r="149" spans="1:15" ht="13.5" x14ac:dyDescent="0.25">
      <c r="A149" s="1129">
        <v>2045</v>
      </c>
      <c r="B149" s="3206" t="s">
        <v>93</v>
      </c>
      <c r="C149" s="3206"/>
      <c r="D149" s="398"/>
      <c r="E149" s="398"/>
      <c r="F149" s="649">
        <f>'905'!F149</f>
        <v>0</v>
      </c>
      <c r="H149" s="649" t="e">
        <f t="shared" si="27"/>
        <v>#N/A</v>
      </c>
      <c r="J149" s="413" t="e">
        <f t="shared" si="31"/>
        <v>#N/A</v>
      </c>
      <c r="L149" s="414" t="e">
        <f t="shared" si="32"/>
        <v>#N/A</v>
      </c>
      <c r="N149" s="26" t="str">
        <f t="shared" si="28"/>
        <v xml:space="preserve"> </v>
      </c>
    </row>
    <row r="150" spans="1:15" ht="13.5" x14ac:dyDescent="0.25">
      <c r="A150" s="1129">
        <v>2085</v>
      </c>
      <c r="B150" s="3206" t="s">
        <v>1226</v>
      </c>
      <c r="C150" s="3206"/>
      <c r="D150" s="398"/>
      <c r="E150" s="398"/>
      <c r="F150" s="649">
        <f>'905'!F150</f>
        <v>0</v>
      </c>
      <c r="H150" s="649" t="e">
        <f t="shared" si="27"/>
        <v>#N/A</v>
      </c>
      <c r="J150" s="413" t="e">
        <f t="shared" si="31"/>
        <v>#N/A</v>
      </c>
      <c r="L150" s="414" t="e">
        <f t="shared" si="32"/>
        <v>#N/A</v>
      </c>
      <c r="N150" s="26" t="str">
        <f t="shared" si="28"/>
        <v xml:space="preserve"> </v>
      </c>
    </row>
    <row r="151" spans="1:15" ht="13.5" x14ac:dyDescent="0.25">
      <c r="A151" s="1129">
        <v>2087</v>
      </c>
      <c r="B151" s="3206" t="s">
        <v>4602</v>
      </c>
      <c r="C151" s="3206"/>
      <c r="D151" s="398"/>
      <c r="E151" s="398"/>
      <c r="F151" s="649">
        <f>'905'!F151</f>
        <v>0</v>
      </c>
      <c r="H151" s="649" t="e">
        <f t="shared" si="27"/>
        <v>#N/A</v>
      </c>
      <c r="J151" s="413" t="e">
        <f>F151-H151</f>
        <v>#N/A</v>
      </c>
      <c r="L151" s="414" t="e">
        <f>IF(H151=0,0,J151/H151)</f>
        <v>#N/A</v>
      </c>
      <c r="N151" s="26" t="str">
        <f>IF($F$84=0," ",IF(AND(ABS(J151)&gt;$L$3,ABS(L151)&gt;$L$2),"C",IF(AND(ABS(F151+H151)&gt;0,H151=0,ABS(J151)&gt;$L$3),"C"," ")))</f>
        <v xml:space="preserve"> </v>
      </c>
    </row>
    <row r="152" spans="1:15" ht="13.5" x14ac:dyDescent="0.25">
      <c r="A152" s="1129">
        <v>2090</v>
      </c>
      <c r="B152" s="3206" t="s">
        <v>3879</v>
      </c>
      <c r="C152" s="3206"/>
      <c r="D152" s="3206"/>
      <c r="E152" s="3206"/>
      <c r="F152" s="649">
        <f>'905'!F152</f>
        <v>0</v>
      </c>
      <c r="H152" s="649" t="e">
        <f t="shared" si="27"/>
        <v>#N/A</v>
      </c>
      <c r="J152" s="413" t="e">
        <f t="shared" si="31"/>
        <v>#N/A</v>
      </c>
      <c r="L152" s="414" t="e">
        <f t="shared" si="32"/>
        <v>#N/A</v>
      </c>
      <c r="N152" s="26" t="str">
        <f t="shared" si="28"/>
        <v xml:space="preserve"> </v>
      </c>
    </row>
    <row r="153" spans="1:15" ht="13.5" x14ac:dyDescent="0.25">
      <c r="A153" s="1129">
        <v>2098</v>
      </c>
      <c r="B153" s="3206" t="s">
        <v>3880</v>
      </c>
      <c r="C153" s="3206"/>
      <c r="D153" s="3206"/>
      <c r="E153" s="3206"/>
      <c r="F153" s="649">
        <f>'905'!F153</f>
        <v>0</v>
      </c>
      <c r="H153" s="649" t="e">
        <f t="shared" si="27"/>
        <v>#N/A</v>
      </c>
      <c r="J153" s="413" t="e">
        <f>F153-H153</f>
        <v>#N/A</v>
      </c>
      <c r="L153" s="414" t="e">
        <f>IF(H153=0,0,J153/H153)</f>
        <v>#N/A</v>
      </c>
      <c r="N153" s="26" t="str">
        <f t="shared" si="28"/>
        <v xml:space="preserve"> </v>
      </c>
    </row>
    <row r="154" spans="1:15" ht="13.5" x14ac:dyDescent="0.25">
      <c r="A154" s="1129">
        <v>2099</v>
      </c>
      <c r="B154" s="3206" t="s">
        <v>4437</v>
      </c>
      <c r="C154" s="3206"/>
      <c r="D154" s="398"/>
      <c r="E154" s="398"/>
      <c r="F154" s="649">
        <f>'905'!F154</f>
        <v>0</v>
      </c>
      <c r="H154" s="649" t="e">
        <f t="shared" si="27"/>
        <v>#N/A</v>
      </c>
      <c r="J154" s="413" t="e">
        <f>F154-H154</f>
        <v>#N/A</v>
      </c>
      <c r="L154" s="414" t="e">
        <f>IF(H154=0,0,J154/H154)</f>
        <v>#N/A</v>
      </c>
      <c r="N154" s="26" t="str">
        <f>IF($F$84=0," ",IF(AND(ABS(J154)&gt;$L$3,ABS(L154)&gt;$L$2),"C",IF(AND(ABS(F154+H154)&gt;0,H154=0,ABS(J154)&gt;$L$3),"C"," ")))</f>
        <v xml:space="preserve"> </v>
      </c>
      <c r="O154" s="1610"/>
    </row>
    <row r="155" spans="1:15" ht="13.5" x14ac:dyDescent="0.25">
      <c r="A155" s="1129">
        <v>2095</v>
      </c>
      <c r="B155" s="3206" t="s">
        <v>1424</v>
      </c>
      <c r="C155" s="3206"/>
      <c r="D155" s="398"/>
      <c r="E155" s="398"/>
      <c r="F155" s="649">
        <f>'905'!F155</f>
        <v>0</v>
      </c>
      <c r="H155" s="649" t="e">
        <f t="shared" si="27"/>
        <v>#N/A</v>
      </c>
      <c r="J155" s="413" t="e">
        <f t="shared" si="31"/>
        <v>#N/A</v>
      </c>
      <c r="L155" s="414" t="e">
        <f t="shared" si="32"/>
        <v>#N/A</v>
      </c>
      <c r="N155" s="26" t="str">
        <f t="shared" si="28"/>
        <v xml:space="preserve"> </v>
      </c>
    </row>
    <row r="156" spans="1:15" ht="13.5" x14ac:dyDescent="0.25">
      <c r="A156" s="1129">
        <v>2096</v>
      </c>
      <c r="B156" s="3206" t="s">
        <v>1549</v>
      </c>
      <c r="C156" s="3206"/>
      <c r="D156" s="398"/>
      <c r="E156" s="398"/>
      <c r="F156" s="649">
        <f>'905'!F156</f>
        <v>0</v>
      </c>
      <c r="H156" s="649" t="e">
        <f t="shared" si="27"/>
        <v>#N/A</v>
      </c>
      <c r="J156" s="413" t="e">
        <f t="shared" si="31"/>
        <v>#N/A</v>
      </c>
      <c r="L156" s="414" t="e">
        <f t="shared" si="32"/>
        <v>#N/A</v>
      </c>
      <c r="N156" s="26" t="str">
        <f t="shared" si="28"/>
        <v xml:space="preserve"> </v>
      </c>
    </row>
    <row r="157" spans="1:15" ht="13.5" x14ac:dyDescent="0.25">
      <c r="B157" s="3206" t="s">
        <v>474</v>
      </c>
      <c r="C157" s="3206"/>
      <c r="D157" s="398"/>
      <c r="E157" s="398"/>
      <c r="F157" s="402">
        <f>SUM(F135:F156)</f>
        <v>0</v>
      </c>
      <c r="H157" s="402" t="e">
        <f>SUM(H135:H156)</f>
        <v>#N/A</v>
      </c>
      <c r="J157" s="413" t="e">
        <f t="shared" si="29"/>
        <v>#N/A</v>
      </c>
      <c r="L157" s="414" t="e">
        <f t="shared" si="30"/>
        <v>#N/A</v>
      </c>
    </row>
    <row r="158" spans="1:15" ht="5.25" customHeight="1" x14ac:dyDescent="0.25">
      <c r="B158" s="398"/>
      <c r="C158" s="398"/>
      <c r="D158" s="398"/>
      <c r="E158" s="398"/>
      <c r="F158" s="404"/>
      <c r="H158" s="404"/>
      <c r="J158" s="413"/>
      <c r="L158" s="414"/>
    </row>
    <row r="159" spans="1:15" ht="13.5" x14ac:dyDescent="0.25">
      <c r="B159" s="3206" t="s">
        <v>791</v>
      </c>
      <c r="C159" s="3206"/>
      <c r="D159" s="398"/>
      <c r="E159" s="398"/>
      <c r="F159" s="404">
        <f>F132+F157</f>
        <v>0</v>
      </c>
      <c r="H159" s="404" t="e">
        <f>H132+H157</f>
        <v>#N/A</v>
      </c>
      <c r="J159" s="413" t="e">
        <f t="shared" si="29"/>
        <v>#N/A</v>
      </c>
      <c r="L159" s="414" t="e">
        <f t="shared" si="30"/>
        <v>#N/A</v>
      </c>
    </row>
    <row r="160" spans="1:15" ht="5.25" customHeight="1" x14ac:dyDescent="0.25">
      <c r="B160" s="398"/>
      <c r="C160" s="398"/>
      <c r="D160" s="398"/>
      <c r="E160" s="398"/>
      <c r="F160" s="656"/>
      <c r="H160" s="656"/>
      <c r="J160" s="413"/>
      <c r="L160" s="414"/>
    </row>
    <row r="161" spans="1:15" ht="12.75" customHeight="1" x14ac:dyDescent="0.25">
      <c r="B161" s="394" t="s">
        <v>1931</v>
      </c>
      <c r="F161"/>
      <c r="H161" s="656"/>
      <c r="J161" s="413"/>
      <c r="L161" s="414"/>
    </row>
    <row r="162" spans="1:15" ht="13.5" x14ac:dyDescent="0.25">
      <c r="A162" s="335">
        <v>1764</v>
      </c>
      <c r="B162" s="3206" t="s">
        <v>1932</v>
      </c>
      <c r="C162" s="3206"/>
      <c r="D162" s="3206"/>
      <c r="E162" s="3206"/>
      <c r="F162" s="649">
        <f>'905'!F162</f>
        <v>0</v>
      </c>
      <c r="G162" s="398"/>
      <c r="H162" s="649" t="e">
        <f t="shared" ref="H162:H171" si="33">INDEX(PY905Data,MATCH($A162,PY905Row,0),MATCH($C$5,PY905Col,0))</f>
        <v>#N/A</v>
      </c>
      <c r="J162" s="413" t="e">
        <f t="shared" ref="J162:J172" si="34">F162-H162</f>
        <v>#N/A</v>
      </c>
      <c r="L162" s="414" t="e">
        <f t="shared" ref="L162:L172" si="35">IF(H162=0,0,J162/H162)</f>
        <v>#N/A</v>
      </c>
      <c r="N162" s="26" t="str">
        <f t="shared" ref="N162:N171" si="36">IF($F$84=0," ",IF(AND(ABS(J162)&gt;$L$3,ABS(L162)&gt;$L$2),"C",IF(AND(ABS(F162+H162)&gt;0,H162=0,ABS(J162)&gt;$L$3),"C"," ")))</f>
        <v xml:space="preserve"> </v>
      </c>
    </row>
    <row r="163" spans="1:15" ht="13.5" x14ac:dyDescent="0.25">
      <c r="A163" s="335">
        <v>2026</v>
      </c>
      <c r="B163" s="3206" t="s">
        <v>1933</v>
      </c>
      <c r="C163" s="3206"/>
      <c r="D163" s="3206"/>
      <c r="E163" s="3206"/>
      <c r="F163" s="649">
        <f>'905'!F163</f>
        <v>0</v>
      </c>
      <c r="G163" s="398"/>
      <c r="H163" s="649" t="e">
        <f t="shared" si="33"/>
        <v>#N/A</v>
      </c>
      <c r="J163" s="413" t="e">
        <f t="shared" si="34"/>
        <v>#N/A</v>
      </c>
      <c r="L163" s="414" t="e">
        <f t="shared" si="35"/>
        <v>#N/A</v>
      </c>
      <c r="N163" s="26" t="str">
        <f t="shared" si="36"/>
        <v xml:space="preserve"> </v>
      </c>
    </row>
    <row r="164" spans="1:15" ht="13.5" x14ac:dyDescent="0.25">
      <c r="A164" s="335">
        <v>1766</v>
      </c>
      <c r="B164" s="3206" t="s">
        <v>3560</v>
      </c>
      <c r="C164" s="3206"/>
      <c r="D164" s="3206"/>
      <c r="E164" s="3206"/>
      <c r="F164" s="649">
        <f>'905'!F164</f>
        <v>0</v>
      </c>
      <c r="G164" s="398"/>
      <c r="H164" s="649" t="e">
        <f t="shared" si="33"/>
        <v>#N/A</v>
      </c>
      <c r="J164" s="413" t="e">
        <f t="shared" si="34"/>
        <v>#N/A</v>
      </c>
      <c r="L164" s="414" t="e">
        <f t="shared" si="35"/>
        <v>#N/A</v>
      </c>
      <c r="N164" s="26" t="str">
        <f t="shared" si="36"/>
        <v xml:space="preserve"> </v>
      </c>
    </row>
    <row r="165" spans="1:15" ht="13.5" x14ac:dyDescent="0.25">
      <c r="A165" s="335">
        <v>1768</v>
      </c>
      <c r="B165" s="3206" t="s">
        <v>3577</v>
      </c>
      <c r="C165" s="3206"/>
      <c r="D165" s="3206"/>
      <c r="E165" s="3206"/>
      <c r="F165" s="649">
        <f>'905'!F165</f>
        <v>0</v>
      </c>
      <c r="G165" s="398"/>
      <c r="H165" s="649" t="e">
        <f t="shared" si="33"/>
        <v>#N/A</v>
      </c>
      <c r="J165" s="413" t="e">
        <f>F165-H165</f>
        <v>#N/A</v>
      </c>
      <c r="L165" s="414" t="e">
        <f>IF(H165=0,0,J165/H165)</f>
        <v>#N/A</v>
      </c>
      <c r="N165" s="26" t="str">
        <f t="shared" si="36"/>
        <v xml:space="preserve"> </v>
      </c>
    </row>
    <row r="166" spans="1:15" ht="13.5" x14ac:dyDescent="0.25">
      <c r="A166" s="335">
        <v>1765</v>
      </c>
      <c r="B166" s="3206" t="s">
        <v>3876</v>
      </c>
      <c r="C166" s="3206"/>
      <c r="D166" s="3206"/>
      <c r="E166" s="3206"/>
      <c r="F166" s="649">
        <f>'905'!F166</f>
        <v>0</v>
      </c>
      <c r="G166" s="398"/>
      <c r="H166" s="649" t="e">
        <f t="shared" si="33"/>
        <v>#N/A</v>
      </c>
      <c r="J166" s="413" t="e">
        <f>F166-H166</f>
        <v>#N/A</v>
      </c>
      <c r="L166" s="414" t="e">
        <f>IF(H166=0,0,J166/H166)</f>
        <v>#N/A</v>
      </c>
      <c r="N166" s="26" t="str">
        <f t="shared" si="36"/>
        <v xml:space="preserve"> </v>
      </c>
    </row>
    <row r="167" spans="1:15" ht="13.5" x14ac:dyDescent="0.25">
      <c r="A167" s="335">
        <v>1772</v>
      </c>
      <c r="B167" s="3206" t="s">
        <v>4458</v>
      </c>
      <c r="C167" s="3206"/>
      <c r="D167" s="3206"/>
      <c r="E167" s="3206"/>
      <c r="F167" s="649">
        <f>'905'!F167</f>
        <v>0</v>
      </c>
      <c r="G167" s="398"/>
      <c r="H167" s="649" t="e">
        <f t="shared" si="33"/>
        <v>#N/A</v>
      </c>
      <c r="J167" s="413" t="e">
        <f>F167-H167</f>
        <v>#N/A</v>
      </c>
      <c r="L167" s="414" t="e">
        <f>IF(H167=0,0,J167/H167)</f>
        <v>#N/A</v>
      </c>
      <c r="N167" s="26" t="str">
        <f>IF($F$84=0," ",IF(AND(ABS(J167)&gt;$L$3,ABS(L167)&gt;$L$2),"C",IF(AND(ABS(F167+H167)&gt;0,H167=0,ABS(J167)&gt;$L$3),"C"," ")))</f>
        <v xml:space="preserve"> </v>
      </c>
      <c r="O167" s="1610"/>
    </row>
    <row r="168" spans="1:15" ht="13.5" x14ac:dyDescent="0.25">
      <c r="A168" s="335">
        <v>1767</v>
      </c>
      <c r="B168" s="3206" t="s">
        <v>3875</v>
      </c>
      <c r="C168" s="3206"/>
      <c r="D168" s="3206"/>
      <c r="E168" s="3206"/>
      <c r="F168" s="649">
        <f>'905'!F168</f>
        <v>0</v>
      </c>
      <c r="G168" s="398"/>
      <c r="H168" s="649" t="e">
        <f t="shared" si="33"/>
        <v>#N/A</v>
      </c>
      <c r="J168" s="413" t="e">
        <f>F168-H168</f>
        <v>#N/A</v>
      </c>
      <c r="L168" s="414" t="e">
        <f>IF(H168=0,0,J168/H168)</f>
        <v>#N/A</v>
      </c>
      <c r="N168" s="26" t="str">
        <f>IF($F$84=0," ",IF(AND(ABS(J168)&gt;$L$3,ABS(L168)&gt;$L$2),"C",IF(AND(ABS(F168+H168)&gt;0,H168=0,ABS(J168)&gt;$L$3),"C"," ")))</f>
        <v xml:space="preserve"> </v>
      </c>
    </row>
    <row r="169" spans="1:15" ht="13.5" x14ac:dyDescent="0.25">
      <c r="A169" s="335">
        <v>1771</v>
      </c>
      <c r="B169" s="3206" t="s">
        <v>4457</v>
      </c>
      <c r="C169" s="3206"/>
      <c r="D169" s="3206"/>
      <c r="E169" s="3206"/>
      <c r="F169" s="649">
        <f>'905'!F169</f>
        <v>0</v>
      </c>
      <c r="G169" s="398"/>
      <c r="H169" s="649" t="e">
        <f t="shared" si="33"/>
        <v>#N/A</v>
      </c>
      <c r="J169" s="413" t="e">
        <f t="shared" si="34"/>
        <v>#N/A</v>
      </c>
      <c r="L169" s="414" t="e">
        <f t="shared" si="35"/>
        <v>#N/A</v>
      </c>
      <c r="N169" s="26" t="str">
        <f t="shared" si="36"/>
        <v xml:space="preserve"> </v>
      </c>
      <c r="O169" s="1610"/>
    </row>
    <row r="170" spans="1:15" s="2529" customFormat="1" ht="13.5" x14ac:dyDescent="0.25">
      <c r="A170" s="2531">
        <v>1773</v>
      </c>
      <c r="B170" s="3307" t="s">
        <v>5526</v>
      </c>
      <c r="C170" s="3307"/>
      <c r="D170" s="3307"/>
      <c r="E170" s="3307"/>
      <c r="F170" s="649">
        <f>'905'!F170</f>
        <v>0</v>
      </c>
      <c r="G170" s="2532"/>
      <c r="H170" s="649" t="e">
        <f t="shared" si="33"/>
        <v>#N/A</v>
      </c>
      <c r="J170" s="413" t="e">
        <f t="shared" si="34"/>
        <v>#N/A</v>
      </c>
      <c r="L170" s="414" t="e">
        <f t="shared" si="35"/>
        <v>#N/A</v>
      </c>
      <c r="N170" s="2530" t="str">
        <f t="shared" si="36"/>
        <v xml:space="preserve"> </v>
      </c>
      <c r="O170" s="1610"/>
    </row>
    <row r="171" spans="1:15" ht="13.5" x14ac:dyDescent="0.25">
      <c r="A171" s="335">
        <v>1769</v>
      </c>
      <c r="B171" s="3206" t="s">
        <v>3954</v>
      </c>
      <c r="C171" s="3206"/>
      <c r="D171" s="3206"/>
      <c r="E171" s="3206"/>
      <c r="F171" s="651">
        <f>'905'!F171</f>
        <v>0</v>
      </c>
      <c r="G171" s="398"/>
      <c r="H171" s="651" t="e">
        <f t="shared" si="33"/>
        <v>#N/A</v>
      </c>
      <c r="J171" s="413" t="e">
        <f t="shared" si="34"/>
        <v>#N/A</v>
      </c>
      <c r="L171" s="414" t="e">
        <f t="shared" si="35"/>
        <v>#N/A</v>
      </c>
      <c r="N171" s="26" t="str">
        <f t="shared" si="36"/>
        <v xml:space="preserve"> </v>
      </c>
    </row>
    <row r="172" spans="1:15" ht="13.5" x14ac:dyDescent="0.25">
      <c r="B172" s="3206" t="s">
        <v>1934</v>
      </c>
      <c r="C172" s="3206"/>
      <c r="D172" s="398"/>
      <c r="E172" s="398"/>
      <c r="F172" s="404">
        <f>SUM(F162:F171)</f>
        <v>0</v>
      </c>
      <c r="G172" s="398"/>
      <c r="H172" s="404" t="e">
        <f>SUM(H162:H171)</f>
        <v>#N/A</v>
      </c>
      <c r="J172" s="413" t="e">
        <f t="shared" si="34"/>
        <v>#N/A</v>
      </c>
      <c r="L172" s="414" t="e">
        <f t="shared" si="35"/>
        <v>#N/A</v>
      </c>
    </row>
    <row r="173" spans="1:15" ht="8.25" customHeight="1" thickBot="1" x14ac:dyDescent="0.3">
      <c r="B173" s="691"/>
      <c r="C173" s="691"/>
      <c r="D173" s="691"/>
      <c r="E173" s="691"/>
      <c r="F173" s="691"/>
      <c r="G173" s="691"/>
      <c r="J173" s="413"/>
      <c r="L173" s="414"/>
    </row>
    <row r="174" spans="1:15" ht="13.5" thickBot="1" x14ac:dyDescent="0.25">
      <c r="B174" s="395" t="s">
        <v>1905</v>
      </c>
      <c r="F174" s="1566" t="s">
        <v>3972</v>
      </c>
      <c r="G174" s="1567"/>
      <c r="H174" s="1568"/>
      <c r="I174" s="1567"/>
      <c r="J174" s="1567"/>
      <c r="K174" s="1567"/>
      <c r="L174" s="1569"/>
    </row>
    <row r="175" spans="1:15" ht="13.5" x14ac:dyDescent="0.25">
      <c r="A175" s="335">
        <v>2130</v>
      </c>
      <c r="B175" s="3206" t="s">
        <v>3469</v>
      </c>
      <c r="C175" s="3206"/>
      <c r="D175" s="398"/>
      <c r="E175" s="398"/>
      <c r="F175" s="649">
        <f>'905'!F175</f>
        <v>0</v>
      </c>
      <c r="H175" s="649" t="e">
        <f>INDEX(PY905Data,MATCH($A175,PY905Row,0),MATCH($C$5,PY905Col,0))</f>
        <v>#N/A</v>
      </c>
      <c r="J175" s="413" t="e">
        <f>F175-H175</f>
        <v>#N/A</v>
      </c>
      <c r="L175" s="414" t="e">
        <f>IF(H175=0,0,J175/H175)</f>
        <v>#N/A</v>
      </c>
    </row>
    <row r="176" spans="1:15" ht="13.5" x14ac:dyDescent="0.25">
      <c r="A176" s="330"/>
      <c r="B176" s="335" t="s">
        <v>1550</v>
      </c>
      <c r="C176" s="335"/>
      <c r="D176" s="335"/>
      <c r="E176" s="335"/>
      <c r="J176" s="413"/>
      <c r="L176" s="414"/>
    </row>
    <row r="177" spans="1:14" ht="13.5" x14ac:dyDescent="0.25">
      <c r="A177" s="335">
        <v>2140</v>
      </c>
      <c r="B177" s="3206" t="s">
        <v>192</v>
      </c>
      <c r="C177" s="3206"/>
      <c r="D177" s="398"/>
      <c r="E177" s="398"/>
      <c r="F177" s="649">
        <f>'905'!F177</f>
        <v>0</v>
      </c>
      <c r="H177" s="649" t="e">
        <f>INDEX(PY905Data,MATCH($A177,PY905Row,0),MATCH($C$5,PY905Col,0))</f>
        <v>#N/A</v>
      </c>
      <c r="J177" s="413" t="e">
        <f>F177-H177</f>
        <v>#N/A</v>
      </c>
      <c r="L177" s="414" t="e">
        <f>IF(H177=0,0,J177/H177)</f>
        <v>#N/A</v>
      </c>
    </row>
    <row r="178" spans="1:14" ht="13.5" x14ac:dyDescent="0.25">
      <c r="A178" s="335">
        <v>2141</v>
      </c>
      <c r="B178" s="3206" t="s">
        <v>475</v>
      </c>
      <c r="C178" s="3206"/>
      <c r="D178" s="398"/>
      <c r="E178" s="398"/>
      <c r="F178" s="649">
        <f>'905'!F178</f>
        <v>0</v>
      </c>
      <c r="H178" s="649" t="e">
        <f>INDEX(PY905Data,MATCH($A178,PY905Row,0),MATCH($C$5,PY905Col,0))</f>
        <v>#N/A</v>
      </c>
      <c r="J178" s="413" t="e">
        <f>F178-H178</f>
        <v>#N/A</v>
      </c>
      <c r="L178" s="414" t="e">
        <f>IF(H178=0,0,J178/H178)</f>
        <v>#N/A</v>
      </c>
    </row>
    <row r="179" spans="1:14" ht="13.5" x14ac:dyDescent="0.25">
      <c r="A179" s="335">
        <v>2142</v>
      </c>
      <c r="B179" s="3206" t="s">
        <v>476</v>
      </c>
      <c r="C179" s="3206"/>
      <c r="D179" s="398"/>
      <c r="E179" s="398"/>
      <c r="F179" s="649">
        <f>'905'!F179</f>
        <v>0</v>
      </c>
      <c r="H179" s="649" t="e">
        <f>INDEX(PY905Data,MATCH($A179,PY905Row,0),MATCH($C$5,PY905Col,0))</f>
        <v>#N/A</v>
      </c>
      <c r="J179" s="413" t="e">
        <f>F179-H179</f>
        <v>#N/A</v>
      </c>
      <c r="L179" s="414" t="e">
        <f>IF(H179=0,0,J179/H179)</f>
        <v>#N/A</v>
      </c>
    </row>
    <row r="180" spans="1:14" ht="13.5" x14ac:dyDescent="0.25">
      <c r="A180" s="330"/>
      <c r="B180" s="335" t="s">
        <v>1303</v>
      </c>
      <c r="C180" s="335"/>
      <c r="D180" s="335"/>
      <c r="E180" s="335"/>
      <c r="J180" s="413"/>
      <c r="L180" s="414"/>
    </row>
    <row r="181" spans="1:14" ht="13.5" x14ac:dyDescent="0.25">
      <c r="A181" s="335">
        <v>2150</v>
      </c>
      <c r="B181" s="3206" t="s">
        <v>192</v>
      </c>
      <c r="C181" s="3206"/>
      <c r="D181" s="398"/>
      <c r="E181" s="398"/>
      <c r="F181" s="649">
        <f>'905'!F181</f>
        <v>0</v>
      </c>
      <c r="H181" s="649" t="e">
        <f>INDEX(PY905Data,MATCH($A181,PY905Row,0),MATCH($C$5,PY905Col,0))</f>
        <v>#N/A</v>
      </c>
      <c r="J181" s="413" t="e">
        <f t="shared" ref="J181:J186" si="37">F181-H181</f>
        <v>#N/A</v>
      </c>
      <c r="L181" s="414" t="e">
        <f t="shared" ref="L181:L186" si="38">IF(H181=0,0,J181/H181)</f>
        <v>#N/A</v>
      </c>
    </row>
    <row r="182" spans="1:14" ht="13.5" x14ac:dyDescent="0.25">
      <c r="A182" s="335">
        <v>2151</v>
      </c>
      <c r="B182" s="3206" t="s">
        <v>475</v>
      </c>
      <c r="C182" s="3206"/>
      <c r="D182" s="398"/>
      <c r="E182" s="398"/>
      <c r="F182" s="649">
        <f>'905'!F182</f>
        <v>0</v>
      </c>
      <c r="H182" s="649" t="e">
        <f>INDEX(PY905Data,MATCH($A182,PY905Row,0),MATCH($C$5,PY905Col,0))</f>
        <v>#N/A</v>
      </c>
      <c r="J182" s="413" t="e">
        <f t="shared" si="37"/>
        <v>#N/A</v>
      </c>
      <c r="L182" s="414" t="e">
        <f t="shared" si="38"/>
        <v>#N/A</v>
      </c>
    </row>
    <row r="183" spans="1:14" ht="13.5" x14ac:dyDescent="0.25">
      <c r="A183" s="335">
        <v>2152</v>
      </c>
      <c r="B183" s="3206" t="s">
        <v>476</v>
      </c>
      <c r="C183" s="3206"/>
      <c r="D183" s="398"/>
      <c r="E183" s="398"/>
      <c r="F183" s="649">
        <f>'905'!F183</f>
        <v>0</v>
      </c>
      <c r="H183" s="649" t="e">
        <f>INDEX(PY905Data,MATCH($A183,PY905Row,0),MATCH($C$5,PY905Col,0))</f>
        <v>#N/A</v>
      </c>
      <c r="J183" s="413" t="e">
        <f t="shared" si="37"/>
        <v>#N/A</v>
      </c>
      <c r="L183" s="414" t="e">
        <f t="shared" si="38"/>
        <v>#N/A</v>
      </c>
    </row>
    <row r="184" spans="1:14" s="2630" customFormat="1" ht="13.5" x14ac:dyDescent="0.25">
      <c r="A184" s="2631">
        <v>0</v>
      </c>
      <c r="B184" s="3307" t="s">
        <v>5672</v>
      </c>
      <c r="C184" s="3307"/>
      <c r="D184" s="2633"/>
      <c r="E184" s="2633"/>
      <c r="F184" s="649">
        <f>'905'!F184</f>
        <v>0</v>
      </c>
      <c r="H184" s="649" t="e">
        <f>INDEX(PY905Data,MATCH($A184,PY905Row,0),MATCH($C$5,PY905Col,0))</f>
        <v>#N/A</v>
      </c>
      <c r="J184" s="413" t="e">
        <f t="shared" si="37"/>
        <v>#N/A</v>
      </c>
      <c r="L184" s="414" t="e">
        <f t="shared" si="38"/>
        <v>#N/A</v>
      </c>
    </row>
    <row r="185" spans="1:14" ht="13.5" x14ac:dyDescent="0.25">
      <c r="A185" s="335">
        <v>2180</v>
      </c>
      <c r="B185" s="3206" t="s">
        <v>923</v>
      </c>
      <c r="C185" s="3206"/>
      <c r="D185" s="398"/>
      <c r="E185" s="398"/>
      <c r="F185" s="649">
        <f>'905'!F185</f>
        <v>0</v>
      </c>
      <c r="H185" s="649" t="e">
        <f>INDEX(PY905Data,MATCH($A185,PY905Row,0),MATCH($C$5,PY905Col,0))</f>
        <v>#N/A</v>
      </c>
      <c r="J185" s="413" t="e">
        <f t="shared" si="37"/>
        <v>#N/A</v>
      </c>
      <c r="L185" s="414" t="e">
        <f t="shared" si="38"/>
        <v>#N/A</v>
      </c>
    </row>
    <row r="186" spans="1:14" ht="14.25" thickBot="1" x14ac:dyDescent="0.3">
      <c r="B186" s="3206" t="s">
        <v>1889</v>
      </c>
      <c r="C186" s="3206"/>
      <c r="D186" s="398"/>
      <c r="E186" s="398"/>
      <c r="F186" s="405">
        <f>SUM(F175:F185)</f>
        <v>0</v>
      </c>
      <c r="H186" s="405" t="e">
        <f>SUM(H175:H185)</f>
        <v>#N/A</v>
      </c>
      <c r="J186" s="413" t="e">
        <f t="shared" si="37"/>
        <v>#N/A</v>
      </c>
      <c r="L186" s="414" t="e">
        <f t="shared" si="38"/>
        <v>#N/A</v>
      </c>
    </row>
    <row r="187" spans="1:14" ht="12.75" customHeight="1" thickTop="1" x14ac:dyDescent="0.25">
      <c r="B187" s="398"/>
      <c r="C187" s="398"/>
      <c r="D187" s="398"/>
      <c r="E187" s="398"/>
      <c r="J187" s="413"/>
      <c r="L187" s="414"/>
    </row>
    <row r="188" spans="1:14" x14ac:dyDescent="0.2">
      <c r="B188" s="335" t="s">
        <v>3480</v>
      </c>
      <c r="C188" s="44"/>
      <c r="D188" s="44"/>
      <c r="E188" s="44"/>
      <c r="F188" s="805" t="str">
        <f>IF(ROUND(F84+F94-F159-F172,2)=F186, "In Bal.","Out of Bal.")</f>
        <v>In Bal.</v>
      </c>
      <c r="H188" s="805" t="e">
        <f>IF(ROUND(H84+H94-H159-H172,2)=H186, "In Bal.","Out of Bal.")</f>
        <v>#N/A</v>
      </c>
    </row>
    <row r="189" spans="1:14" x14ac:dyDescent="0.2">
      <c r="B189" s="335" t="s">
        <v>1935</v>
      </c>
      <c r="C189" s="44"/>
      <c r="D189" s="44"/>
      <c r="E189" s="44"/>
    </row>
    <row r="190" spans="1:14" x14ac:dyDescent="0.2">
      <c r="B190" s="1256" t="s">
        <v>1906</v>
      </c>
      <c r="C190" s="653"/>
      <c r="D190" s="653"/>
      <c r="E190" s="653"/>
      <c r="F190" s="654"/>
    </row>
    <row r="191" spans="1:14" x14ac:dyDescent="0.2">
      <c r="B191" s="407" t="s">
        <v>387</v>
      </c>
      <c r="C191" s="407"/>
      <c r="D191" s="407"/>
      <c r="E191" s="407"/>
      <c r="F191" s="1255" t="str">
        <f>CONCATENATE("FYE ",+TEXT(Data!$A$2,"mmmm d,yyyy"))</f>
        <v>FYE June 30,2022</v>
      </c>
      <c r="H191" s="1255" t="str">
        <f>CONCATENATE("FYE ",+TEXT(Data!$A$4,"mmmm d,yyyy"))</f>
        <v>FYE June 30,2021</v>
      </c>
    </row>
    <row r="192" spans="1:14" ht="13.5" x14ac:dyDescent="0.25">
      <c r="A192" s="335">
        <v>2310</v>
      </c>
      <c r="B192" s="3206" t="s">
        <v>782</v>
      </c>
      <c r="C192" s="3206"/>
      <c r="D192" s="398"/>
      <c r="E192" s="398"/>
      <c r="F192" s="649">
        <f>'905'!F194</f>
        <v>0</v>
      </c>
      <c r="H192" s="649" t="e">
        <f t="shared" ref="H192:H202" si="39">INDEX(PY905Data,MATCH($A192,PY905Row,0),MATCH($C$5,PY905Col,0))</f>
        <v>#N/A</v>
      </c>
      <c r="J192" s="413" t="e">
        <f t="shared" ref="J192:J203" si="40">F192-H192</f>
        <v>#N/A</v>
      </c>
      <c r="L192" s="414" t="e">
        <f t="shared" ref="L192:L203" si="41">IF(H192=0,0,J192/H192)</f>
        <v>#N/A</v>
      </c>
      <c r="N192" s="26" t="str">
        <f t="shared" ref="N192:N202" si="42">IF($F$84=0," ",IF(AND(ABS(J192)&gt;$L$3,ABS(L192)&gt;$L$2),"C",IF(AND(ABS(F192+H192)&gt;0,H192=0,ABS(J192)&gt;$L$3),"C"," ")))</f>
        <v xml:space="preserve"> </v>
      </c>
    </row>
    <row r="193" spans="1:14" ht="13.5" x14ac:dyDescent="0.25">
      <c r="A193" s="335">
        <v>2320</v>
      </c>
      <c r="B193" s="3206" t="s">
        <v>1425</v>
      </c>
      <c r="C193" s="3206"/>
      <c r="D193" s="398"/>
      <c r="E193" s="398"/>
      <c r="F193" s="649">
        <f>'905'!F195</f>
        <v>0</v>
      </c>
      <c r="H193" s="649" t="e">
        <f t="shared" si="39"/>
        <v>#N/A</v>
      </c>
      <c r="J193" s="413" t="e">
        <f t="shared" si="40"/>
        <v>#N/A</v>
      </c>
      <c r="L193" s="414" t="e">
        <f t="shared" si="41"/>
        <v>#N/A</v>
      </c>
      <c r="N193" s="26" t="str">
        <f t="shared" si="42"/>
        <v xml:space="preserve"> </v>
      </c>
    </row>
    <row r="194" spans="1:14" ht="13.5" x14ac:dyDescent="0.25">
      <c r="A194" s="335">
        <v>2330</v>
      </c>
      <c r="B194" s="3206" t="s">
        <v>1426</v>
      </c>
      <c r="C194" s="3206"/>
      <c r="D194" s="398"/>
      <c r="E194" s="398"/>
      <c r="F194" s="649">
        <f>'905'!F196</f>
        <v>0</v>
      </c>
      <c r="H194" s="649" t="e">
        <f t="shared" si="39"/>
        <v>#N/A</v>
      </c>
      <c r="J194" s="413" t="e">
        <f>F194-H194</f>
        <v>#N/A</v>
      </c>
      <c r="L194" s="414" t="e">
        <f>IF(H194=0,0,J194/H194)</f>
        <v>#N/A</v>
      </c>
      <c r="N194" s="26" t="str">
        <f t="shared" si="42"/>
        <v xml:space="preserve"> </v>
      </c>
    </row>
    <row r="195" spans="1:14" ht="13.5" x14ac:dyDescent="0.25">
      <c r="A195" s="335">
        <v>2350</v>
      </c>
      <c r="B195" s="3206" t="s">
        <v>1427</v>
      </c>
      <c r="C195" s="3206"/>
      <c r="D195" s="398"/>
      <c r="E195" s="398"/>
      <c r="F195" s="649">
        <f>'905'!F197</f>
        <v>0</v>
      </c>
      <c r="H195" s="649" t="e">
        <f t="shared" si="39"/>
        <v>#N/A</v>
      </c>
      <c r="J195" s="413" t="e">
        <f>F195-H195</f>
        <v>#N/A</v>
      </c>
      <c r="L195" s="414" t="e">
        <f>IF(H195=0,0,J195/H195)</f>
        <v>#N/A</v>
      </c>
      <c r="N195" s="26" t="str">
        <f t="shared" si="42"/>
        <v xml:space="preserve"> </v>
      </c>
    </row>
    <row r="196" spans="1:14" ht="13.5" x14ac:dyDescent="0.25">
      <c r="A196" s="335">
        <v>2370</v>
      </c>
      <c r="B196" s="3206" t="s">
        <v>388</v>
      </c>
      <c r="C196" s="3206"/>
      <c r="D196" s="398"/>
      <c r="E196" s="398"/>
      <c r="F196" s="649">
        <f>'905'!F198</f>
        <v>0</v>
      </c>
      <c r="H196" s="649" t="e">
        <f t="shared" si="39"/>
        <v>#N/A</v>
      </c>
      <c r="J196" s="413" t="e">
        <f t="shared" si="40"/>
        <v>#N/A</v>
      </c>
      <c r="L196" s="414" t="e">
        <f t="shared" si="41"/>
        <v>#N/A</v>
      </c>
      <c r="N196" s="26" t="str">
        <f t="shared" si="42"/>
        <v xml:space="preserve"> </v>
      </c>
    </row>
    <row r="197" spans="1:14" ht="13.5" x14ac:dyDescent="0.25">
      <c r="A197" s="335">
        <v>2390</v>
      </c>
      <c r="B197" s="3206" t="s">
        <v>389</v>
      </c>
      <c r="C197" s="3206"/>
      <c r="D197" s="398"/>
      <c r="E197" s="398"/>
      <c r="F197" s="649">
        <f>'905'!F199</f>
        <v>0</v>
      </c>
      <c r="H197" s="649" t="e">
        <f t="shared" si="39"/>
        <v>#N/A</v>
      </c>
      <c r="J197" s="413" t="e">
        <f t="shared" si="40"/>
        <v>#N/A</v>
      </c>
      <c r="L197" s="414" t="e">
        <f t="shared" si="41"/>
        <v>#N/A</v>
      </c>
      <c r="N197" s="26" t="str">
        <f t="shared" si="42"/>
        <v xml:space="preserve"> </v>
      </c>
    </row>
    <row r="198" spans="1:14" ht="13.5" x14ac:dyDescent="0.25">
      <c r="A198" s="335">
        <v>2400</v>
      </c>
      <c r="B198" s="3206" t="s">
        <v>390</v>
      </c>
      <c r="C198" s="3206"/>
      <c r="D198" s="398"/>
      <c r="E198" s="398"/>
      <c r="F198" s="649">
        <f>'905'!F200</f>
        <v>0</v>
      </c>
      <c r="H198" s="649" t="e">
        <f t="shared" si="39"/>
        <v>#N/A</v>
      </c>
      <c r="J198" s="413" t="e">
        <f t="shared" si="40"/>
        <v>#N/A</v>
      </c>
      <c r="L198" s="414" t="e">
        <f t="shared" si="41"/>
        <v>#N/A</v>
      </c>
      <c r="N198" s="26" t="str">
        <f t="shared" si="42"/>
        <v xml:space="preserve"> </v>
      </c>
    </row>
    <row r="199" spans="1:14" ht="13.5" x14ac:dyDescent="0.25">
      <c r="A199" s="335">
        <v>2410</v>
      </c>
      <c r="B199" s="3206" t="s">
        <v>391</v>
      </c>
      <c r="C199" s="3206"/>
      <c r="D199" s="398"/>
      <c r="E199" s="398"/>
      <c r="F199" s="649">
        <f>'905'!F201</f>
        <v>0</v>
      </c>
      <c r="H199" s="649" t="e">
        <f t="shared" si="39"/>
        <v>#N/A</v>
      </c>
      <c r="J199" s="413" t="e">
        <f t="shared" si="40"/>
        <v>#N/A</v>
      </c>
      <c r="L199" s="414" t="e">
        <f t="shared" si="41"/>
        <v>#N/A</v>
      </c>
      <c r="N199" s="26" t="str">
        <f t="shared" si="42"/>
        <v xml:space="preserve"> </v>
      </c>
    </row>
    <row r="200" spans="1:14" ht="13.5" x14ac:dyDescent="0.25">
      <c r="A200" s="335">
        <v>2420</v>
      </c>
      <c r="B200" s="3206" t="s">
        <v>783</v>
      </c>
      <c r="C200" s="3206"/>
      <c r="D200" s="398"/>
      <c r="E200" s="398"/>
      <c r="F200" s="649">
        <f>'905'!F202</f>
        <v>0</v>
      </c>
      <c r="H200" s="649" t="e">
        <f t="shared" si="39"/>
        <v>#N/A</v>
      </c>
      <c r="J200" s="413" t="e">
        <f t="shared" si="40"/>
        <v>#N/A</v>
      </c>
      <c r="L200" s="414" t="e">
        <f t="shared" si="41"/>
        <v>#N/A</v>
      </c>
      <c r="N200" s="26" t="str">
        <f t="shared" si="42"/>
        <v xml:space="preserve"> </v>
      </c>
    </row>
    <row r="201" spans="1:14" ht="13.5" x14ac:dyDescent="0.25">
      <c r="A201" s="335">
        <v>2430</v>
      </c>
      <c r="B201" s="3206" t="s">
        <v>8</v>
      </c>
      <c r="C201" s="3206"/>
      <c r="D201" s="398"/>
      <c r="E201" s="398"/>
      <c r="F201" s="649">
        <f>'905'!F203</f>
        <v>0</v>
      </c>
      <c r="H201" s="649" t="e">
        <f t="shared" si="39"/>
        <v>#N/A</v>
      </c>
      <c r="J201" s="413" t="e">
        <f t="shared" si="40"/>
        <v>#N/A</v>
      </c>
      <c r="L201" s="414" t="e">
        <f t="shared" si="41"/>
        <v>#N/A</v>
      </c>
      <c r="N201" s="26" t="str">
        <f t="shared" si="42"/>
        <v xml:space="preserve"> </v>
      </c>
    </row>
    <row r="202" spans="1:14" ht="13.5" x14ac:dyDescent="0.25">
      <c r="A202" s="335">
        <v>2450</v>
      </c>
      <c r="B202" s="3206" t="s">
        <v>643</v>
      </c>
      <c r="C202" s="3206"/>
      <c r="D202" s="398"/>
      <c r="E202" s="398"/>
      <c r="F202" s="649">
        <f>'905'!F204</f>
        <v>0</v>
      </c>
      <c r="H202" s="649" t="e">
        <f t="shared" si="39"/>
        <v>#N/A</v>
      </c>
      <c r="J202" s="413" t="e">
        <f t="shared" si="40"/>
        <v>#N/A</v>
      </c>
      <c r="L202" s="414" t="e">
        <f t="shared" si="41"/>
        <v>#N/A</v>
      </c>
      <c r="N202" s="26" t="str">
        <f t="shared" si="42"/>
        <v xml:space="preserve"> </v>
      </c>
    </row>
    <row r="203" spans="1:14" ht="13.5" x14ac:dyDescent="0.25">
      <c r="A203" s="785"/>
      <c r="B203" s="3206" t="s">
        <v>392</v>
      </c>
      <c r="C203" s="3206"/>
      <c r="D203" s="398"/>
      <c r="E203" s="398"/>
      <c r="F203" s="402">
        <f>SUM(F192:F202)</f>
        <v>0</v>
      </c>
      <c r="H203" s="402" t="e">
        <f>SUM(H192:H202)</f>
        <v>#N/A</v>
      </c>
      <c r="J203" s="413" t="e">
        <f t="shared" si="40"/>
        <v>#N/A</v>
      </c>
      <c r="L203" s="414" t="e">
        <f t="shared" si="41"/>
        <v>#N/A</v>
      </c>
    </row>
    <row r="204" spans="1:14" ht="7.5" customHeight="1" x14ac:dyDescent="0.25">
      <c r="B204" s="398"/>
      <c r="C204" s="398"/>
      <c r="D204" s="398"/>
      <c r="E204" s="398"/>
      <c r="F204" s="656"/>
      <c r="H204" s="656"/>
      <c r="J204" s="413"/>
      <c r="L204" s="414"/>
    </row>
    <row r="205" spans="1:14" ht="13.5" x14ac:dyDescent="0.25">
      <c r="B205" s="407" t="s">
        <v>393</v>
      </c>
      <c r="C205" s="407"/>
      <c r="D205" s="407"/>
      <c r="E205" s="407"/>
      <c r="J205" s="413"/>
      <c r="L205" s="414"/>
    </row>
    <row r="206" spans="1:14" ht="13.5" x14ac:dyDescent="0.25">
      <c r="A206" s="335">
        <v>2490</v>
      </c>
      <c r="B206" s="3294" t="s">
        <v>394</v>
      </c>
      <c r="C206" s="3294"/>
      <c r="D206" s="3294"/>
      <c r="E206" s="3294"/>
      <c r="F206" s="649">
        <f>'905'!F208</f>
        <v>0</v>
      </c>
      <c r="H206" s="649" t="e">
        <f t="shared" ref="H206:H213" si="43">INDEX(PY905Data,MATCH($A206,PY905Row,0),MATCH($C$5,PY905Col,0))</f>
        <v>#N/A</v>
      </c>
      <c r="J206" s="413" t="e">
        <f t="shared" ref="J206:J219" si="44">F206-H206</f>
        <v>#N/A</v>
      </c>
      <c r="L206" s="414" t="e">
        <f t="shared" ref="L206:L219" si="45">IF(H206=0,0,J206/H206)</f>
        <v>#N/A</v>
      </c>
      <c r="N206" s="26" t="str">
        <f t="shared" ref="N206:N217" si="46">IF($F$84=0," ",IF(AND(ABS(J206)&gt;$L$3,ABS(L206)&gt;$L$2),"C",IF(AND(ABS(F206+H206)&gt;0,H206=0,ABS(J206)&gt;$L$3),"C"," ")))</f>
        <v xml:space="preserve"> </v>
      </c>
    </row>
    <row r="207" spans="1:14" ht="13.5" x14ac:dyDescent="0.25">
      <c r="A207" s="335">
        <v>2510</v>
      </c>
      <c r="B207" s="3206" t="s">
        <v>395</v>
      </c>
      <c r="C207" s="3206"/>
      <c r="D207" s="398"/>
      <c r="E207" s="398"/>
      <c r="F207" s="649">
        <f>'905'!F209</f>
        <v>0</v>
      </c>
      <c r="H207" s="649" t="e">
        <f t="shared" si="43"/>
        <v>#N/A</v>
      </c>
      <c r="J207" s="413" t="e">
        <f t="shared" si="44"/>
        <v>#N/A</v>
      </c>
      <c r="L207" s="414" t="e">
        <f t="shared" si="45"/>
        <v>#N/A</v>
      </c>
      <c r="N207" s="26" t="str">
        <f t="shared" si="46"/>
        <v xml:space="preserve"> </v>
      </c>
    </row>
    <row r="208" spans="1:14" ht="13.5" x14ac:dyDescent="0.25">
      <c r="A208" s="335">
        <v>2520</v>
      </c>
      <c r="B208" s="3206" t="s">
        <v>396</v>
      </c>
      <c r="C208" s="3206"/>
      <c r="D208" s="398"/>
      <c r="E208" s="398"/>
      <c r="F208" s="649">
        <f>'905'!F210</f>
        <v>0</v>
      </c>
      <c r="H208" s="649" t="e">
        <f t="shared" si="43"/>
        <v>#N/A</v>
      </c>
      <c r="J208" s="413" t="e">
        <f t="shared" si="44"/>
        <v>#N/A</v>
      </c>
      <c r="L208" s="414" t="e">
        <f t="shared" si="45"/>
        <v>#N/A</v>
      </c>
      <c r="N208" s="26" t="str">
        <f t="shared" si="46"/>
        <v xml:space="preserve"> </v>
      </c>
    </row>
    <row r="209" spans="1:14" ht="13.5" x14ac:dyDescent="0.25">
      <c r="A209" s="335">
        <v>2550</v>
      </c>
      <c r="B209" s="3206" t="s">
        <v>397</v>
      </c>
      <c r="C209" s="3206"/>
      <c r="D209" s="398"/>
      <c r="E209" s="398"/>
      <c r="F209" s="649">
        <f>'905'!F211</f>
        <v>0</v>
      </c>
      <c r="H209" s="649" t="e">
        <f t="shared" si="43"/>
        <v>#N/A</v>
      </c>
      <c r="J209" s="413" t="e">
        <f t="shared" si="44"/>
        <v>#N/A</v>
      </c>
      <c r="L209" s="414" t="e">
        <f t="shared" si="45"/>
        <v>#N/A</v>
      </c>
      <c r="N209" s="26" t="str">
        <f t="shared" si="46"/>
        <v xml:space="preserve"> </v>
      </c>
    </row>
    <row r="210" spans="1:14" ht="13.5" x14ac:dyDescent="0.25">
      <c r="A210" s="335">
        <v>2540</v>
      </c>
      <c r="B210" s="3206" t="s">
        <v>1171</v>
      </c>
      <c r="C210" s="3206"/>
      <c r="D210" s="398"/>
      <c r="E210" s="398"/>
      <c r="F210" s="649">
        <f>'905'!F212</f>
        <v>0</v>
      </c>
      <c r="H210" s="649" t="e">
        <f t="shared" si="43"/>
        <v>#N/A</v>
      </c>
      <c r="J210" s="413" t="e">
        <f t="shared" si="44"/>
        <v>#N/A</v>
      </c>
      <c r="L210" s="414" t="e">
        <f t="shared" si="45"/>
        <v>#N/A</v>
      </c>
      <c r="N210" s="26" t="str">
        <f t="shared" si="46"/>
        <v xml:space="preserve"> </v>
      </c>
    </row>
    <row r="211" spans="1:14" ht="13.5" x14ac:dyDescent="0.25">
      <c r="A211" s="335">
        <v>2560</v>
      </c>
      <c r="B211" s="3206" t="s">
        <v>379</v>
      </c>
      <c r="C211" s="3206"/>
      <c r="D211" s="398"/>
      <c r="E211" s="398"/>
      <c r="F211" s="649">
        <f>'905'!F213</f>
        <v>0</v>
      </c>
      <c r="H211" s="649" t="e">
        <f t="shared" si="43"/>
        <v>#N/A</v>
      </c>
      <c r="J211" s="413" t="e">
        <f t="shared" si="44"/>
        <v>#N/A</v>
      </c>
      <c r="L211" s="414" t="e">
        <f t="shared" si="45"/>
        <v>#N/A</v>
      </c>
      <c r="N211" s="26" t="str">
        <f t="shared" si="46"/>
        <v xml:space="preserve"> </v>
      </c>
    </row>
    <row r="212" spans="1:14" ht="13.5" x14ac:dyDescent="0.25">
      <c r="A212" s="335">
        <v>2570</v>
      </c>
      <c r="B212" s="3206" t="s">
        <v>1183</v>
      </c>
      <c r="C212" s="3206"/>
      <c r="D212" s="398"/>
      <c r="E212" s="398"/>
      <c r="F212" s="649">
        <f>'905'!F214</f>
        <v>0</v>
      </c>
      <c r="H212" s="649" t="e">
        <f t="shared" si="43"/>
        <v>#N/A</v>
      </c>
      <c r="J212" s="413" t="e">
        <f t="shared" si="44"/>
        <v>#N/A</v>
      </c>
      <c r="L212" s="414" t="e">
        <f t="shared" si="45"/>
        <v>#N/A</v>
      </c>
      <c r="N212" s="26" t="str">
        <f t="shared" si="46"/>
        <v xml:space="preserve"> </v>
      </c>
    </row>
    <row r="213" spans="1:14" ht="13.5" x14ac:dyDescent="0.25">
      <c r="A213" s="335">
        <v>2590</v>
      </c>
      <c r="B213" s="3206" t="s">
        <v>1428</v>
      </c>
      <c r="C213" s="3206"/>
      <c r="D213" s="398"/>
      <c r="E213" s="398"/>
      <c r="F213" s="649">
        <f>'905'!F215</f>
        <v>0</v>
      </c>
      <c r="H213" s="649" t="e">
        <f t="shared" si="43"/>
        <v>#N/A</v>
      </c>
      <c r="J213" s="413" t="e">
        <f>F213-H213</f>
        <v>#N/A</v>
      </c>
      <c r="L213" s="414" t="e">
        <f>IF(H213=0,0,J213/H213)</f>
        <v>#N/A</v>
      </c>
      <c r="N213" s="26" t="str">
        <f t="shared" si="46"/>
        <v xml:space="preserve"> </v>
      </c>
    </row>
    <row r="214" spans="1:14" ht="11.25" customHeight="1" x14ac:dyDescent="0.25">
      <c r="A214" s="335"/>
      <c r="B214" s="335" t="s">
        <v>635</v>
      </c>
      <c r="C214" s="335"/>
      <c r="D214" s="335"/>
      <c r="E214" s="335"/>
      <c r="J214" s="413"/>
      <c r="L214" s="414"/>
    </row>
    <row r="215" spans="1:14" ht="13.5" x14ac:dyDescent="0.25">
      <c r="A215" s="335">
        <v>2610</v>
      </c>
      <c r="B215" s="3355" t="s">
        <v>1429</v>
      </c>
      <c r="C215" s="3355"/>
      <c r="D215" s="399"/>
      <c r="E215" s="399"/>
      <c r="F215" s="649">
        <f>'905'!F217</f>
        <v>0</v>
      </c>
      <c r="H215" s="649" t="e">
        <f>INDEX(PY905Data,MATCH($A215,PY905Row,0),MATCH($C$5,PY905Col,0))</f>
        <v>#N/A</v>
      </c>
      <c r="J215" s="413" t="e">
        <f>F215-H215</f>
        <v>#N/A</v>
      </c>
      <c r="L215" s="414" t="e">
        <f>IF(H215=0,0,J215/H215)</f>
        <v>#N/A</v>
      </c>
      <c r="N215" s="26" t="str">
        <f t="shared" si="46"/>
        <v xml:space="preserve"> </v>
      </c>
    </row>
    <row r="216" spans="1:14" ht="13.5" x14ac:dyDescent="0.25">
      <c r="A216" s="335">
        <v>2625</v>
      </c>
      <c r="B216" s="3355" t="s">
        <v>1464</v>
      </c>
      <c r="C216" s="3355"/>
      <c r="D216" s="399"/>
      <c r="E216" s="399"/>
      <c r="F216" s="649">
        <f>'905'!F218</f>
        <v>0</v>
      </c>
      <c r="H216" s="649" t="e">
        <f>INDEX(PY905Data,MATCH($A216,PY905Row,0),MATCH($C$5,PY905Col,0))</f>
        <v>#N/A</v>
      </c>
      <c r="J216" s="413" t="e">
        <f>F216-H216</f>
        <v>#N/A</v>
      </c>
      <c r="L216" s="414" t="e">
        <f>IF(H216=0,0,J216/H216)</f>
        <v>#N/A</v>
      </c>
      <c r="N216" s="26" t="str">
        <f t="shared" si="46"/>
        <v xml:space="preserve"> </v>
      </c>
    </row>
    <row r="217" spans="1:14" ht="13.5" x14ac:dyDescent="0.25">
      <c r="A217" s="335">
        <v>2630</v>
      </c>
      <c r="B217" s="3355" t="s">
        <v>1430</v>
      </c>
      <c r="C217" s="3355"/>
      <c r="D217" s="399"/>
      <c r="E217" s="399"/>
      <c r="F217" s="651">
        <f>'905'!F219</f>
        <v>0</v>
      </c>
      <c r="H217" s="651" t="e">
        <f>INDEX(PY905Data,MATCH($A217,PY905Row,0),MATCH($C$5,PY905Col,0))</f>
        <v>#N/A</v>
      </c>
      <c r="J217" s="413" t="e">
        <f t="shared" si="44"/>
        <v>#N/A</v>
      </c>
      <c r="L217" s="414" t="e">
        <f t="shared" si="45"/>
        <v>#N/A</v>
      </c>
      <c r="N217" s="26" t="str">
        <f t="shared" si="46"/>
        <v xml:space="preserve"> </v>
      </c>
    </row>
    <row r="218" spans="1:14" ht="13.5" x14ac:dyDescent="0.25">
      <c r="B218" s="3206" t="s">
        <v>1184</v>
      </c>
      <c r="C218" s="3206"/>
      <c r="D218" s="398"/>
      <c r="E218" s="398"/>
      <c r="F218" s="404">
        <f>SUM(F206:F217)</f>
        <v>0</v>
      </c>
      <c r="H218" s="404" t="e">
        <f>SUM(H206:H217)</f>
        <v>#N/A</v>
      </c>
      <c r="J218" s="413" t="e">
        <f t="shared" si="44"/>
        <v>#N/A</v>
      </c>
      <c r="L218" s="414" t="e">
        <f t="shared" si="45"/>
        <v>#N/A</v>
      </c>
    </row>
    <row r="219" spans="1:14" ht="13.5" x14ac:dyDescent="0.25">
      <c r="B219" s="3206" t="s">
        <v>933</v>
      </c>
      <c r="C219" s="3206"/>
      <c r="D219" s="398"/>
      <c r="E219" s="398"/>
      <c r="F219" s="402">
        <f>F203-F218</f>
        <v>0</v>
      </c>
      <c r="H219" s="402" t="e">
        <f>H203-H218</f>
        <v>#N/A</v>
      </c>
      <c r="J219" s="413" t="e">
        <f t="shared" si="44"/>
        <v>#N/A</v>
      </c>
      <c r="L219" s="414" t="e">
        <f t="shared" si="45"/>
        <v>#N/A</v>
      </c>
    </row>
    <row r="220" spans="1:14" ht="5.25" customHeight="1" x14ac:dyDescent="0.25">
      <c r="B220" s="398"/>
      <c r="C220" s="398"/>
      <c r="D220" s="398"/>
      <c r="E220" s="398"/>
      <c r="F220" s="656"/>
      <c r="H220" s="656"/>
      <c r="J220" s="413"/>
      <c r="L220" s="414"/>
    </row>
    <row r="221" spans="1:14" ht="11.25" customHeight="1" x14ac:dyDescent="0.2">
      <c r="B221" s="395" t="s">
        <v>1185</v>
      </c>
    </row>
    <row r="222" spans="1:14" ht="13.5" x14ac:dyDescent="0.25">
      <c r="A222" s="335">
        <v>2690</v>
      </c>
      <c r="B222" s="3206" t="s">
        <v>898</v>
      </c>
      <c r="C222" s="3206"/>
      <c r="D222" s="398"/>
      <c r="E222" s="398"/>
      <c r="F222" s="649">
        <f>'905'!F224</f>
        <v>0</v>
      </c>
      <c r="H222" s="649" t="e">
        <f t="shared" ref="H222:H240" si="47">INDEX(PY905Data,MATCH($A222,PY905Row,0),MATCH($C$5,PY905Col,0))</f>
        <v>#N/A</v>
      </c>
      <c r="J222" s="413" t="e">
        <f>F222-H222</f>
        <v>#N/A</v>
      </c>
      <c r="L222" s="414" t="e">
        <f>IF(H222=0,0,J222/H222)</f>
        <v>#N/A</v>
      </c>
      <c r="N222" s="26" t="str">
        <f t="shared" ref="N222:N240" si="48">IF($F$84=0," ",IF(AND(ABS(J222)&gt;$L$3,ABS(L222)&gt;$L$2),"C",IF(AND(ABS(F222+H222)&gt;0,H222=0,ABS(J222)&gt;$L$3),"C"," ")))</f>
        <v xml:space="preserve"> </v>
      </c>
    </row>
    <row r="223" spans="1:14" ht="13.5" x14ac:dyDescent="0.25">
      <c r="A223" s="335">
        <v>2691</v>
      </c>
      <c r="B223" s="3206" t="s">
        <v>1340</v>
      </c>
      <c r="C223" s="3206"/>
      <c r="D223" s="398"/>
      <c r="E223" s="398"/>
      <c r="F223" s="649">
        <f>'905'!F225</f>
        <v>0</v>
      </c>
      <c r="H223" s="649" t="e">
        <f t="shared" si="47"/>
        <v>#N/A</v>
      </c>
      <c r="J223" s="413" t="e">
        <f>F223-H223</f>
        <v>#N/A</v>
      </c>
      <c r="L223" s="414" t="e">
        <f>IF(H223=0,0,J223/H223)</f>
        <v>#N/A</v>
      </c>
      <c r="N223" s="26" t="str">
        <f t="shared" si="48"/>
        <v xml:space="preserve"> </v>
      </c>
    </row>
    <row r="224" spans="1:14" ht="13.5" x14ac:dyDescent="0.25">
      <c r="A224" s="335">
        <v>2692</v>
      </c>
      <c r="B224" s="3206" t="s">
        <v>1339</v>
      </c>
      <c r="C224" s="3206"/>
      <c r="D224" s="398"/>
      <c r="E224" s="398"/>
      <c r="F224" s="649">
        <f>'905'!F226</f>
        <v>0</v>
      </c>
      <c r="H224" s="649" t="e">
        <f t="shared" si="47"/>
        <v>#N/A</v>
      </c>
      <c r="J224" s="413" t="e">
        <f t="shared" ref="J224:J252" si="49">F224-H224</f>
        <v>#N/A</v>
      </c>
      <c r="L224" s="414" t="e">
        <f t="shared" ref="L224:L252" si="50">IF(H224=0,0,J224/H224)</f>
        <v>#N/A</v>
      </c>
      <c r="N224" s="26" t="str">
        <f t="shared" si="48"/>
        <v xml:space="preserve"> </v>
      </c>
    </row>
    <row r="225" spans="1:15" s="2151" customFormat="1" ht="13.5" x14ac:dyDescent="0.25">
      <c r="A225" s="2080">
        <v>2693</v>
      </c>
      <c r="B225" s="3306" t="s">
        <v>5150</v>
      </c>
      <c r="C225" s="3306"/>
      <c r="D225" s="2154"/>
      <c r="E225" s="2154"/>
      <c r="F225" s="649">
        <f>'905'!F227</f>
        <v>0</v>
      </c>
      <c r="H225" s="649" t="e">
        <f t="shared" si="47"/>
        <v>#N/A</v>
      </c>
      <c r="J225" s="413" t="e">
        <f t="shared" si="49"/>
        <v>#N/A</v>
      </c>
      <c r="L225" s="414" t="e">
        <f t="shared" si="50"/>
        <v>#N/A</v>
      </c>
      <c r="N225" s="2153" t="str">
        <f t="shared" si="48"/>
        <v xml:space="preserve"> </v>
      </c>
    </row>
    <row r="226" spans="1:15" ht="13.5" x14ac:dyDescent="0.25">
      <c r="A226" s="2080">
        <v>2700</v>
      </c>
      <c r="B226" s="3306" t="s">
        <v>1186</v>
      </c>
      <c r="C226" s="3306"/>
      <c r="D226" s="398"/>
      <c r="E226" s="398"/>
      <c r="F226" s="649">
        <f>'905'!F228</f>
        <v>0</v>
      </c>
      <c r="H226" s="649" t="e">
        <f t="shared" si="47"/>
        <v>#N/A</v>
      </c>
      <c r="J226" s="413" t="e">
        <f>F226-H226</f>
        <v>#N/A</v>
      </c>
      <c r="L226" s="414" t="e">
        <f>IF(H226=0,0,J226/H226)</f>
        <v>#N/A</v>
      </c>
      <c r="N226" s="26" t="str">
        <f t="shared" si="48"/>
        <v xml:space="preserve"> </v>
      </c>
    </row>
    <row r="227" spans="1:15" s="2159" customFormat="1" ht="13.5" x14ac:dyDescent="0.25">
      <c r="A227" s="2080">
        <v>2701</v>
      </c>
      <c r="B227" s="3306" t="s">
        <v>4807</v>
      </c>
      <c r="C227" s="3306"/>
      <c r="D227" s="2161"/>
      <c r="E227" s="2161"/>
      <c r="F227" s="649">
        <f>'905'!F229</f>
        <v>0</v>
      </c>
      <c r="H227" s="649" t="e">
        <f t="shared" si="47"/>
        <v>#N/A</v>
      </c>
      <c r="J227" s="413" t="e">
        <f>F227-H227</f>
        <v>#N/A</v>
      </c>
      <c r="L227" s="414" t="e">
        <f>IF(H227=0,0,J227/H227)</f>
        <v>#N/A</v>
      </c>
      <c r="N227" s="2160" t="str">
        <f t="shared" si="48"/>
        <v xml:space="preserve"> </v>
      </c>
    </row>
    <row r="228" spans="1:15" ht="13.5" x14ac:dyDescent="0.25">
      <c r="A228" s="335">
        <v>2710</v>
      </c>
      <c r="B228" s="3206" t="s">
        <v>1187</v>
      </c>
      <c r="C228" s="3206"/>
      <c r="D228" s="398"/>
      <c r="E228" s="398"/>
      <c r="F228" s="649">
        <f>'905'!F230</f>
        <v>0</v>
      </c>
      <c r="H228" s="649" t="e">
        <f t="shared" si="47"/>
        <v>#N/A</v>
      </c>
      <c r="J228" s="413" t="e">
        <f>F228-H228</f>
        <v>#N/A</v>
      </c>
      <c r="L228" s="414" t="e">
        <f>IF(H228=0,0,J228/H228)</f>
        <v>#N/A</v>
      </c>
      <c r="N228" s="26" t="str">
        <f t="shared" si="48"/>
        <v xml:space="preserve"> </v>
      </c>
    </row>
    <row r="229" spans="1:15" s="2450" customFormat="1" ht="13.5" x14ac:dyDescent="0.25">
      <c r="A229" s="2080">
        <v>2711</v>
      </c>
      <c r="B229" s="3306" t="s">
        <v>5327</v>
      </c>
      <c r="C229" s="3306"/>
      <c r="D229" s="2534"/>
      <c r="E229" s="2534"/>
      <c r="F229" s="2050">
        <f>'905'!F231</f>
        <v>0</v>
      </c>
      <c r="G229" s="2038"/>
      <c r="H229" s="2050" t="e">
        <f t="shared" si="47"/>
        <v>#N/A</v>
      </c>
      <c r="I229" s="2038"/>
      <c r="J229" s="2537" t="e">
        <f>F229-H229</f>
        <v>#N/A</v>
      </c>
      <c r="K229" s="2038"/>
      <c r="L229" s="2538" t="e">
        <f>IF(H229=0,0,J229/H229)</f>
        <v>#N/A</v>
      </c>
      <c r="M229" s="2038"/>
      <c r="N229" s="2539" t="str">
        <f t="shared" si="48"/>
        <v xml:space="preserve"> </v>
      </c>
    </row>
    <row r="230" spans="1:15" ht="13.5" x14ac:dyDescent="0.25">
      <c r="A230" s="335">
        <v>2720</v>
      </c>
      <c r="B230" s="3206" t="s">
        <v>1188</v>
      </c>
      <c r="C230" s="3206"/>
      <c r="D230" s="398"/>
      <c r="E230" s="398"/>
      <c r="F230" s="649">
        <f>'905'!F232</f>
        <v>0</v>
      </c>
      <c r="H230" s="649" t="e">
        <f t="shared" si="47"/>
        <v>#N/A</v>
      </c>
      <c r="J230" s="413" t="e">
        <f t="shared" si="49"/>
        <v>#N/A</v>
      </c>
      <c r="L230" s="414" t="e">
        <f t="shared" si="50"/>
        <v>#N/A</v>
      </c>
      <c r="N230" s="26" t="str">
        <f t="shared" si="48"/>
        <v xml:space="preserve"> </v>
      </c>
    </row>
    <row r="231" spans="1:15" ht="13.5" x14ac:dyDescent="0.25">
      <c r="A231" s="335">
        <v>2740</v>
      </c>
      <c r="B231" s="3206" t="s">
        <v>497</v>
      </c>
      <c r="C231" s="3206"/>
      <c r="D231" s="398"/>
      <c r="E231" s="398"/>
      <c r="F231" s="649">
        <f>'905'!F233</f>
        <v>0</v>
      </c>
      <c r="H231" s="649" t="e">
        <f t="shared" si="47"/>
        <v>#N/A</v>
      </c>
      <c r="J231" s="413" t="e">
        <f t="shared" si="49"/>
        <v>#N/A</v>
      </c>
      <c r="L231" s="414" t="e">
        <f t="shared" si="50"/>
        <v>#N/A</v>
      </c>
      <c r="N231" s="26" t="str">
        <f t="shared" si="48"/>
        <v xml:space="preserve"> </v>
      </c>
    </row>
    <row r="232" spans="1:15" ht="13.5" x14ac:dyDescent="0.25">
      <c r="A232" s="335">
        <v>2750</v>
      </c>
      <c r="B232" s="3206" t="s">
        <v>995</v>
      </c>
      <c r="C232" s="3206"/>
      <c r="D232" s="398"/>
      <c r="E232" s="398"/>
      <c r="F232" s="649">
        <f>'905'!F234</f>
        <v>0</v>
      </c>
      <c r="H232" s="649" t="e">
        <f t="shared" si="47"/>
        <v>#N/A</v>
      </c>
      <c r="J232" s="413" t="e">
        <f t="shared" si="49"/>
        <v>#N/A</v>
      </c>
      <c r="L232" s="414" t="e">
        <f t="shared" si="50"/>
        <v>#N/A</v>
      </c>
      <c r="N232" s="26" t="str">
        <f t="shared" si="48"/>
        <v xml:space="preserve"> </v>
      </c>
    </row>
    <row r="233" spans="1:15" ht="13.5" x14ac:dyDescent="0.25">
      <c r="A233" s="335">
        <v>2755</v>
      </c>
      <c r="B233" s="3206" t="s">
        <v>4487</v>
      </c>
      <c r="C233" s="3206"/>
      <c r="D233" s="398"/>
      <c r="E233" s="398"/>
      <c r="F233" s="649">
        <f>'905'!F235</f>
        <v>0</v>
      </c>
      <c r="H233" s="649" t="e">
        <f t="shared" si="47"/>
        <v>#N/A</v>
      </c>
      <c r="J233" s="413" t="e">
        <f>F233-H233</f>
        <v>#N/A</v>
      </c>
      <c r="L233" s="414" t="e">
        <f>IF(H233=0,0,J233/H233)</f>
        <v>#N/A</v>
      </c>
      <c r="N233" s="26" t="str">
        <f>IF($F$84=0," ",IF(AND(ABS(J233)&gt;$L$3,ABS(L233)&gt;$L$2),"C",IF(AND(ABS(F233+H233)&gt;0,H233=0,ABS(J233)&gt;$L$3),"C"," ")))</f>
        <v xml:space="preserve"> </v>
      </c>
      <c r="O233" s="1610"/>
    </row>
    <row r="234" spans="1:15" ht="13.5" x14ac:dyDescent="0.25">
      <c r="A234" s="335">
        <v>2760</v>
      </c>
      <c r="B234" s="3206" t="s">
        <v>1045</v>
      </c>
      <c r="C234" s="3206"/>
      <c r="D234" s="398"/>
      <c r="E234" s="398"/>
      <c r="F234" s="649">
        <f>'905'!F236</f>
        <v>0</v>
      </c>
      <c r="H234" s="649" t="e">
        <f t="shared" si="47"/>
        <v>#N/A</v>
      </c>
      <c r="J234" s="413" t="e">
        <f t="shared" si="49"/>
        <v>#N/A</v>
      </c>
      <c r="L234" s="414" t="e">
        <f t="shared" si="50"/>
        <v>#N/A</v>
      </c>
      <c r="N234" s="26" t="str">
        <f t="shared" si="48"/>
        <v xml:space="preserve"> </v>
      </c>
    </row>
    <row r="235" spans="1:15" ht="13.5" x14ac:dyDescent="0.25">
      <c r="A235" s="335">
        <v>2770</v>
      </c>
      <c r="B235" s="3206" t="s">
        <v>1076</v>
      </c>
      <c r="C235" s="3206"/>
      <c r="D235" s="398"/>
      <c r="E235" s="398"/>
      <c r="F235" s="649">
        <f>'905'!F237</f>
        <v>0</v>
      </c>
      <c r="H235" s="649" t="e">
        <f t="shared" si="47"/>
        <v>#N/A</v>
      </c>
      <c r="J235" s="413" t="e">
        <f t="shared" si="49"/>
        <v>#N/A</v>
      </c>
      <c r="L235" s="414" t="e">
        <f t="shared" si="50"/>
        <v>#N/A</v>
      </c>
      <c r="N235" s="26" t="str">
        <f t="shared" si="48"/>
        <v xml:space="preserve"> </v>
      </c>
    </row>
    <row r="236" spans="1:15" ht="13.5" x14ac:dyDescent="0.25">
      <c r="A236" s="335">
        <v>2780</v>
      </c>
      <c r="B236" s="3206" t="s">
        <v>799</v>
      </c>
      <c r="C236" s="3206"/>
      <c r="D236" s="398"/>
      <c r="E236" s="398"/>
      <c r="F236" s="649">
        <f>'905'!F238</f>
        <v>0</v>
      </c>
      <c r="H236" s="649" t="e">
        <f t="shared" si="47"/>
        <v>#N/A</v>
      </c>
      <c r="J236" s="413" t="e">
        <f t="shared" si="49"/>
        <v>#N/A</v>
      </c>
      <c r="L236" s="414" t="e">
        <f t="shared" si="50"/>
        <v>#N/A</v>
      </c>
      <c r="N236" s="26" t="str">
        <f t="shared" si="48"/>
        <v xml:space="preserve"> </v>
      </c>
    </row>
    <row r="237" spans="1:15" ht="13.5" x14ac:dyDescent="0.25">
      <c r="A237" s="335">
        <v>2785</v>
      </c>
      <c r="B237" s="3206" t="s">
        <v>1551</v>
      </c>
      <c r="C237" s="3206"/>
      <c r="D237" s="398"/>
      <c r="E237" s="398"/>
      <c r="F237" s="649">
        <f>'905'!F239</f>
        <v>0</v>
      </c>
      <c r="H237" s="649" t="e">
        <f t="shared" si="47"/>
        <v>#N/A</v>
      </c>
      <c r="J237" s="413" t="e">
        <f>F237-H237</f>
        <v>#N/A</v>
      </c>
      <c r="L237" s="414" t="e">
        <f>IF(H237=0,0,J237/H237)</f>
        <v>#N/A</v>
      </c>
      <c r="N237" s="26" t="str">
        <f t="shared" si="48"/>
        <v xml:space="preserve"> </v>
      </c>
    </row>
    <row r="238" spans="1:15" s="2529" customFormat="1" ht="13.5" x14ac:dyDescent="0.25">
      <c r="A238" s="2531">
        <v>2786</v>
      </c>
      <c r="B238" s="3307" t="s">
        <v>5527</v>
      </c>
      <c r="C238" s="3307"/>
      <c r="D238" s="2532"/>
      <c r="E238" s="2532"/>
      <c r="F238" s="649">
        <f>'905'!F240</f>
        <v>0</v>
      </c>
      <c r="H238" s="649" t="e">
        <f t="shared" si="47"/>
        <v>#N/A</v>
      </c>
      <c r="J238" s="413" t="e">
        <f>F238-H238</f>
        <v>#N/A</v>
      </c>
      <c r="L238" s="414" t="e">
        <f>IF(H238=0,0,J238/H238)</f>
        <v>#N/A</v>
      </c>
      <c r="N238" s="2530" t="str">
        <f t="shared" si="48"/>
        <v xml:space="preserve"> </v>
      </c>
    </row>
    <row r="239" spans="1:15" ht="13.5" x14ac:dyDescent="0.25">
      <c r="A239" s="335">
        <v>2800</v>
      </c>
      <c r="B239" s="3206" t="s">
        <v>800</v>
      </c>
      <c r="C239" s="3206"/>
      <c r="D239" s="398"/>
      <c r="E239" s="398"/>
      <c r="F239" s="649">
        <f>'905'!F241</f>
        <v>0</v>
      </c>
      <c r="H239" s="649" t="e">
        <f t="shared" si="47"/>
        <v>#N/A</v>
      </c>
      <c r="J239" s="413" t="e">
        <f t="shared" si="49"/>
        <v>#N/A</v>
      </c>
      <c r="L239" s="414" t="e">
        <f t="shared" si="50"/>
        <v>#N/A</v>
      </c>
      <c r="N239" s="26" t="str">
        <f t="shared" si="48"/>
        <v xml:space="preserve"> </v>
      </c>
    </row>
    <row r="240" spans="1:15" ht="13.5" x14ac:dyDescent="0.25">
      <c r="A240" s="335">
        <v>2810</v>
      </c>
      <c r="B240" s="3206" t="s">
        <v>801</v>
      </c>
      <c r="C240" s="3206"/>
      <c r="D240" s="398"/>
      <c r="E240" s="398"/>
      <c r="F240" s="649">
        <f>'905'!F242</f>
        <v>0</v>
      </c>
      <c r="H240" s="649" t="e">
        <f t="shared" si="47"/>
        <v>#N/A</v>
      </c>
      <c r="J240" s="413" t="e">
        <f t="shared" si="49"/>
        <v>#N/A</v>
      </c>
      <c r="L240" s="414" t="e">
        <f t="shared" si="50"/>
        <v>#N/A</v>
      </c>
      <c r="N240" s="26" t="str">
        <f t="shared" si="48"/>
        <v xml:space="preserve"> </v>
      </c>
    </row>
    <row r="241" spans="1:14" ht="13.5" x14ac:dyDescent="0.25">
      <c r="B241" s="3206" t="s">
        <v>239</v>
      </c>
      <c r="C241" s="3206"/>
      <c r="D241" s="398"/>
      <c r="E241" s="398"/>
      <c r="F241" s="402">
        <f>SUM(F222:F240)</f>
        <v>0</v>
      </c>
      <c r="H241" s="402" t="e">
        <f>SUM(H222:H240)</f>
        <v>#N/A</v>
      </c>
      <c r="J241" s="413" t="e">
        <f t="shared" si="49"/>
        <v>#N/A</v>
      </c>
      <c r="L241" s="414" t="e">
        <f t="shared" si="50"/>
        <v>#N/A</v>
      </c>
    </row>
    <row r="242" spans="1:14" ht="13.5" x14ac:dyDescent="0.25">
      <c r="B242" s="3206" t="s">
        <v>408</v>
      </c>
      <c r="C242" s="3206"/>
      <c r="D242" s="398"/>
      <c r="E242" s="398"/>
      <c r="F242" s="1230">
        <f>F219+F241</f>
        <v>0</v>
      </c>
      <c r="H242" s="1230" t="e">
        <f>H219+H241</f>
        <v>#N/A</v>
      </c>
      <c r="J242" s="413" t="e">
        <f t="shared" si="49"/>
        <v>#N/A</v>
      </c>
      <c r="L242" s="414" t="e">
        <f t="shared" si="50"/>
        <v>#N/A</v>
      </c>
    </row>
    <row r="243" spans="1:14" ht="13.5" x14ac:dyDescent="0.25">
      <c r="A243" s="937">
        <v>2870</v>
      </c>
      <c r="B243" s="3206" t="s">
        <v>240</v>
      </c>
      <c r="C243" s="3206"/>
      <c r="D243" s="398"/>
      <c r="E243" s="398"/>
      <c r="F243" s="649">
        <f>'905'!F245</f>
        <v>0</v>
      </c>
      <c r="H243" s="649" t="e">
        <f t="shared" ref="H243:H249" si="51">INDEX(PY905Data,MATCH($A243,PY905Row,0),MATCH($C$5,PY905Col,0))</f>
        <v>#N/A</v>
      </c>
      <c r="J243" s="413" t="e">
        <f t="shared" si="49"/>
        <v>#N/A</v>
      </c>
      <c r="L243" s="414" t="e">
        <f t="shared" si="50"/>
        <v>#N/A</v>
      </c>
      <c r="N243" s="26" t="str">
        <f t="shared" ref="N243:N249" si="52">IF($F$84=0," ",IF(AND(ABS(J243)&gt;$L$3,ABS(L243)&gt;$L$2),"C",IF(AND(ABS(F243+H243)&gt;0,H243=0,ABS(J243)&gt;$L$3),"C"," ")))</f>
        <v xml:space="preserve"> </v>
      </c>
    </row>
    <row r="244" spans="1:14" ht="13.5" x14ac:dyDescent="0.25">
      <c r="A244" s="335">
        <v>2880</v>
      </c>
      <c r="B244" s="3206" t="s">
        <v>241</v>
      </c>
      <c r="C244" s="3206"/>
      <c r="D244" s="398"/>
      <c r="E244" s="398"/>
      <c r="F244" s="649">
        <f>'905'!F246</f>
        <v>0</v>
      </c>
      <c r="H244" s="649" t="e">
        <f t="shared" si="51"/>
        <v>#N/A</v>
      </c>
      <c r="J244" s="413" t="e">
        <f t="shared" si="49"/>
        <v>#N/A</v>
      </c>
      <c r="L244" s="414" t="e">
        <f t="shared" si="50"/>
        <v>#N/A</v>
      </c>
      <c r="N244" s="26" t="str">
        <f t="shared" si="52"/>
        <v xml:space="preserve"> </v>
      </c>
    </row>
    <row r="245" spans="1:14" ht="13.5" x14ac:dyDescent="0.25">
      <c r="A245" s="335">
        <v>2890</v>
      </c>
      <c r="B245" s="3206" t="s">
        <v>242</v>
      </c>
      <c r="C245" s="3206"/>
      <c r="D245" s="398"/>
      <c r="E245" s="398"/>
      <c r="F245" s="649">
        <f>'905'!F247</f>
        <v>0</v>
      </c>
      <c r="H245" s="649" t="e">
        <f t="shared" si="51"/>
        <v>#N/A</v>
      </c>
      <c r="J245" s="413" t="e">
        <f t="shared" si="49"/>
        <v>#N/A</v>
      </c>
      <c r="L245" s="414" t="e">
        <f t="shared" si="50"/>
        <v>#N/A</v>
      </c>
      <c r="N245" s="26" t="str">
        <f t="shared" si="52"/>
        <v xml:space="preserve"> </v>
      </c>
    </row>
    <row r="246" spans="1:14" ht="13.5" x14ac:dyDescent="0.25">
      <c r="A246" s="335">
        <v>2900</v>
      </c>
      <c r="B246" s="3206" t="s">
        <v>1432</v>
      </c>
      <c r="C246" s="3206"/>
      <c r="D246" s="398"/>
      <c r="E246" s="398"/>
      <c r="F246" s="649">
        <f>'905'!F248</f>
        <v>0</v>
      </c>
      <c r="H246" s="649" t="e">
        <f t="shared" si="51"/>
        <v>#N/A</v>
      </c>
      <c r="J246" s="413" t="e">
        <f>F246-H246</f>
        <v>#N/A</v>
      </c>
      <c r="L246" s="414" t="e">
        <f>IF(H246=0,0,J246/H246)</f>
        <v>#N/A</v>
      </c>
      <c r="N246" s="26" t="str">
        <f t="shared" si="52"/>
        <v xml:space="preserve"> </v>
      </c>
    </row>
    <row r="247" spans="1:14" ht="13.5" x14ac:dyDescent="0.25">
      <c r="A247" s="1129">
        <v>2940</v>
      </c>
      <c r="B247" s="3206" t="s">
        <v>1433</v>
      </c>
      <c r="C247" s="3206"/>
      <c r="D247" s="398"/>
      <c r="E247" s="398"/>
      <c r="F247" s="649">
        <f>'905'!F249</f>
        <v>0</v>
      </c>
      <c r="H247" s="649" t="e">
        <f t="shared" si="51"/>
        <v>#N/A</v>
      </c>
      <c r="J247" s="413" t="e">
        <f>F247-H247</f>
        <v>#N/A</v>
      </c>
      <c r="L247" s="414" t="e">
        <f>IF(H247=0,0,J247/H247)</f>
        <v>#N/A</v>
      </c>
      <c r="N247" s="26" t="str">
        <f t="shared" si="52"/>
        <v xml:space="preserve"> </v>
      </c>
    </row>
    <row r="248" spans="1:14" ht="13.5" x14ac:dyDescent="0.25">
      <c r="A248" s="335">
        <v>2950</v>
      </c>
      <c r="B248" s="3206" t="s">
        <v>243</v>
      </c>
      <c r="C248" s="3206"/>
      <c r="D248" s="398"/>
      <c r="E248" s="398"/>
      <c r="F248" s="649">
        <f>'905'!F250</f>
        <v>0</v>
      </c>
      <c r="H248" s="649" t="e">
        <f t="shared" si="51"/>
        <v>#N/A</v>
      </c>
      <c r="J248" s="413" t="e">
        <f t="shared" si="49"/>
        <v>#N/A</v>
      </c>
      <c r="L248" s="414" t="e">
        <f t="shared" si="50"/>
        <v>#N/A</v>
      </c>
      <c r="N248" s="26" t="str">
        <f t="shared" si="52"/>
        <v xml:space="preserve"> </v>
      </c>
    </row>
    <row r="249" spans="1:14" ht="13.5" x14ac:dyDescent="0.25">
      <c r="A249" s="335">
        <v>2960</v>
      </c>
      <c r="B249" s="3206" t="s">
        <v>244</v>
      </c>
      <c r="C249" s="3206"/>
      <c r="D249" s="398"/>
      <c r="E249" s="398"/>
      <c r="F249" s="651">
        <f>'905'!F251</f>
        <v>0</v>
      </c>
      <c r="H249" s="649" t="e">
        <f t="shared" si="51"/>
        <v>#N/A</v>
      </c>
      <c r="J249" s="413" t="e">
        <f t="shared" si="49"/>
        <v>#N/A</v>
      </c>
      <c r="L249" s="414" t="e">
        <f t="shared" si="50"/>
        <v>#N/A</v>
      </c>
      <c r="N249" s="26" t="str">
        <f t="shared" si="52"/>
        <v xml:space="preserve"> </v>
      </c>
    </row>
    <row r="250" spans="1:14" ht="13.5" x14ac:dyDescent="0.25">
      <c r="B250" s="3206" t="s">
        <v>1908</v>
      </c>
      <c r="C250" s="3206"/>
      <c r="D250" s="398"/>
      <c r="E250" s="398"/>
      <c r="F250" s="1230">
        <f>SUM(F242:F249)</f>
        <v>0</v>
      </c>
      <c r="H250" s="1230" t="e">
        <f>SUM(H242:H249)</f>
        <v>#N/A</v>
      </c>
      <c r="J250" s="413" t="e">
        <f t="shared" si="49"/>
        <v>#N/A</v>
      </c>
      <c r="L250" s="414" t="e">
        <f t="shared" si="50"/>
        <v>#N/A</v>
      </c>
      <c r="N250" s="1570" t="s">
        <v>3969</v>
      </c>
    </row>
    <row r="251" spans="1:14" ht="13.5" x14ac:dyDescent="0.25">
      <c r="A251" s="785">
        <v>2980</v>
      </c>
      <c r="B251" s="3206" t="s">
        <v>1907</v>
      </c>
      <c r="C251" s="3206"/>
      <c r="D251" s="398"/>
      <c r="E251" s="398"/>
      <c r="F251" s="649" t="e">
        <f>'905'!F253</f>
        <v>#N/A</v>
      </c>
      <c r="H251" s="649" t="e">
        <f>INDEX(PY905Data,MATCH($A251,PY905Row,0),MATCH($C$5,PY905Col,0))</f>
        <v>#N/A</v>
      </c>
      <c r="J251" s="413" t="e">
        <f t="shared" si="49"/>
        <v>#N/A</v>
      </c>
      <c r="L251" s="414" t="e">
        <f t="shared" si="50"/>
        <v>#N/A</v>
      </c>
      <c r="N251" s="1571" t="s">
        <v>3970</v>
      </c>
    </row>
    <row r="252" spans="1:14" ht="13.5" x14ac:dyDescent="0.25">
      <c r="A252" s="785">
        <v>2990</v>
      </c>
      <c r="B252" s="3206" t="s">
        <v>1054</v>
      </c>
      <c r="C252" s="3206"/>
      <c r="D252" s="398"/>
      <c r="E252" s="398"/>
      <c r="F252" s="649">
        <f>'905'!F254</f>
        <v>0</v>
      </c>
      <c r="H252" s="649" t="e">
        <f>INDEX(PY905Data,MATCH($A252,PY905Row,0),MATCH($C$5,PY905Col,0))</f>
        <v>#N/A</v>
      </c>
      <c r="J252" s="413" t="e">
        <f t="shared" si="49"/>
        <v>#N/A</v>
      </c>
      <c r="L252" s="414" t="e">
        <f t="shared" si="50"/>
        <v>#N/A</v>
      </c>
      <c r="N252" s="1572" t="s">
        <v>3971</v>
      </c>
    </row>
    <row r="253" spans="1:14" ht="13.5" thickBot="1" x14ac:dyDescent="0.25">
      <c r="B253" s="3206" t="s">
        <v>1909</v>
      </c>
      <c r="C253" s="3206"/>
      <c r="D253" s="398"/>
      <c r="E253" s="398"/>
      <c r="F253" s="405" t="e">
        <f>SUM(F250:F252)</f>
        <v>#N/A</v>
      </c>
      <c r="H253" s="405" t="e">
        <f>SUM(H250:H252)</f>
        <v>#N/A</v>
      </c>
    </row>
    <row r="254" spans="1:14" ht="4.5" customHeight="1" thickTop="1" x14ac:dyDescent="0.2"/>
    <row r="255" spans="1:14" x14ac:dyDescent="0.2">
      <c r="B255" s="349" t="s">
        <v>1910</v>
      </c>
      <c r="C255" s="657"/>
      <c r="D255" s="657"/>
      <c r="E255" s="657"/>
      <c r="F255" s="406" t="e">
        <f>IF(ROUND(F186-F253,2)=0,"In Bal.","Error")</f>
        <v>#N/A</v>
      </c>
      <c r="H255" s="406" t="e">
        <f>IF(ROUND(H186-H253,2)=0,"In Bal.","Error")</f>
        <v>#N/A</v>
      </c>
    </row>
    <row r="256" spans="1:14" x14ac:dyDescent="0.2">
      <c r="B256" s="398"/>
      <c r="C256" s="398"/>
      <c r="D256" s="398"/>
      <c r="E256" s="398"/>
    </row>
    <row r="257" spans="2:5" x14ac:dyDescent="0.2">
      <c r="B257" s="398"/>
      <c r="C257" s="398"/>
      <c r="D257" s="398"/>
      <c r="E257" s="398"/>
    </row>
  </sheetData>
  <sheetProtection algorithmName="SHA-512" hashValue="e62TmMOw1R1m5Cc4cPaWdQLCBZlSyIzC8g9Jwh3t9YXQr1Q5zJOotkDHi+1EJJ/VslhSj+d6EaNef42iGeEtxw==" saltValue="RKW/z4oLk8pyeFnIjTLx/A==" spinCount="100000" sheet="1" objects="1" scenarios="1" autoFilter="0"/>
  <customSheetViews>
    <customSheetView guid="{B08879A4-635B-4C39-9937-AC7883D562FC}" showGridLines="0" fitToPage="1">
      <selection activeCell="E9" sqref="E9"/>
      <pageMargins left="0.75" right="0.5" top="0.5" bottom="0.5" header="0.5" footer="0.25"/>
      <pageSetup scale="66" fitToHeight="3" orientation="portrait" r:id="rId1"/>
      <headerFooter alignWithMargins="0">
        <oddFooter>&amp;R&amp;A (&amp;P of &amp;N)</oddFooter>
      </headerFooter>
    </customSheetView>
    <customSheetView guid="{9FCFC836-1CA5-48BF-958D-24D2EA94B219}" showGridLines="0" fitToPage="1">
      <selection activeCell="E9" sqref="E9"/>
      <pageMargins left="0.75" right="0.5" top="0.5" bottom="0.5" header="0.5" footer="0.25"/>
      <pageSetup scale="66" fitToHeight="3" orientation="portrait" r:id="rId2"/>
      <headerFooter alignWithMargins="0">
        <oddFooter>&amp;R&amp;A (&amp;P of &amp;N)</oddFooter>
      </headerFooter>
    </customSheetView>
  </customSheetViews>
  <mergeCells count="215">
    <mergeCell ref="B184:C184"/>
    <mergeCell ref="B229:C229"/>
    <mergeCell ref="B227:C227"/>
    <mergeCell ref="B233:C233"/>
    <mergeCell ref="B94:C94"/>
    <mergeCell ref="B216:C216"/>
    <mergeCell ref="B195:C195"/>
    <mergeCell ref="B210:C210"/>
    <mergeCell ref="B152:E152"/>
    <mergeCell ref="B179:C179"/>
    <mergeCell ref="B163:E163"/>
    <mergeCell ref="B209:C209"/>
    <mergeCell ref="B186:C186"/>
    <mergeCell ref="B157:C157"/>
    <mergeCell ref="B178:C178"/>
    <mergeCell ref="B156:C156"/>
    <mergeCell ref="B182:C182"/>
    <mergeCell ref="B164:E164"/>
    <mergeCell ref="B171:E171"/>
    <mergeCell ref="B183:C183"/>
    <mergeCell ref="B172:C172"/>
    <mergeCell ref="B175:C175"/>
    <mergeCell ref="B148:C148"/>
    <mergeCell ref="B99:C99"/>
    <mergeCell ref="B181:C181"/>
    <mergeCell ref="A1:G1"/>
    <mergeCell ref="A2:G2"/>
    <mergeCell ref="B3:G3"/>
    <mergeCell ref="A4:G4"/>
    <mergeCell ref="B185:C185"/>
    <mergeCell ref="B84:C84"/>
    <mergeCell ref="B155:C155"/>
    <mergeCell ref="B150:C150"/>
    <mergeCell ref="B47:C47"/>
    <mergeCell ref="B43:C43"/>
    <mergeCell ref="B46:C46"/>
    <mergeCell ref="B81:C81"/>
    <mergeCell ref="B57:C57"/>
    <mergeCell ref="B58:C58"/>
    <mergeCell ref="B52:C52"/>
    <mergeCell ref="B32:C32"/>
    <mergeCell ref="B33:C33"/>
    <mergeCell ref="B21:C21"/>
    <mergeCell ref="B45:C45"/>
    <mergeCell ref="B36:C36"/>
    <mergeCell ref="B37:C37"/>
    <mergeCell ref="B44:C44"/>
    <mergeCell ref="B28:C28"/>
    <mergeCell ref="B50:C50"/>
    <mergeCell ref="B51:C51"/>
    <mergeCell ref="B54:C54"/>
    <mergeCell ref="B105:C105"/>
    <mergeCell ref="B136:C136"/>
    <mergeCell ref="B140:C140"/>
    <mergeCell ref="B193:C193"/>
    <mergeCell ref="B90:E90"/>
    <mergeCell ref="B128:E128"/>
    <mergeCell ref="B154:C154"/>
    <mergeCell ref="B167:E167"/>
    <mergeCell ref="B168:E168"/>
    <mergeCell ref="B91:E91"/>
    <mergeCell ref="B87:E87"/>
    <mergeCell ref="B53:C53"/>
    <mergeCell ref="B55:C55"/>
    <mergeCell ref="B79:C79"/>
    <mergeCell ref="B66:C66"/>
    <mergeCell ref="B70:C70"/>
    <mergeCell ref="B71:C71"/>
    <mergeCell ref="B72:C72"/>
    <mergeCell ref="B65:C65"/>
    <mergeCell ref="B177:C177"/>
    <mergeCell ref="B108:C108"/>
    <mergeCell ref="B112:C112"/>
    <mergeCell ref="B114:C114"/>
    <mergeCell ref="B139:C139"/>
    <mergeCell ref="B130:C130"/>
    <mergeCell ref="B132:C132"/>
    <mergeCell ref="B118:C118"/>
    <mergeCell ref="B113:C113"/>
    <mergeCell ref="B110:C110"/>
    <mergeCell ref="B106:C106"/>
    <mergeCell ref="B107:C107"/>
    <mergeCell ref="B232:C232"/>
    <mergeCell ref="B197:C197"/>
    <mergeCell ref="B212:C212"/>
    <mergeCell ref="B208:C208"/>
    <mergeCell ref="B228:C228"/>
    <mergeCell ref="B203:C203"/>
    <mergeCell ref="B218:C218"/>
    <mergeCell ref="B219:C219"/>
    <mergeCell ref="B224:C224"/>
    <mergeCell ref="B207:C207"/>
    <mergeCell ref="B211:C211"/>
    <mergeCell ref="B217:C217"/>
    <mergeCell ref="B213:C213"/>
    <mergeCell ref="B206:E206"/>
    <mergeCell ref="B200:C200"/>
    <mergeCell ref="B201:C201"/>
    <mergeCell ref="B199:C199"/>
    <mergeCell ref="B198:C198"/>
    <mergeCell ref="B231:C231"/>
    <mergeCell ref="B223:C223"/>
    <mergeCell ref="B226:C226"/>
    <mergeCell ref="B230:C230"/>
    <mergeCell ref="B215:C215"/>
    <mergeCell ref="B202:C202"/>
    <mergeCell ref="B41:C41"/>
    <mergeCell ref="B34:C34"/>
    <mergeCell ref="B35:C35"/>
    <mergeCell ref="B14:C14"/>
    <mergeCell ref="B16:C16"/>
    <mergeCell ref="B24:C24"/>
    <mergeCell ref="B19:C19"/>
    <mergeCell ref="B20:C20"/>
    <mergeCell ref="B17:C17"/>
    <mergeCell ref="B25:C25"/>
    <mergeCell ref="B26:C26"/>
    <mergeCell ref="B23:C23"/>
    <mergeCell ref="B30:C30"/>
    <mergeCell ref="B236:C236"/>
    <mergeCell ref="B240:C240"/>
    <mergeCell ref="N1:N3"/>
    <mergeCell ref="B13:C13"/>
    <mergeCell ref="C6:F6"/>
    <mergeCell ref="I5:L5"/>
    <mergeCell ref="B29:C29"/>
    <mergeCell ref="B109:C109"/>
    <mergeCell ref="B56:C56"/>
    <mergeCell ref="B88:E88"/>
    <mergeCell ref="B49:C49"/>
    <mergeCell ref="B78:C78"/>
    <mergeCell ref="B103:C103"/>
    <mergeCell ref="B61:C61"/>
    <mergeCell ref="B59:C59"/>
    <mergeCell ref="B93:E93"/>
    <mergeCell ref="B92:E92"/>
    <mergeCell ref="J6:L6"/>
    <mergeCell ref="B15:C15"/>
    <mergeCell ref="B102:C102"/>
    <mergeCell ref="B40:C40"/>
    <mergeCell ref="B27:C27"/>
    <mergeCell ref="B22:C22"/>
    <mergeCell ref="B31:C31"/>
    <mergeCell ref="B69:C69"/>
    <mergeCell ref="B100:C100"/>
    <mergeCell ref="B121:C121"/>
    <mergeCell ref="B138:C138"/>
    <mergeCell ref="B117:C117"/>
    <mergeCell ref="B101:C101"/>
    <mergeCell ref="B111:C111"/>
    <mergeCell ref="B253:C253"/>
    <mergeCell ref="B250:C250"/>
    <mergeCell ref="B251:C251"/>
    <mergeCell ref="B244:C244"/>
    <mergeCell ref="B245:C245"/>
    <mergeCell ref="B248:C248"/>
    <mergeCell ref="B249:C249"/>
    <mergeCell ref="B252:C252"/>
    <mergeCell ref="B246:C246"/>
    <mergeCell ref="B247:C247"/>
    <mergeCell ref="B239:C239"/>
    <mergeCell ref="B241:C241"/>
    <mergeCell ref="B243:C243"/>
    <mergeCell ref="B242:C242"/>
    <mergeCell ref="B234:C234"/>
    <mergeCell ref="B235:C235"/>
    <mergeCell ref="B237:C237"/>
    <mergeCell ref="B169:E169"/>
    <mergeCell ref="B129:E129"/>
    <mergeCell ref="B122:C122"/>
    <mergeCell ref="B166:E166"/>
    <mergeCell ref="B125:C125"/>
    <mergeCell ref="B142:C142"/>
    <mergeCell ref="B192:C192"/>
    <mergeCell ref="B62:C62"/>
    <mergeCell ref="B63:C63"/>
    <mergeCell ref="B64:C64"/>
    <mergeCell ref="B80:C80"/>
    <mergeCell ref="B77:C77"/>
    <mergeCell ref="B145:C145"/>
    <mergeCell ref="B119:C119"/>
    <mergeCell ref="B144:C144"/>
    <mergeCell ref="B89:E89"/>
    <mergeCell ref="B126:C126"/>
    <mergeCell ref="B143:C143"/>
    <mergeCell ref="B123:C123"/>
    <mergeCell ref="B124:C124"/>
    <mergeCell ref="B141:C141"/>
    <mergeCell ref="B67:C67"/>
    <mergeCell ref="B120:C120"/>
    <mergeCell ref="B82:C82"/>
    <mergeCell ref="B48:C48"/>
    <mergeCell ref="B73:C73"/>
    <mergeCell ref="B74:C74"/>
    <mergeCell ref="B75:C75"/>
    <mergeCell ref="B76:C76"/>
    <mergeCell ref="B170:E170"/>
    <mergeCell ref="B238:C238"/>
    <mergeCell ref="B225:C225"/>
    <mergeCell ref="B146:C146"/>
    <mergeCell ref="B115:C115"/>
    <mergeCell ref="B137:C137"/>
    <mergeCell ref="B116:C116"/>
    <mergeCell ref="B147:C147"/>
    <mergeCell ref="B149:C149"/>
    <mergeCell ref="B153:E153"/>
    <mergeCell ref="B151:C151"/>
    <mergeCell ref="B159:C159"/>
    <mergeCell ref="B162:E162"/>
    <mergeCell ref="B196:C196"/>
    <mergeCell ref="B222:C222"/>
    <mergeCell ref="B194:C194"/>
    <mergeCell ref="B127:E127"/>
    <mergeCell ref="B131:C131"/>
    <mergeCell ref="B165:E165"/>
  </mergeCells>
  <phoneticPr fontId="15" type="noConversion"/>
  <conditionalFormatting sqref="N1:N3">
    <cfRule type="cellIs" dxfId="6" priority="1" stopIfTrue="1" operator="equal">
      <formula>"na"</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72" fitToHeight="5" orientation="portrait" r:id="rId3"/>
  <headerFooter alignWithMargins="0">
    <oddFooter>&amp;L&amp;D &amp;T&amp;R&amp;A (&amp;P of &amp;N)</oddFooter>
  </headerFooter>
  <rowBreaks count="3" manualBreakCount="3">
    <brk id="59" max="13" man="1"/>
    <brk id="133" max="13" man="1"/>
    <brk id="189" max="13" man="1"/>
  </rowBreaks>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dimension ref="A1:Y255"/>
  <sheetViews>
    <sheetView showGridLines="0" zoomScaleNormal="100" zoomScaleSheetLayoutView="100" workbookViewId="0">
      <selection sqref="A1:G1"/>
    </sheetView>
  </sheetViews>
  <sheetFormatPr defaultColWidth="9.42578125" defaultRowHeight="12.75" x14ac:dyDescent="0.2"/>
  <cols>
    <col min="1" max="1" width="4.42578125" bestFit="1" customWidth="1"/>
    <col min="2" max="2" width="15.42578125" customWidth="1"/>
    <col min="3" max="3" width="22.5703125" customWidth="1"/>
    <col min="4" max="4" width="2.42578125" customWidth="1"/>
    <col min="5" max="5" width="1.5703125" customWidth="1"/>
    <col min="6" max="6" width="18.5703125" style="649" customWidth="1"/>
    <col min="7" max="7" width="1.5703125" customWidth="1"/>
    <col min="8" max="8" width="18.5703125" style="649" customWidth="1"/>
    <col min="9" max="9" width="1.42578125" customWidth="1"/>
    <col min="10" max="10" width="14" customWidth="1"/>
    <col min="11" max="11" width="1.42578125" customWidth="1"/>
    <col min="12" max="12" width="12" customWidth="1"/>
    <col min="13" max="13" width="1.42578125" customWidth="1"/>
    <col min="14" max="14" width="10.42578125" customWidth="1"/>
  </cols>
  <sheetData>
    <row r="1" spans="1:25" ht="15.75" x14ac:dyDescent="0.25">
      <c r="A1" s="2767" t="str">
        <f>+Index!$A$1</f>
        <v xml:space="preserve">                                                               Office of the State Controller                                                                </v>
      </c>
      <c r="B1" s="2767"/>
      <c r="C1" s="2767"/>
      <c r="D1" s="2767"/>
      <c r="E1" s="2767"/>
      <c r="F1" s="2767"/>
      <c r="G1" s="2767"/>
      <c r="H1" s="622"/>
      <c r="I1" s="622"/>
      <c r="J1" s="1576"/>
      <c r="K1" s="1577" t="s">
        <v>3961</v>
      </c>
      <c r="L1" s="1576"/>
      <c r="M1" s="622"/>
      <c r="N1" s="2775" t="str">
        <f>IF(Index!$B$109="na", "NA", "")</f>
        <v/>
      </c>
      <c r="O1" s="622"/>
      <c r="Q1" s="622"/>
      <c r="R1" s="622"/>
      <c r="S1" s="622"/>
      <c r="T1" s="622"/>
      <c r="U1" s="622"/>
      <c r="V1" s="622"/>
      <c r="W1" s="622"/>
      <c r="X1" s="622"/>
    </row>
    <row r="2" spans="1:25" ht="16.5" x14ac:dyDescent="0.3">
      <c r="A2" s="3360" t="str">
        <f>+Index!$A$2</f>
        <v>2022 ACFR Worksheets</v>
      </c>
      <c r="B2" s="3360"/>
      <c r="C2" s="3360"/>
      <c r="D2" s="3360"/>
      <c r="E2" s="3360"/>
      <c r="F2" s="3360"/>
      <c r="G2" s="3360"/>
      <c r="H2" s="622"/>
      <c r="I2" s="281"/>
      <c r="J2" s="1578"/>
      <c r="K2" s="1575" t="s">
        <v>3962</v>
      </c>
      <c r="L2" s="1579">
        <v>0.15</v>
      </c>
      <c r="M2" s="281"/>
      <c r="N2" s="2775"/>
      <c r="O2" s="281"/>
      <c r="Q2" s="632"/>
      <c r="R2" s="632"/>
      <c r="S2" s="632"/>
      <c r="T2" s="632"/>
      <c r="U2" s="632"/>
      <c r="V2" s="632"/>
      <c r="W2" s="632"/>
      <c r="X2" s="632"/>
    </row>
    <row r="3" spans="1:25" ht="27.75" customHeight="1" x14ac:dyDescent="0.3">
      <c r="B3" s="3361" t="s">
        <v>3977</v>
      </c>
      <c r="C3" s="3361"/>
      <c r="D3" s="3361"/>
      <c r="E3" s="3361"/>
      <c r="F3" s="3361"/>
      <c r="G3" s="3361"/>
      <c r="H3" s="637"/>
      <c r="I3" s="637"/>
      <c r="J3" s="1580"/>
      <c r="K3" s="1575" t="s">
        <v>3964</v>
      </c>
      <c r="L3" s="1581">
        <v>40000000</v>
      </c>
      <c r="M3" s="637"/>
      <c r="N3" s="2775"/>
      <c r="O3" s="637"/>
      <c r="Q3" s="632"/>
      <c r="R3" s="632"/>
      <c r="S3" s="632"/>
      <c r="T3" s="632"/>
      <c r="U3" s="632"/>
      <c r="V3" s="632"/>
      <c r="W3" s="632"/>
      <c r="X3" s="632"/>
    </row>
    <row r="4" spans="1:25" ht="12.75" customHeight="1" x14ac:dyDescent="0.25">
      <c r="A4" s="2896"/>
      <c r="B4" s="2896"/>
      <c r="C4" s="2896"/>
      <c r="D4" s="2896"/>
      <c r="E4" s="2896"/>
      <c r="F4" s="2896"/>
      <c r="G4" s="2896"/>
      <c r="H4" s="4"/>
      <c r="I4" s="4"/>
      <c r="J4" s="1582"/>
      <c r="K4" s="1575" t="s">
        <v>3966</v>
      </c>
      <c r="L4" s="1583">
        <f>COUNTIF(N6:N252,"=C")</f>
        <v>0</v>
      </c>
      <c r="M4" s="122"/>
    </row>
    <row r="5" spans="1:25" s="200" customFormat="1" ht="13.5" customHeight="1" x14ac:dyDescent="0.2">
      <c r="B5" s="200" t="s">
        <v>327</v>
      </c>
      <c r="C5" s="639" t="str">
        <f>+Index!$E$10</f>
        <v>01</v>
      </c>
      <c r="D5" s="635"/>
      <c r="E5" s="635"/>
      <c r="H5" s="806" t="s">
        <v>972</v>
      </c>
      <c r="I5" s="3320" t="str">
        <f>+CONCATENATE(Index!$E$12," ",Index!$E$14)</f>
        <v xml:space="preserve"> </v>
      </c>
      <c r="J5" s="3320"/>
      <c r="K5" s="3320"/>
      <c r="L5" s="3320"/>
      <c r="M5"/>
      <c r="N5"/>
      <c r="O5"/>
      <c r="Q5" s="633"/>
      <c r="Y5" s="199"/>
    </row>
    <row r="6" spans="1:25" s="200" customFormat="1" ht="15" customHeight="1" x14ac:dyDescent="0.2">
      <c r="B6" s="200" t="s">
        <v>1154</v>
      </c>
      <c r="C6" s="3358" t="str">
        <f>+Index!$E$11</f>
        <v>North Carolina General Assembly</v>
      </c>
      <c r="D6" s="3358"/>
      <c r="E6" s="3358"/>
      <c r="F6" s="3358"/>
      <c r="H6" s="800" t="s">
        <v>348</v>
      </c>
      <c r="I6" s="679"/>
      <c r="J6" s="3359">
        <f>+Index!$E$13</f>
        <v>0</v>
      </c>
      <c r="K6" s="3359"/>
      <c r="L6" s="3359"/>
      <c r="Q6" s="634"/>
      <c r="R6" s="634"/>
      <c r="S6" s="634"/>
      <c r="T6" s="634"/>
      <c r="U6" s="634"/>
      <c r="V6" s="634"/>
      <c r="W6" s="634"/>
      <c r="X6" s="201"/>
      <c r="Y6" s="199"/>
    </row>
    <row r="7" spans="1:25" s="200" customFormat="1" ht="15" customHeight="1" x14ac:dyDescent="0.2">
      <c r="B7" s="200" t="s">
        <v>477</v>
      </c>
      <c r="C7" s="1069" t="e">
        <f>INDEX(NetAssetsData,MATCH('905'!$C$5,NetAssetsDataRow,0),4)</f>
        <v>#N/A</v>
      </c>
      <c r="D7" s="1047"/>
      <c r="E7" s="1047"/>
      <c r="G7" s="633"/>
      <c r="Y7" s="199"/>
    </row>
    <row r="8" spans="1:25" s="38" customFormat="1" ht="11.25" customHeight="1" x14ac:dyDescent="0.2">
      <c r="B8" s="1359" t="s">
        <v>3482</v>
      </c>
      <c r="C8" s="1360"/>
      <c r="D8" s="1360"/>
      <c r="E8" s="1360"/>
      <c r="F8" s="1360"/>
      <c r="G8" s="1360"/>
      <c r="H8" s="1360"/>
      <c r="I8" s="1361"/>
      <c r="J8" s="1360"/>
      <c r="K8" s="1573"/>
      <c r="L8" s="1362"/>
      <c r="M8" s="122"/>
      <c r="O8" s="122"/>
    </row>
    <row r="9" spans="1:25" x14ac:dyDescent="0.2">
      <c r="F9" s="1231" t="s">
        <v>3483</v>
      </c>
      <c r="H9" s="1231" t="s">
        <v>1746</v>
      </c>
      <c r="N9" s="1565" t="s">
        <v>3967</v>
      </c>
    </row>
    <row r="10" spans="1:25" ht="12.75" customHeight="1" x14ac:dyDescent="0.25">
      <c r="B10" s="109"/>
      <c r="C10" s="392"/>
      <c r="D10" s="392"/>
      <c r="E10" s="392"/>
      <c r="F10" s="408" t="str">
        <f>CONCATENATE("FY",YEAR(Data!$A$3),"-",YEAR(Data!$A$2))</f>
        <v>FY2021-2022</v>
      </c>
      <c r="G10" s="409"/>
      <c r="H10" s="408" t="str">
        <f>CONCATENATE("FY",YEAR(Data!$A$3)-1,"-",YEAR(Data!$A$2)-1)</f>
        <v>FY2020-2021</v>
      </c>
      <c r="I10" s="410"/>
      <c r="J10" s="408" t="s">
        <v>478</v>
      </c>
      <c r="K10" s="411"/>
      <c r="L10" s="412" t="s">
        <v>1012</v>
      </c>
      <c r="M10" s="411"/>
      <c r="N10" s="412" t="s">
        <v>3968</v>
      </c>
    </row>
    <row r="11" spans="1:25" ht="10.5" customHeight="1" x14ac:dyDescent="0.2">
      <c r="B11" s="394" t="s">
        <v>3973</v>
      </c>
      <c r="C11" s="807"/>
      <c r="D11" s="807"/>
      <c r="E11" s="807"/>
      <c r="F11" s="807"/>
      <c r="G11" s="807"/>
    </row>
    <row r="12" spans="1:25" ht="12" customHeight="1" x14ac:dyDescent="0.2">
      <c r="B12" s="784" t="s">
        <v>629</v>
      </c>
      <c r="C12" s="395"/>
      <c r="D12" s="395"/>
      <c r="E12" s="395"/>
    </row>
    <row r="13" spans="1:25" ht="14.25" customHeight="1" x14ac:dyDescent="0.25">
      <c r="A13" s="335">
        <v>1000</v>
      </c>
      <c r="B13" s="3357" t="s">
        <v>630</v>
      </c>
      <c r="C13" s="3357"/>
      <c r="D13" s="643"/>
      <c r="E13" s="643"/>
      <c r="F13" s="650">
        <f>'905Hosp'!F14</f>
        <v>0</v>
      </c>
      <c r="H13" s="650" t="e">
        <f>INDEX(PY905Data,MATCH($A13,PY905Row,0),MATCH($C$5,PY905Col,0))</f>
        <v>#N/A</v>
      </c>
      <c r="J13" s="413" t="e">
        <f t="shared" ref="J13:J37" si="0">F13-H13</f>
        <v>#N/A</v>
      </c>
      <c r="L13" s="414" t="e">
        <f t="shared" ref="L13:L37" si="1">IF(H13=0,0,J13/H13)</f>
        <v>#N/A</v>
      </c>
      <c r="N13" s="26" t="str">
        <f>IF($F$84=0," ",IF(AND(ABS(J13)&gt;$L$3,ABS(L13)&gt;$L$2),"C",IF(AND(ABS(F13+H13)&gt;0,H13=0,ABS(J13)&gt;$L$3),"C"," ")))</f>
        <v xml:space="preserve"> </v>
      </c>
    </row>
    <row r="14" spans="1:25" ht="13.5" x14ac:dyDescent="0.25">
      <c r="A14" s="335">
        <v>1010</v>
      </c>
      <c r="B14" s="3206" t="s">
        <v>270</v>
      </c>
      <c r="C14" s="3206"/>
      <c r="D14" s="398"/>
      <c r="E14" s="398"/>
      <c r="F14" s="649">
        <f>'905Hosp'!F15</f>
        <v>0</v>
      </c>
      <c r="H14" s="649" t="e">
        <f>INDEX(PY905Data,MATCH($A14,PY905Row,0),MATCH($C$5,PY905Col,0))</f>
        <v>#N/A</v>
      </c>
      <c r="J14" s="413" t="e">
        <f>F14-H14</f>
        <v>#N/A</v>
      </c>
      <c r="L14" s="414" t="e">
        <f>IF(H14=0,0,J14/H14)</f>
        <v>#N/A</v>
      </c>
      <c r="N14" s="26" t="str">
        <f t="shared" ref="N14:N36" si="2">IF($F$84=0," ",IF(AND(ABS(J14)&gt;$L$3,ABS(L14)&gt;$L$2),"C",IF(AND(ABS(F14+H14)&gt;0,H14=0,ABS(J14)&gt;$L$3),"C"," ")))</f>
        <v xml:space="preserve"> </v>
      </c>
    </row>
    <row r="15" spans="1:25" ht="13.5" x14ac:dyDescent="0.25">
      <c r="A15" s="335">
        <v>1050</v>
      </c>
      <c r="B15" s="3206" t="s">
        <v>425</v>
      </c>
      <c r="C15" s="3206"/>
      <c r="D15" s="398"/>
      <c r="E15" s="398"/>
      <c r="F15" s="649">
        <f>'905Hosp'!F16</f>
        <v>0</v>
      </c>
      <c r="H15" s="649" t="e">
        <f>INDEX(PY905Data,MATCH($A15,PY905Row,0),MATCH($C$5,PY905Col,0))</f>
        <v>#N/A</v>
      </c>
      <c r="J15" s="413" t="e">
        <f t="shared" si="0"/>
        <v>#N/A</v>
      </c>
      <c r="L15" s="414" t="e">
        <f t="shared" si="1"/>
        <v>#N/A</v>
      </c>
      <c r="N15" s="26" t="str">
        <f t="shared" si="2"/>
        <v xml:space="preserve"> </v>
      </c>
    </row>
    <row r="16" spans="1:25" ht="12.75" customHeight="1" x14ac:dyDescent="0.25">
      <c r="A16" s="335">
        <v>1060</v>
      </c>
      <c r="B16" s="3206" t="s">
        <v>1223</v>
      </c>
      <c r="C16" s="3206"/>
      <c r="D16" s="398"/>
      <c r="E16" s="398"/>
      <c r="F16" s="649">
        <f>'905Hosp'!F17</f>
        <v>0</v>
      </c>
      <c r="H16" s="649" t="e">
        <f>INDEX(PY905Data,MATCH($A16,PY905Row,0),MATCH($C$5,PY905Col,0))</f>
        <v>#N/A</v>
      </c>
      <c r="J16" s="413" t="e">
        <f>F16-H16</f>
        <v>#N/A</v>
      </c>
      <c r="L16" s="414" t="e">
        <f>IF(H16=0,0,J16/H16)</f>
        <v>#N/A</v>
      </c>
      <c r="N16" s="26" t="str">
        <f t="shared" si="2"/>
        <v xml:space="preserve"> </v>
      </c>
    </row>
    <row r="17" spans="1:14" ht="13.5" x14ac:dyDescent="0.25">
      <c r="A17" s="335">
        <v>1090</v>
      </c>
      <c r="B17" s="3206" t="s">
        <v>1403</v>
      </c>
      <c r="C17" s="3206"/>
      <c r="D17" s="398"/>
      <c r="E17" s="398"/>
      <c r="F17" s="649">
        <f>'905Hosp'!F18</f>
        <v>0</v>
      </c>
      <c r="H17" s="649" t="e">
        <f>INDEX(PY905Data,MATCH($A17,PY905Row,0),MATCH($C$5,PY905Col,0))</f>
        <v>#N/A</v>
      </c>
      <c r="J17" s="413" t="e">
        <f>F17-H17</f>
        <v>#N/A</v>
      </c>
      <c r="L17" s="414" t="e">
        <f>IF(H17=0,0,J17/H17)</f>
        <v>#N/A</v>
      </c>
      <c r="N17" s="26" t="str">
        <f t="shared" si="2"/>
        <v xml:space="preserve"> </v>
      </c>
    </row>
    <row r="18" spans="1:14" ht="12.75" customHeight="1" x14ac:dyDescent="0.25">
      <c r="A18" s="335"/>
      <c r="B18" s="335" t="s">
        <v>198</v>
      </c>
      <c r="C18" s="335"/>
      <c r="D18" s="335"/>
      <c r="E18" s="335"/>
      <c r="J18" s="413"/>
      <c r="L18" s="414"/>
    </row>
    <row r="19" spans="1:14" ht="12.75" customHeight="1" x14ac:dyDescent="0.25">
      <c r="A19" s="335">
        <v>1110</v>
      </c>
      <c r="B19" s="3355" t="s">
        <v>199</v>
      </c>
      <c r="C19" s="3355"/>
      <c r="D19" s="399"/>
      <c r="E19" s="399"/>
      <c r="F19" s="649">
        <f>'905Hosp'!F20</f>
        <v>0</v>
      </c>
      <c r="H19" s="649" t="e">
        <f t="shared" ref="H19:H36" si="3">INDEX(PY905Data,MATCH($A19,PY905Row,0),MATCH($C$5,PY905Col,0))</f>
        <v>#N/A</v>
      </c>
      <c r="J19" s="413" t="e">
        <f t="shared" si="0"/>
        <v>#N/A</v>
      </c>
      <c r="L19" s="414" t="e">
        <f t="shared" si="1"/>
        <v>#N/A</v>
      </c>
      <c r="N19" s="26" t="str">
        <f t="shared" si="2"/>
        <v xml:space="preserve"> </v>
      </c>
    </row>
    <row r="20" spans="1:14" ht="13.5" x14ac:dyDescent="0.25">
      <c r="A20" s="335">
        <v>1120</v>
      </c>
      <c r="B20" s="3355" t="s">
        <v>312</v>
      </c>
      <c r="C20" s="3355"/>
      <c r="D20" s="399"/>
      <c r="E20" s="399"/>
      <c r="F20" s="649">
        <f>'905Hosp'!F21</f>
        <v>0</v>
      </c>
      <c r="H20" s="649" t="e">
        <f t="shared" si="3"/>
        <v>#N/A</v>
      </c>
      <c r="J20" s="413" t="e">
        <f t="shared" si="0"/>
        <v>#N/A</v>
      </c>
      <c r="L20" s="414" t="e">
        <f t="shared" si="1"/>
        <v>#N/A</v>
      </c>
      <c r="N20" s="26" t="str">
        <f t="shared" si="2"/>
        <v xml:space="preserve"> </v>
      </c>
    </row>
    <row r="21" spans="1:14" ht="13.5" x14ac:dyDescent="0.25">
      <c r="A21" s="335">
        <v>1130</v>
      </c>
      <c r="B21" s="3355" t="s">
        <v>200</v>
      </c>
      <c r="C21" s="3355"/>
      <c r="D21" s="399"/>
      <c r="E21" s="399"/>
      <c r="F21" s="649">
        <f>'905Hosp'!F22</f>
        <v>0</v>
      </c>
      <c r="H21" s="649" t="e">
        <f t="shared" si="3"/>
        <v>#N/A</v>
      </c>
      <c r="J21" s="413" t="e">
        <f t="shared" si="0"/>
        <v>#N/A</v>
      </c>
      <c r="L21" s="414" t="e">
        <f t="shared" si="1"/>
        <v>#N/A</v>
      </c>
      <c r="N21" s="26" t="str">
        <f t="shared" si="2"/>
        <v xml:space="preserve"> </v>
      </c>
    </row>
    <row r="22" spans="1:14" ht="13.5" x14ac:dyDescent="0.25">
      <c r="A22" s="335">
        <v>1160</v>
      </c>
      <c r="B22" s="3355" t="s">
        <v>637</v>
      </c>
      <c r="C22" s="3355"/>
      <c r="D22" s="399"/>
      <c r="E22" s="399"/>
      <c r="F22" s="649">
        <f>'905Hosp'!F23</f>
        <v>0</v>
      </c>
      <c r="H22" s="649" t="e">
        <f t="shared" si="3"/>
        <v>#N/A</v>
      </c>
      <c r="J22" s="413" t="e">
        <f t="shared" si="0"/>
        <v>#N/A</v>
      </c>
      <c r="L22" s="414" t="e">
        <f t="shared" si="1"/>
        <v>#N/A</v>
      </c>
      <c r="N22" s="26" t="str">
        <f t="shared" si="2"/>
        <v xml:space="preserve"> </v>
      </c>
    </row>
    <row r="23" spans="1:14" s="2209" customFormat="1" ht="13.5" x14ac:dyDescent="0.25">
      <c r="A23" s="2080">
        <v>1175</v>
      </c>
      <c r="B23" s="3306" t="s">
        <v>4827</v>
      </c>
      <c r="C23" s="3306"/>
      <c r="D23" s="2211"/>
      <c r="E23" s="2211"/>
      <c r="F23" s="649">
        <f>'905Hosp'!F24</f>
        <v>0</v>
      </c>
      <c r="H23" s="649" t="e">
        <f t="shared" si="3"/>
        <v>#N/A</v>
      </c>
      <c r="J23" s="413" t="e">
        <f t="shared" si="0"/>
        <v>#N/A</v>
      </c>
      <c r="L23" s="414" t="e">
        <f t="shared" si="1"/>
        <v>#N/A</v>
      </c>
      <c r="N23" s="2210" t="str">
        <f t="shared" si="2"/>
        <v xml:space="preserve"> </v>
      </c>
    </row>
    <row r="24" spans="1:14" ht="13.5" x14ac:dyDescent="0.25">
      <c r="A24" s="1129">
        <v>1190</v>
      </c>
      <c r="B24" s="3206" t="s">
        <v>638</v>
      </c>
      <c r="C24" s="3206"/>
      <c r="D24" s="398"/>
      <c r="E24" s="398"/>
      <c r="F24" s="649">
        <f>'905Hosp'!F25</f>
        <v>0</v>
      </c>
      <c r="H24" s="649" t="e">
        <f t="shared" si="3"/>
        <v>#N/A</v>
      </c>
      <c r="J24" s="413" t="e">
        <f t="shared" si="0"/>
        <v>#N/A</v>
      </c>
      <c r="L24" s="414" t="e">
        <f t="shared" si="1"/>
        <v>#N/A</v>
      </c>
      <c r="N24" s="26" t="str">
        <f t="shared" si="2"/>
        <v xml:space="preserve"> </v>
      </c>
    </row>
    <row r="25" spans="1:14" ht="13.5" x14ac:dyDescent="0.25">
      <c r="A25" s="1129">
        <v>1195</v>
      </c>
      <c r="B25" s="3206" t="s">
        <v>1531</v>
      </c>
      <c r="C25" s="3206"/>
      <c r="D25" s="398"/>
      <c r="E25" s="398"/>
      <c r="F25" s="649">
        <f>'905Hosp'!F26</f>
        <v>0</v>
      </c>
      <c r="H25" s="649" t="e">
        <f t="shared" si="3"/>
        <v>#N/A</v>
      </c>
      <c r="J25" s="413" t="e">
        <f>F25-H25</f>
        <v>#N/A</v>
      </c>
      <c r="L25" s="414" t="e">
        <f>IF(H25=0,0,J25/H25)</f>
        <v>#N/A</v>
      </c>
      <c r="N25" s="26" t="str">
        <f t="shared" si="2"/>
        <v xml:space="preserve"> </v>
      </c>
    </row>
    <row r="26" spans="1:14" ht="13.5" x14ac:dyDescent="0.25">
      <c r="A26" s="1129">
        <v>1200</v>
      </c>
      <c r="B26" s="3206" t="s">
        <v>361</v>
      </c>
      <c r="C26" s="3206"/>
      <c r="D26" s="398"/>
      <c r="E26" s="398"/>
      <c r="F26" s="649">
        <f>'905Hosp'!F27</f>
        <v>0</v>
      </c>
      <c r="H26" s="649" t="e">
        <f t="shared" si="3"/>
        <v>#N/A</v>
      </c>
      <c r="J26" s="413" t="e">
        <f t="shared" si="0"/>
        <v>#N/A</v>
      </c>
      <c r="L26" s="414" t="e">
        <f t="shared" si="1"/>
        <v>#N/A</v>
      </c>
      <c r="N26" s="26" t="str">
        <f t="shared" si="2"/>
        <v xml:space="preserve"> </v>
      </c>
    </row>
    <row r="27" spans="1:14" ht="13.5" x14ac:dyDescent="0.25">
      <c r="A27" s="335">
        <v>1220</v>
      </c>
      <c r="B27" s="3206" t="s">
        <v>931</v>
      </c>
      <c r="C27" s="3206"/>
      <c r="D27" s="398"/>
      <c r="E27" s="398"/>
      <c r="F27" s="649">
        <f>'905Hosp'!F28</f>
        <v>0</v>
      </c>
      <c r="H27" s="649" t="e">
        <f t="shared" si="3"/>
        <v>#N/A</v>
      </c>
      <c r="J27" s="413" t="e">
        <f t="shared" si="0"/>
        <v>#N/A</v>
      </c>
      <c r="L27" s="414" t="e">
        <f t="shared" si="1"/>
        <v>#N/A</v>
      </c>
      <c r="N27" s="26" t="str">
        <f t="shared" si="2"/>
        <v xml:space="preserve"> </v>
      </c>
    </row>
    <row r="28" spans="1:14" ht="13.5" x14ac:dyDescent="0.25">
      <c r="A28" s="335">
        <v>1230</v>
      </c>
      <c r="B28" s="3206" t="s">
        <v>631</v>
      </c>
      <c r="C28" s="3206"/>
      <c r="D28" s="398"/>
      <c r="E28" s="398"/>
      <c r="F28" s="649">
        <f>'905Hosp'!F29</f>
        <v>0</v>
      </c>
      <c r="H28" s="649" t="e">
        <f t="shared" si="3"/>
        <v>#N/A</v>
      </c>
      <c r="J28" s="413" t="e">
        <f t="shared" si="0"/>
        <v>#N/A</v>
      </c>
      <c r="L28" s="414" t="e">
        <f t="shared" si="1"/>
        <v>#N/A</v>
      </c>
      <c r="N28" s="26" t="str">
        <f t="shared" si="2"/>
        <v xml:space="preserve"> </v>
      </c>
    </row>
    <row r="29" spans="1:14" ht="12.75" customHeight="1" x14ac:dyDescent="0.25">
      <c r="A29" s="335">
        <v>1210</v>
      </c>
      <c r="B29" s="3206" t="s">
        <v>549</v>
      </c>
      <c r="C29" s="3206"/>
      <c r="D29" s="398"/>
      <c r="E29" s="398"/>
      <c r="F29" s="649">
        <f>'905Hosp'!F30</f>
        <v>0</v>
      </c>
      <c r="H29" s="649" t="e">
        <f t="shared" si="3"/>
        <v>#N/A</v>
      </c>
      <c r="J29" s="413" t="e">
        <f t="shared" si="0"/>
        <v>#N/A</v>
      </c>
      <c r="L29" s="414" t="e">
        <f t="shared" si="1"/>
        <v>#N/A</v>
      </c>
      <c r="N29" s="26" t="str">
        <f t="shared" si="2"/>
        <v xml:space="preserve"> </v>
      </c>
    </row>
    <row r="30" spans="1:14" s="2529" customFormat="1" ht="12.75" customHeight="1" x14ac:dyDescent="0.25">
      <c r="A30" s="2531">
        <v>1211</v>
      </c>
      <c r="B30" s="3307" t="s">
        <v>5531</v>
      </c>
      <c r="C30" s="3307"/>
      <c r="D30" s="2532"/>
      <c r="E30" s="2532"/>
      <c r="F30" s="649">
        <f>'905Hosp'!F31</f>
        <v>0</v>
      </c>
      <c r="H30" s="649" t="e">
        <f t="shared" si="3"/>
        <v>#N/A</v>
      </c>
      <c r="J30" s="413" t="e">
        <f t="shared" si="0"/>
        <v>#N/A</v>
      </c>
      <c r="L30" s="414" t="e">
        <f t="shared" si="1"/>
        <v>#N/A</v>
      </c>
      <c r="N30" s="2530" t="str">
        <f t="shared" si="2"/>
        <v xml:space="preserve"> </v>
      </c>
    </row>
    <row r="31" spans="1:14" ht="13.5" x14ac:dyDescent="0.25">
      <c r="A31" s="335">
        <v>1020</v>
      </c>
      <c r="B31" s="3357" t="s">
        <v>641</v>
      </c>
      <c r="C31" s="3357"/>
      <c r="D31" s="643"/>
      <c r="E31" s="643"/>
      <c r="F31" s="649">
        <f>'905Hosp'!F32</f>
        <v>0</v>
      </c>
      <c r="H31" s="649" t="e">
        <f t="shared" si="3"/>
        <v>#N/A</v>
      </c>
      <c r="J31" s="413" t="e">
        <f t="shared" si="0"/>
        <v>#N/A</v>
      </c>
      <c r="L31" s="414" t="e">
        <f t="shared" si="1"/>
        <v>#N/A</v>
      </c>
      <c r="N31" s="26" t="str">
        <f t="shared" si="2"/>
        <v xml:space="preserve"> </v>
      </c>
    </row>
    <row r="32" spans="1:14" ht="13.5" x14ac:dyDescent="0.25">
      <c r="A32" s="335">
        <v>1030</v>
      </c>
      <c r="B32" s="3206" t="s">
        <v>1532</v>
      </c>
      <c r="C32" s="3357"/>
      <c r="D32" s="643"/>
      <c r="E32" s="643"/>
      <c r="F32" s="649">
        <f>'905Hosp'!F33</f>
        <v>0</v>
      </c>
      <c r="H32" s="649" t="e">
        <f t="shared" si="3"/>
        <v>#N/A</v>
      </c>
      <c r="J32" s="413" t="e">
        <f>F32-H32</f>
        <v>#N/A</v>
      </c>
      <c r="L32" s="414" t="e">
        <f>IF(H32=0,0,J32/H32)</f>
        <v>#N/A</v>
      </c>
      <c r="N32" s="26" t="str">
        <f t="shared" si="2"/>
        <v xml:space="preserve"> </v>
      </c>
    </row>
    <row r="33" spans="1:15" ht="13.5" x14ac:dyDescent="0.25">
      <c r="A33" s="335">
        <v>1070</v>
      </c>
      <c r="B33" s="3206" t="s">
        <v>426</v>
      </c>
      <c r="C33" s="3206"/>
      <c r="D33" s="398"/>
      <c r="E33" s="398"/>
      <c r="F33" s="649">
        <f>'905Hosp'!F34</f>
        <v>0</v>
      </c>
      <c r="H33" s="649" t="e">
        <f t="shared" si="3"/>
        <v>#N/A</v>
      </c>
      <c r="J33" s="413" t="e">
        <f t="shared" si="0"/>
        <v>#N/A</v>
      </c>
      <c r="L33" s="414" t="e">
        <f t="shared" si="1"/>
        <v>#N/A</v>
      </c>
      <c r="N33" s="26" t="str">
        <f t="shared" si="2"/>
        <v xml:space="preserve"> </v>
      </c>
    </row>
    <row r="34" spans="1:15" ht="13.5" x14ac:dyDescent="0.25">
      <c r="A34" s="335">
        <v>1232</v>
      </c>
      <c r="B34" s="3206" t="s">
        <v>1346</v>
      </c>
      <c r="C34" s="3206"/>
      <c r="D34" s="398"/>
      <c r="E34" s="398"/>
      <c r="F34" s="393">
        <f>'905Hosp'!F35</f>
        <v>0</v>
      </c>
      <c r="H34" s="649" t="e">
        <f t="shared" si="3"/>
        <v>#N/A</v>
      </c>
      <c r="J34" s="413" t="e">
        <f t="shared" si="0"/>
        <v>#N/A</v>
      </c>
      <c r="L34" s="414" t="e">
        <f t="shared" si="1"/>
        <v>#N/A</v>
      </c>
      <c r="N34" s="26" t="str">
        <f t="shared" si="2"/>
        <v xml:space="preserve"> </v>
      </c>
    </row>
    <row r="35" spans="1:15" ht="13.5" x14ac:dyDescent="0.25">
      <c r="A35" s="335">
        <v>1235</v>
      </c>
      <c r="B35" s="3206" t="s">
        <v>4454</v>
      </c>
      <c r="C35" s="3206"/>
      <c r="D35" s="398"/>
      <c r="E35" s="398"/>
      <c r="F35" s="393">
        <f>'905Hosp'!F36</f>
        <v>0</v>
      </c>
      <c r="H35" s="649" t="e">
        <f t="shared" si="3"/>
        <v>#N/A</v>
      </c>
      <c r="J35" s="413" t="e">
        <f>F35-H35</f>
        <v>#N/A</v>
      </c>
      <c r="L35" s="414" t="e">
        <f>IF(H35=0,0,J35/H35)</f>
        <v>#N/A</v>
      </c>
      <c r="N35" s="26" t="str">
        <f>IF($F$84=0," ",IF(AND(ABS(J35)&gt;$L$3,ABS(L35)&gt;$L$2),"C",IF(AND(ABS(F35+H35)&gt;0,H35=0,ABS(J35)&gt;$L$3),"C"," ")))</f>
        <v xml:space="preserve"> </v>
      </c>
      <c r="O35" s="1610"/>
    </row>
    <row r="36" spans="1:15" ht="13.5" x14ac:dyDescent="0.25">
      <c r="A36" s="335">
        <v>1233</v>
      </c>
      <c r="B36" s="3206" t="s">
        <v>4450</v>
      </c>
      <c r="C36" s="3206"/>
      <c r="D36" s="398"/>
      <c r="E36" s="398"/>
      <c r="F36" s="393">
        <f>'905Hosp'!F37</f>
        <v>0</v>
      </c>
      <c r="H36" s="649" t="e">
        <f t="shared" si="3"/>
        <v>#N/A</v>
      </c>
      <c r="J36" s="413" t="e">
        <f t="shared" si="0"/>
        <v>#N/A</v>
      </c>
      <c r="L36" s="414" t="e">
        <f t="shared" si="1"/>
        <v>#N/A</v>
      </c>
      <c r="N36" s="26" t="str">
        <f t="shared" si="2"/>
        <v xml:space="preserve"> </v>
      </c>
      <c r="O36" s="1610"/>
    </row>
    <row r="37" spans="1:15" ht="13.5" x14ac:dyDescent="0.25">
      <c r="B37" s="3206" t="s">
        <v>639</v>
      </c>
      <c r="C37" s="3206"/>
      <c r="D37" s="398"/>
      <c r="E37" s="398"/>
      <c r="F37" s="661">
        <f>SUM(F13:F36)</f>
        <v>0</v>
      </c>
      <c r="H37" s="661" t="e">
        <f>SUM(H13:H36)</f>
        <v>#N/A</v>
      </c>
      <c r="J37" s="413" t="e">
        <f t="shared" si="0"/>
        <v>#N/A</v>
      </c>
      <c r="L37" s="414" t="e">
        <f t="shared" si="1"/>
        <v>#N/A</v>
      </c>
    </row>
    <row r="38" spans="1:15" ht="6" customHeight="1" x14ac:dyDescent="0.25">
      <c r="B38" s="415"/>
      <c r="C38" s="415"/>
      <c r="D38" s="415"/>
      <c r="E38" s="415"/>
      <c r="L38" s="414"/>
    </row>
    <row r="39" spans="1:15" ht="10.5" customHeight="1" x14ac:dyDescent="0.25">
      <c r="B39" s="395" t="s">
        <v>640</v>
      </c>
      <c r="C39" s="395"/>
      <c r="D39" s="395"/>
      <c r="E39" s="395"/>
      <c r="L39" s="414"/>
    </row>
    <row r="40" spans="1:15" ht="12" customHeight="1" x14ac:dyDescent="0.25">
      <c r="A40" s="335">
        <v>1300</v>
      </c>
      <c r="B40" s="3206" t="s">
        <v>548</v>
      </c>
      <c r="C40" s="3206"/>
      <c r="D40" s="398"/>
      <c r="E40" s="398"/>
      <c r="F40" s="649">
        <f>'905Hosp'!F41</f>
        <v>0</v>
      </c>
      <c r="H40" s="649" t="e">
        <f>INDEX(PY905Data,MATCH($A40,PY905Row,0),MATCH($C$5,PY905Col,0))</f>
        <v>#N/A</v>
      </c>
      <c r="J40" s="413" t="e">
        <f>F40-H40</f>
        <v>#N/A</v>
      </c>
      <c r="L40" s="414" t="e">
        <f>IF(H40=0,0,J40/H40)</f>
        <v>#N/A</v>
      </c>
      <c r="N40" s="26" t="str">
        <f t="shared" ref="N40:N66" si="4">IF($F$84=0," ",IF(AND(ABS(J40)&gt;$L$3,ABS(L40)&gt;$L$2),"C",IF(AND(ABS(F40+H40)&gt;0,H40=0,ABS(J40)&gt;$L$3),"C"," ")))</f>
        <v xml:space="preserve"> </v>
      </c>
    </row>
    <row r="41" spans="1:15" ht="13.5" x14ac:dyDescent="0.25">
      <c r="A41" s="335">
        <v>1310</v>
      </c>
      <c r="B41" s="3206" t="s">
        <v>1297</v>
      </c>
      <c r="C41" s="3206"/>
      <c r="D41" s="398"/>
      <c r="E41" s="398"/>
      <c r="F41" s="649">
        <f>'905Hosp'!F42</f>
        <v>0</v>
      </c>
      <c r="H41" s="649" t="e">
        <f>INDEX(PY905Data,MATCH($A41,PY905Row,0),MATCH($C$5,PY905Col,0))</f>
        <v>#N/A</v>
      </c>
      <c r="J41" s="413" t="e">
        <f>F41-H41</f>
        <v>#N/A</v>
      </c>
      <c r="L41" s="414" t="e">
        <f>IF(H41=0,0,J41/H41)</f>
        <v>#N/A</v>
      </c>
      <c r="N41" s="26" t="str">
        <f t="shared" si="4"/>
        <v xml:space="preserve"> </v>
      </c>
    </row>
    <row r="42" spans="1:15" ht="11.25" customHeight="1" x14ac:dyDescent="0.25">
      <c r="A42" s="335"/>
      <c r="B42" s="335" t="s">
        <v>198</v>
      </c>
      <c r="C42" s="335"/>
      <c r="D42" s="335"/>
      <c r="E42" s="335"/>
      <c r="J42" s="413"/>
      <c r="L42" s="414"/>
    </row>
    <row r="43" spans="1:15" ht="13.5" x14ac:dyDescent="0.25">
      <c r="A43" s="335">
        <v>1340</v>
      </c>
      <c r="B43" s="3355" t="s">
        <v>199</v>
      </c>
      <c r="C43" s="3355"/>
      <c r="D43" s="399"/>
      <c r="E43" s="399"/>
      <c r="F43" s="649">
        <f>'905Hosp'!F44</f>
        <v>0</v>
      </c>
      <c r="H43" s="649" t="e">
        <f t="shared" ref="H43:H53" si="5">INDEX(PY905Data,MATCH($A43,PY905Row,0),MATCH($C$5,PY905Col,0))</f>
        <v>#N/A</v>
      </c>
      <c r="J43" s="413" t="e">
        <f t="shared" ref="J43:J59" si="6">F43-H43</f>
        <v>#N/A</v>
      </c>
      <c r="L43" s="414" t="e">
        <f t="shared" ref="L43:L59" si="7">IF(H43=0,0,J43/H43)</f>
        <v>#N/A</v>
      </c>
      <c r="N43" s="26" t="str">
        <f t="shared" si="4"/>
        <v xml:space="preserve"> </v>
      </c>
    </row>
    <row r="44" spans="1:15" ht="13.5" x14ac:dyDescent="0.25">
      <c r="A44" s="335">
        <v>1345</v>
      </c>
      <c r="B44" s="3355" t="s">
        <v>312</v>
      </c>
      <c r="C44" s="3355"/>
      <c r="D44" s="399"/>
      <c r="E44" s="399"/>
      <c r="F44" s="649">
        <f>'905Hosp'!F45</f>
        <v>0</v>
      </c>
      <c r="H44" s="649" t="e">
        <f t="shared" si="5"/>
        <v>#N/A</v>
      </c>
      <c r="J44" s="413" t="e">
        <f t="shared" si="6"/>
        <v>#N/A</v>
      </c>
      <c r="L44" s="414" t="e">
        <f t="shared" si="7"/>
        <v>#N/A</v>
      </c>
      <c r="N44" s="26" t="str">
        <f t="shared" si="4"/>
        <v xml:space="preserve"> </v>
      </c>
    </row>
    <row r="45" spans="1:15" ht="13.5" x14ac:dyDescent="0.25">
      <c r="A45" s="335">
        <v>1350</v>
      </c>
      <c r="B45" s="3355" t="s">
        <v>200</v>
      </c>
      <c r="C45" s="3355"/>
      <c r="D45" s="399"/>
      <c r="E45" s="399"/>
      <c r="F45" s="649">
        <f>'905Hosp'!F46</f>
        <v>0</v>
      </c>
      <c r="H45" s="649" t="e">
        <f t="shared" si="5"/>
        <v>#N/A</v>
      </c>
      <c r="J45" s="413" t="e">
        <f t="shared" si="6"/>
        <v>#N/A</v>
      </c>
      <c r="L45" s="414" t="e">
        <f t="shared" si="7"/>
        <v>#N/A</v>
      </c>
      <c r="N45" s="26" t="str">
        <f t="shared" si="4"/>
        <v xml:space="preserve"> </v>
      </c>
    </row>
    <row r="46" spans="1:15" ht="13.5" x14ac:dyDescent="0.25">
      <c r="A46" s="335">
        <v>1370</v>
      </c>
      <c r="B46" s="3355" t="s">
        <v>637</v>
      </c>
      <c r="C46" s="3355"/>
      <c r="D46" s="399"/>
      <c r="E46" s="399"/>
      <c r="F46" s="649">
        <f>'905Hosp'!F47</f>
        <v>0</v>
      </c>
      <c r="H46" s="649" t="e">
        <f t="shared" si="5"/>
        <v>#N/A</v>
      </c>
      <c r="J46" s="413" t="e">
        <f t="shared" si="6"/>
        <v>#N/A</v>
      </c>
      <c r="L46" s="414" t="e">
        <f t="shared" si="7"/>
        <v>#N/A</v>
      </c>
      <c r="N46" s="26" t="str">
        <f t="shared" si="4"/>
        <v xml:space="preserve"> </v>
      </c>
    </row>
    <row r="47" spans="1:15" ht="13.5" x14ac:dyDescent="0.25">
      <c r="A47" s="335">
        <v>1400</v>
      </c>
      <c r="B47" s="3206" t="s">
        <v>549</v>
      </c>
      <c r="C47" s="3206"/>
      <c r="D47" s="398"/>
      <c r="E47" s="398"/>
      <c r="F47" s="649">
        <f>'905Hosp'!F48</f>
        <v>0</v>
      </c>
      <c r="H47" s="649" t="e">
        <f t="shared" si="5"/>
        <v>#N/A</v>
      </c>
      <c r="J47" s="413" t="e">
        <f t="shared" si="6"/>
        <v>#N/A</v>
      </c>
      <c r="L47" s="414" t="e">
        <f>IF(H47=0,0,J47/H47)</f>
        <v>#N/A</v>
      </c>
      <c r="N47" s="26" t="str">
        <f>IF($F$84=0," ",IF(AND(ABS(J47)&gt;$L$3,ABS(L47)&gt;$L$2),"C",IF(AND(ABS(F47+H47)&gt;0,H47=0,ABS(J47)&gt;$L$3),"C"," ")))</f>
        <v xml:space="preserve"> </v>
      </c>
    </row>
    <row r="48" spans="1:15" s="2529" customFormat="1" ht="13.5" x14ac:dyDescent="0.25">
      <c r="A48" s="2531">
        <v>1401</v>
      </c>
      <c r="B48" s="3307" t="s">
        <v>5531</v>
      </c>
      <c r="C48" s="3307"/>
      <c r="D48" s="2532"/>
      <c r="E48" s="2532"/>
      <c r="F48" s="649">
        <f>'905Hosp'!F49</f>
        <v>0</v>
      </c>
      <c r="H48" s="649" t="e">
        <f t="shared" si="5"/>
        <v>#N/A</v>
      </c>
      <c r="J48" s="413" t="e">
        <f t="shared" si="6"/>
        <v>#N/A</v>
      </c>
      <c r="L48" s="414" t="e">
        <f>IF(H48=0,0,J48/H48)</f>
        <v>#N/A</v>
      </c>
      <c r="N48" s="2530" t="str">
        <f>IF($F$84=0," ",IF(AND(ABS(J48)&gt;$L$3,ABS(L48)&gt;$L$2),"C",IF(AND(ABS(F48+H48)&gt;0,H48=0,ABS(J48)&gt;$L$3),"C"," ")))</f>
        <v xml:space="preserve"> </v>
      </c>
    </row>
    <row r="49" spans="1:15" ht="13.5" x14ac:dyDescent="0.25">
      <c r="A49" s="335">
        <v>1415</v>
      </c>
      <c r="B49" s="3206" t="s">
        <v>1417</v>
      </c>
      <c r="C49" s="3206"/>
      <c r="D49" s="398"/>
      <c r="E49" s="398"/>
      <c r="F49" s="649">
        <f>'905Hosp'!F50</f>
        <v>0</v>
      </c>
      <c r="H49" s="649" t="e">
        <f t="shared" si="5"/>
        <v>#N/A</v>
      </c>
      <c r="J49" s="413" t="e">
        <f t="shared" si="6"/>
        <v>#N/A</v>
      </c>
      <c r="L49" s="414" t="e">
        <f t="shared" si="7"/>
        <v>#N/A</v>
      </c>
      <c r="N49" s="26" t="str">
        <f t="shared" si="4"/>
        <v xml:space="preserve"> </v>
      </c>
    </row>
    <row r="50" spans="1:15" ht="13.5" x14ac:dyDescent="0.25">
      <c r="A50" s="335">
        <v>1420</v>
      </c>
      <c r="B50" s="3206" t="s">
        <v>3703</v>
      </c>
      <c r="C50" s="3206"/>
      <c r="D50" s="398"/>
      <c r="E50" s="398"/>
      <c r="F50" s="649">
        <f>'905Hosp'!F51</f>
        <v>0</v>
      </c>
      <c r="H50" s="649" t="e">
        <f t="shared" si="5"/>
        <v>#N/A</v>
      </c>
      <c r="J50" s="413" t="e">
        <f t="shared" si="6"/>
        <v>#N/A</v>
      </c>
      <c r="L50" s="414" t="e">
        <f t="shared" si="7"/>
        <v>#N/A</v>
      </c>
      <c r="N50" s="26" t="str">
        <f t="shared" si="4"/>
        <v xml:space="preserve"> </v>
      </c>
    </row>
    <row r="51" spans="1:15" ht="13.5" x14ac:dyDescent="0.25">
      <c r="A51" s="335">
        <v>1270</v>
      </c>
      <c r="B51" s="3206" t="s">
        <v>641</v>
      </c>
      <c r="C51" s="3206"/>
      <c r="D51" s="398"/>
      <c r="E51" s="398"/>
      <c r="F51" s="649">
        <f>'905Hosp'!F52</f>
        <v>0</v>
      </c>
      <c r="H51" s="649" t="e">
        <f t="shared" si="5"/>
        <v>#N/A</v>
      </c>
      <c r="J51" s="413" t="e">
        <f t="shared" si="6"/>
        <v>#N/A</v>
      </c>
      <c r="L51" s="414" t="e">
        <f t="shared" si="7"/>
        <v>#N/A</v>
      </c>
      <c r="N51" s="26" t="str">
        <f t="shared" si="4"/>
        <v xml:space="preserve"> </v>
      </c>
    </row>
    <row r="52" spans="1:15" ht="13.5" x14ac:dyDescent="0.25">
      <c r="A52" s="335">
        <v>1280</v>
      </c>
      <c r="B52" s="3206" t="s">
        <v>1422</v>
      </c>
      <c r="C52" s="3206"/>
      <c r="D52" s="398"/>
      <c r="E52" s="398"/>
      <c r="F52" s="649">
        <f>'905Hosp'!F53</f>
        <v>0</v>
      </c>
      <c r="H52" s="649" t="e">
        <f t="shared" si="5"/>
        <v>#N/A</v>
      </c>
      <c r="J52" s="413" t="e">
        <f t="shared" si="6"/>
        <v>#N/A</v>
      </c>
      <c r="L52" s="414" t="e">
        <f t="shared" si="7"/>
        <v>#N/A</v>
      </c>
      <c r="N52" s="26" t="str">
        <f t="shared" si="4"/>
        <v xml:space="preserve"> </v>
      </c>
    </row>
    <row r="53" spans="1:15" ht="13.5" x14ac:dyDescent="0.25">
      <c r="A53" s="335">
        <v>1410</v>
      </c>
      <c r="B53" s="3206" t="s">
        <v>642</v>
      </c>
      <c r="C53" s="3206"/>
      <c r="D53" s="398"/>
      <c r="E53" s="398"/>
      <c r="F53" s="649">
        <f>'905Hosp'!F54</f>
        <v>0</v>
      </c>
      <c r="H53" s="649" t="e">
        <f t="shared" si="5"/>
        <v>#N/A</v>
      </c>
      <c r="J53" s="413" t="e">
        <f t="shared" si="6"/>
        <v>#N/A</v>
      </c>
      <c r="L53" s="414" t="e">
        <f t="shared" si="7"/>
        <v>#N/A</v>
      </c>
      <c r="N53" s="26" t="str">
        <f t="shared" si="4"/>
        <v xml:space="preserve"> </v>
      </c>
    </row>
    <row r="54" spans="1:15" ht="12" customHeight="1" x14ac:dyDescent="0.25">
      <c r="A54" s="335"/>
      <c r="B54" s="3206" t="s">
        <v>1224</v>
      </c>
      <c r="C54" s="3206"/>
      <c r="D54" s="398"/>
      <c r="E54" s="398"/>
      <c r="F54" s="649">
        <f>'905Hosp'!F55</f>
        <v>0</v>
      </c>
      <c r="J54" s="413">
        <f t="shared" si="6"/>
        <v>0</v>
      </c>
      <c r="L54" s="414">
        <f t="shared" si="7"/>
        <v>0</v>
      </c>
      <c r="N54" s="26" t="str">
        <f t="shared" si="4"/>
        <v xml:space="preserve"> </v>
      </c>
    </row>
    <row r="55" spans="1:15" ht="13.5" x14ac:dyDescent="0.25">
      <c r="A55" s="1129">
        <v>1395</v>
      </c>
      <c r="B55" s="3206" t="s">
        <v>1213</v>
      </c>
      <c r="C55" s="3206"/>
      <c r="D55" s="398"/>
      <c r="E55" s="398"/>
      <c r="F55" s="649">
        <f>'905Hosp'!F56</f>
        <v>0</v>
      </c>
      <c r="H55" s="649" t="e">
        <f>INDEX(PY905Data,MATCH($A55,PY905Row,0),MATCH($C$5,PY905Col,0))</f>
        <v>#N/A</v>
      </c>
      <c r="J55" s="413" t="e">
        <f t="shared" si="6"/>
        <v>#N/A</v>
      </c>
      <c r="L55" s="414" t="e">
        <f t="shared" si="7"/>
        <v>#N/A</v>
      </c>
      <c r="N55" s="26" t="str">
        <f t="shared" si="4"/>
        <v xml:space="preserve"> </v>
      </c>
    </row>
    <row r="56" spans="1:15" ht="13.5" x14ac:dyDescent="0.25">
      <c r="A56" s="1129">
        <v>1390</v>
      </c>
      <c r="B56" s="3206" t="s">
        <v>646</v>
      </c>
      <c r="C56" s="3206"/>
      <c r="D56" s="398"/>
      <c r="E56" s="398"/>
      <c r="F56" s="649">
        <f>'905Hosp'!F57</f>
        <v>0</v>
      </c>
      <c r="H56" s="649" t="e">
        <f>INDEX(PY905Data,MATCH($A56,PY905Row,0),MATCH($C$5,PY905Col,0))</f>
        <v>#N/A</v>
      </c>
      <c r="J56" s="413" t="e">
        <f t="shared" si="6"/>
        <v>#N/A</v>
      </c>
      <c r="L56" s="414" t="e">
        <f t="shared" si="7"/>
        <v>#N/A</v>
      </c>
      <c r="N56" s="26" t="str">
        <f t="shared" si="4"/>
        <v xml:space="preserve"> </v>
      </c>
    </row>
    <row r="57" spans="1:15" ht="13.5" x14ac:dyDescent="0.25">
      <c r="A57" s="335">
        <v>1432</v>
      </c>
      <c r="B57" s="3206" t="s">
        <v>1346</v>
      </c>
      <c r="C57" s="3206"/>
      <c r="D57" s="398"/>
      <c r="E57" s="398"/>
      <c r="F57" s="649">
        <f>'905Hosp'!F58</f>
        <v>0</v>
      </c>
      <c r="H57" s="649" t="e">
        <f>INDEX(PY905Data,MATCH($A57,PY905Row,0),MATCH($C$5,PY905Col,0))</f>
        <v>#N/A</v>
      </c>
      <c r="J57" s="413" t="e">
        <f>F57-H57</f>
        <v>#N/A</v>
      </c>
      <c r="L57" s="414" t="e">
        <f>IF(H57=0,0,J57/H57)</f>
        <v>#N/A</v>
      </c>
      <c r="N57" s="26" t="str">
        <f>IF($F$84=0," ",IF(AND(ABS(J57)&gt;$L$3,ABS(L57)&gt;$L$2),"C",IF(AND(ABS(F57+H57)&gt;0,H57=0,ABS(J57)&gt;$L$3),"C"," ")))</f>
        <v xml:space="preserve"> </v>
      </c>
    </row>
    <row r="58" spans="1:15" ht="13.5" x14ac:dyDescent="0.25">
      <c r="A58" s="335">
        <v>1434</v>
      </c>
      <c r="B58" s="3206" t="s">
        <v>4454</v>
      </c>
      <c r="C58" s="3206"/>
      <c r="D58" s="398"/>
      <c r="E58" s="398"/>
      <c r="F58" s="649">
        <f>'905Hosp'!F59</f>
        <v>0</v>
      </c>
      <c r="H58" s="649" t="e">
        <f>INDEX(PY905Data,MATCH($A58,PY905Row,0),MATCH($C$5,PY905Col,0))</f>
        <v>#N/A</v>
      </c>
      <c r="J58" s="413" t="e">
        <f>F58-H58</f>
        <v>#N/A</v>
      </c>
      <c r="L58" s="414" t="e">
        <f>IF(H58=0,0,J58/H58)</f>
        <v>#N/A</v>
      </c>
      <c r="N58" s="26" t="str">
        <f>IF($F$84=0," ",IF(AND(ABS(J58)&gt;$L$3,ABS(L58)&gt;$L$2),"C",IF(AND(ABS(F58+H58)&gt;0,H58=0,ABS(J58)&gt;$L$3),"C"," ")))</f>
        <v xml:space="preserve"> </v>
      </c>
      <c r="O58" s="1610"/>
    </row>
    <row r="59" spans="1:15" ht="13.5" x14ac:dyDescent="0.25">
      <c r="A59" s="335">
        <v>1433</v>
      </c>
      <c r="B59" s="3206" t="s">
        <v>4450</v>
      </c>
      <c r="C59" s="3206"/>
      <c r="D59" s="398"/>
      <c r="E59" s="398"/>
      <c r="F59" s="649">
        <f>'905Hosp'!F60</f>
        <v>0</v>
      </c>
      <c r="H59" s="649" t="e">
        <f>INDEX(PY905Data,MATCH($A59,PY905Row,0),MATCH($C$5,PY905Col,0))</f>
        <v>#N/A</v>
      </c>
      <c r="J59" s="413" t="e">
        <f t="shared" si="6"/>
        <v>#N/A</v>
      </c>
      <c r="L59" s="414" t="e">
        <f t="shared" si="7"/>
        <v>#N/A</v>
      </c>
      <c r="N59" s="26" t="str">
        <f t="shared" si="4"/>
        <v xml:space="preserve"> </v>
      </c>
      <c r="O59" s="1610"/>
    </row>
    <row r="60" spans="1:15" ht="12.75" customHeight="1" x14ac:dyDescent="0.25">
      <c r="A60" s="335"/>
      <c r="B60" s="335" t="s">
        <v>1533</v>
      </c>
      <c r="C60" s="335"/>
      <c r="D60" s="335"/>
      <c r="E60" s="335"/>
      <c r="J60" s="413"/>
      <c r="L60" s="414"/>
    </row>
    <row r="61" spans="1:15" ht="13.5" x14ac:dyDescent="0.25">
      <c r="A61" s="1129">
        <v>1480</v>
      </c>
      <c r="B61" s="3355" t="s">
        <v>1407</v>
      </c>
      <c r="C61" s="3355"/>
      <c r="D61" s="399"/>
      <c r="E61" s="399"/>
      <c r="F61" s="649">
        <f>'905Hosp'!F62</f>
        <v>0</v>
      </c>
      <c r="H61" s="649" t="e">
        <f t="shared" ref="H61:H66" si="8">INDEX(PY905Data,MATCH($A61,PY905Row,0),MATCH($C$5,PY905Col,0))</f>
        <v>#N/A</v>
      </c>
      <c r="J61" s="413" t="e">
        <f t="shared" ref="J61:J67" si="9">F61-H61</f>
        <v>#N/A</v>
      </c>
      <c r="L61" s="414" t="e">
        <f t="shared" ref="L61:L67" si="10">IF(H61=0,0,J61/H61)</f>
        <v>#N/A</v>
      </c>
      <c r="N61" s="26" t="str">
        <f t="shared" si="4"/>
        <v xml:space="preserve"> </v>
      </c>
    </row>
    <row r="62" spans="1:15" ht="13.5" x14ac:dyDescent="0.25">
      <c r="A62" s="1129">
        <v>1490</v>
      </c>
      <c r="B62" s="3355" t="s">
        <v>1408</v>
      </c>
      <c r="C62" s="3355"/>
      <c r="D62" s="399"/>
      <c r="E62" s="399"/>
      <c r="F62" s="649">
        <f>'905Hosp'!F63</f>
        <v>0</v>
      </c>
      <c r="H62" s="649" t="e">
        <f t="shared" si="8"/>
        <v>#N/A</v>
      </c>
      <c r="J62" s="413" t="e">
        <f t="shared" si="9"/>
        <v>#N/A</v>
      </c>
      <c r="L62" s="414" t="e">
        <f t="shared" si="10"/>
        <v>#N/A</v>
      </c>
      <c r="N62" s="26" t="str">
        <f t="shared" si="4"/>
        <v xml:space="preserve"> </v>
      </c>
    </row>
    <row r="63" spans="1:15" ht="13.5" x14ac:dyDescent="0.25">
      <c r="A63" s="1129">
        <v>1500</v>
      </c>
      <c r="B63" s="3355" t="s">
        <v>1409</v>
      </c>
      <c r="C63" s="3355"/>
      <c r="D63" s="399"/>
      <c r="E63" s="399"/>
      <c r="F63" s="649">
        <f>'905Hosp'!F64</f>
        <v>0</v>
      </c>
      <c r="H63" s="649" t="e">
        <f t="shared" si="8"/>
        <v>#N/A</v>
      </c>
      <c r="J63" s="413" t="e">
        <f t="shared" si="9"/>
        <v>#N/A</v>
      </c>
      <c r="L63" s="414" t="e">
        <f t="shared" si="10"/>
        <v>#N/A</v>
      </c>
      <c r="N63" s="26" t="str">
        <f t="shared" si="4"/>
        <v xml:space="preserve"> </v>
      </c>
    </row>
    <row r="64" spans="1:15" ht="13.5" x14ac:dyDescent="0.25">
      <c r="A64" s="1129">
        <v>1503</v>
      </c>
      <c r="B64" s="3355" t="s">
        <v>1534</v>
      </c>
      <c r="C64" s="3355"/>
      <c r="D64" s="399"/>
      <c r="E64" s="399"/>
      <c r="F64" s="649">
        <f>'905Hosp'!F65</f>
        <v>0</v>
      </c>
      <c r="H64" s="649" t="e">
        <f t="shared" si="8"/>
        <v>#N/A</v>
      </c>
      <c r="J64" s="413" t="e">
        <f t="shared" si="9"/>
        <v>#N/A</v>
      </c>
      <c r="L64" s="414" t="e">
        <f t="shared" si="10"/>
        <v>#N/A</v>
      </c>
      <c r="N64" s="26" t="str">
        <f t="shared" si="4"/>
        <v xml:space="preserve"> </v>
      </c>
    </row>
    <row r="65" spans="1:14" ht="12.75" customHeight="1" x14ac:dyDescent="0.25">
      <c r="A65" s="1129">
        <v>1505</v>
      </c>
      <c r="B65" s="3355" t="s">
        <v>1410</v>
      </c>
      <c r="C65" s="3355"/>
      <c r="D65" s="399"/>
      <c r="E65" s="399"/>
      <c r="F65" s="649">
        <f>'905Hosp'!F66</f>
        <v>0</v>
      </c>
      <c r="H65" s="649" t="e">
        <f t="shared" si="8"/>
        <v>#N/A</v>
      </c>
      <c r="J65" s="413" t="e">
        <f t="shared" si="9"/>
        <v>#N/A</v>
      </c>
      <c r="L65" s="414" t="e">
        <f t="shared" si="10"/>
        <v>#N/A</v>
      </c>
      <c r="N65" s="26" t="str">
        <f t="shared" si="4"/>
        <v xml:space="preserve"> </v>
      </c>
    </row>
    <row r="66" spans="1:14" ht="12.75" customHeight="1" x14ac:dyDescent="0.25">
      <c r="A66" s="1129">
        <v>1506</v>
      </c>
      <c r="B66" s="3355" t="s">
        <v>1806</v>
      </c>
      <c r="C66" s="3355"/>
      <c r="D66" s="399"/>
      <c r="E66" s="399"/>
      <c r="F66" s="651">
        <f>'905Hosp'!F67</f>
        <v>0</v>
      </c>
      <c r="H66" s="649" t="e">
        <f t="shared" si="8"/>
        <v>#N/A</v>
      </c>
      <c r="J66" s="413" t="e">
        <f>F66-H66</f>
        <v>#N/A</v>
      </c>
      <c r="L66" s="414" t="e">
        <f>IF(H66=0,0,J66/H66)</f>
        <v>#N/A</v>
      </c>
      <c r="N66" s="26" t="str">
        <f t="shared" si="4"/>
        <v xml:space="preserve"> </v>
      </c>
    </row>
    <row r="67" spans="1:14" ht="13.5" x14ac:dyDescent="0.25">
      <c r="A67" s="335"/>
      <c r="B67" s="3206" t="s">
        <v>1535</v>
      </c>
      <c r="C67" s="3206"/>
      <c r="D67" s="398"/>
      <c r="E67" s="398"/>
      <c r="F67" s="661">
        <f>SUM(F61:F66)</f>
        <v>0</v>
      </c>
      <c r="H67" s="661" t="e">
        <f>SUM(H61:H66)</f>
        <v>#N/A</v>
      </c>
      <c r="J67" s="413" t="e">
        <f t="shared" si="9"/>
        <v>#N/A</v>
      </c>
      <c r="L67" s="414" t="e">
        <f t="shared" si="10"/>
        <v>#N/A</v>
      </c>
    </row>
    <row r="68" spans="1:14" ht="11.25" customHeight="1" x14ac:dyDescent="0.25">
      <c r="A68" s="335"/>
      <c r="B68" s="335" t="s">
        <v>1536</v>
      </c>
      <c r="C68" s="335"/>
      <c r="D68" s="335"/>
      <c r="E68" s="335"/>
      <c r="J68" s="413"/>
      <c r="L68" s="414"/>
    </row>
    <row r="69" spans="1:14" ht="13.5" x14ac:dyDescent="0.25">
      <c r="A69" s="1129">
        <v>1520</v>
      </c>
      <c r="B69" s="3355" t="s">
        <v>617</v>
      </c>
      <c r="C69" s="3355"/>
      <c r="D69" s="399"/>
      <c r="E69" s="399"/>
      <c r="F69" s="649">
        <f>'905Hosp'!F70</f>
        <v>0</v>
      </c>
      <c r="H69" s="649" t="e">
        <f t="shared" ref="H69:H80" si="11">INDEX(PY905Data,MATCH($A69,PY905Row,0),MATCH($C$5,PY905Col,0))</f>
        <v>#N/A</v>
      </c>
      <c r="J69" s="413" t="e">
        <f t="shared" ref="J69:J82" si="12">F69-H69</f>
        <v>#N/A</v>
      </c>
      <c r="L69" s="414" t="e">
        <f t="shared" ref="L69:L82" si="13">IF(H69=0,0,J69/H69)</f>
        <v>#N/A</v>
      </c>
      <c r="N69" s="26" t="str">
        <f t="shared" ref="N69:N80" si="14">IF($F$84=0," ",IF(AND(ABS(J69)&gt;$L$3,ABS(L69)&gt;$L$2),"C",IF(AND(ABS(F69+H69)&gt;0,H69=0,ABS(J69)&gt;$L$3),"C"," ")))</f>
        <v xml:space="preserve"> </v>
      </c>
    </row>
    <row r="70" spans="1:14" ht="13.5" x14ac:dyDescent="0.25">
      <c r="A70" s="1129">
        <v>1530</v>
      </c>
      <c r="B70" s="3355" t="s">
        <v>1411</v>
      </c>
      <c r="C70" s="3355"/>
      <c r="D70" s="399"/>
      <c r="E70" s="399"/>
      <c r="F70" s="649">
        <f>'905Hosp'!F71</f>
        <v>0</v>
      </c>
      <c r="H70" s="649" t="e">
        <f t="shared" si="11"/>
        <v>#N/A</v>
      </c>
      <c r="J70" s="413" t="e">
        <f t="shared" si="12"/>
        <v>#N/A</v>
      </c>
      <c r="L70" s="414" t="e">
        <f t="shared" si="13"/>
        <v>#N/A</v>
      </c>
      <c r="N70" s="26" t="str">
        <f t="shared" si="14"/>
        <v xml:space="preserve"> </v>
      </c>
    </row>
    <row r="71" spans="1:14" ht="13.5" x14ac:dyDescent="0.25">
      <c r="A71" s="1129">
        <v>1540</v>
      </c>
      <c r="B71" s="3355" t="s">
        <v>1537</v>
      </c>
      <c r="C71" s="3355"/>
      <c r="D71" s="399"/>
      <c r="E71" s="399"/>
      <c r="F71" s="649">
        <f>'905Hosp'!F72</f>
        <v>0</v>
      </c>
      <c r="H71" s="649" t="e">
        <f t="shared" si="11"/>
        <v>#N/A</v>
      </c>
      <c r="J71" s="413" t="e">
        <f t="shared" si="12"/>
        <v>#N/A</v>
      </c>
      <c r="L71" s="414" t="e">
        <f t="shared" si="13"/>
        <v>#N/A</v>
      </c>
      <c r="N71" s="26" t="str">
        <f t="shared" si="14"/>
        <v xml:space="preserve"> </v>
      </c>
    </row>
    <row r="72" spans="1:14" ht="13.5" x14ac:dyDescent="0.25">
      <c r="A72" s="1129">
        <v>1550</v>
      </c>
      <c r="B72" s="3355" t="s">
        <v>1412</v>
      </c>
      <c r="C72" s="3355"/>
      <c r="D72" s="399"/>
      <c r="E72" s="399"/>
      <c r="F72" s="649">
        <f>'905Hosp'!F73</f>
        <v>0</v>
      </c>
      <c r="H72" s="649" t="e">
        <f t="shared" si="11"/>
        <v>#N/A</v>
      </c>
      <c r="J72" s="413" t="e">
        <f t="shared" si="12"/>
        <v>#N/A</v>
      </c>
      <c r="L72" s="414" t="e">
        <f t="shared" si="13"/>
        <v>#N/A</v>
      </c>
      <c r="N72" s="26" t="str">
        <f t="shared" si="14"/>
        <v xml:space="preserve"> </v>
      </c>
    </row>
    <row r="73" spans="1:14" s="2529" customFormat="1" ht="13.5" x14ac:dyDescent="0.25">
      <c r="A73" s="1129">
        <v>1481</v>
      </c>
      <c r="B73" s="3354" t="s">
        <v>5532</v>
      </c>
      <c r="C73" s="3354"/>
      <c r="D73" s="2535"/>
      <c r="E73" s="2535"/>
      <c r="F73" s="649">
        <f>'905Hosp'!F74</f>
        <v>0</v>
      </c>
      <c r="H73" s="649" t="e">
        <f t="shared" si="11"/>
        <v>#N/A</v>
      </c>
      <c r="J73" s="413" t="e">
        <f t="shared" si="12"/>
        <v>#N/A</v>
      </c>
      <c r="L73" s="414" t="e">
        <f t="shared" si="13"/>
        <v>#N/A</v>
      </c>
      <c r="N73" s="2530" t="str">
        <f t="shared" si="14"/>
        <v xml:space="preserve"> </v>
      </c>
    </row>
    <row r="74" spans="1:14" s="2529" customFormat="1" ht="13.5" x14ac:dyDescent="0.25">
      <c r="A74" s="1129">
        <v>1521</v>
      </c>
      <c r="B74" s="3354" t="s">
        <v>5533</v>
      </c>
      <c r="C74" s="3354"/>
      <c r="D74" s="2535"/>
      <c r="E74" s="2535"/>
      <c r="F74" s="649">
        <f>'905Hosp'!F75</f>
        <v>0</v>
      </c>
      <c r="H74" s="649" t="e">
        <f t="shared" si="11"/>
        <v>#N/A</v>
      </c>
      <c r="J74" s="413" t="e">
        <f t="shared" si="12"/>
        <v>#N/A</v>
      </c>
      <c r="L74" s="414" t="e">
        <f t="shared" si="13"/>
        <v>#N/A</v>
      </c>
      <c r="N74" s="2530" t="str">
        <f t="shared" si="14"/>
        <v xml:space="preserve"> </v>
      </c>
    </row>
    <row r="75" spans="1:14" s="2529" customFormat="1" ht="13.5" x14ac:dyDescent="0.25">
      <c r="A75" s="1129">
        <v>1531</v>
      </c>
      <c r="B75" s="3354" t="s">
        <v>5534</v>
      </c>
      <c r="C75" s="3354"/>
      <c r="D75" s="2535"/>
      <c r="E75" s="2535"/>
      <c r="F75" s="649">
        <f>'905Hosp'!F76</f>
        <v>0</v>
      </c>
      <c r="H75" s="649" t="e">
        <f t="shared" si="11"/>
        <v>#N/A</v>
      </c>
      <c r="J75" s="413" t="e">
        <f t="shared" si="12"/>
        <v>#N/A</v>
      </c>
      <c r="L75" s="414" t="e">
        <f t="shared" si="13"/>
        <v>#N/A</v>
      </c>
      <c r="N75" s="2530" t="str">
        <f t="shared" si="14"/>
        <v xml:space="preserve"> </v>
      </c>
    </row>
    <row r="76" spans="1:14" s="2529" customFormat="1" ht="13.5" x14ac:dyDescent="0.25">
      <c r="A76" s="1129">
        <v>1551</v>
      </c>
      <c r="B76" s="3354" t="s">
        <v>5535</v>
      </c>
      <c r="C76" s="3354"/>
      <c r="D76" s="2535"/>
      <c r="E76" s="2535"/>
      <c r="F76" s="649">
        <f>'905Hosp'!F77</f>
        <v>0</v>
      </c>
      <c r="H76" s="649" t="e">
        <f t="shared" si="11"/>
        <v>#N/A</v>
      </c>
      <c r="J76" s="413" t="e">
        <f t="shared" si="12"/>
        <v>#N/A</v>
      </c>
      <c r="L76" s="414" t="e">
        <f t="shared" si="13"/>
        <v>#N/A</v>
      </c>
      <c r="N76" s="2530" t="str">
        <f t="shared" si="14"/>
        <v xml:space="preserve"> </v>
      </c>
    </row>
    <row r="77" spans="1:14" ht="13.5" x14ac:dyDescent="0.25">
      <c r="A77" s="1129">
        <v>1553</v>
      </c>
      <c r="B77" s="3355" t="s">
        <v>1538</v>
      </c>
      <c r="C77" s="3355"/>
      <c r="D77" s="399"/>
      <c r="E77" s="399"/>
      <c r="F77" s="649">
        <f>'905Hosp'!F78</f>
        <v>0</v>
      </c>
      <c r="H77" s="649" t="e">
        <f t="shared" si="11"/>
        <v>#N/A</v>
      </c>
      <c r="J77" s="413" t="e">
        <f t="shared" si="12"/>
        <v>#N/A</v>
      </c>
      <c r="L77" s="414" t="e">
        <f t="shared" si="13"/>
        <v>#N/A</v>
      </c>
      <c r="N77" s="26" t="str">
        <f t="shared" si="14"/>
        <v xml:space="preserve"> </v>
      </c>
    </row>
    <row r="78" spans="1:14" ht="13.5" x14ac:dyDescent="0.25">
      <c r="A78" s="1129">
        <v>1555</v>
      </c>
      <c r="B78" s="3355" t="s">
        <v>1413</v>
      </c>
      <c r="C78" s="3355"/>
      <c r="D78" s="399"/>
      <c r="E78" s="399"/>
      <c r="F78" s="649">
        <f>'905Hosp'!F79</f>
        <v>0</v>
      </c>
      <c r="H78" s="649" t="e">
        <f t="shared" si="11"/>
        <v>#N/A</v>
      </c>
      <c r="J78" s="413" t="e">
        <f t="shared" si="12"/>
        <v>#N/A</v>
      </c>
      <c r="L78" s="414" t="e">
        <f t="shared" si="13"/>
        <v>#N/A</v>
      </c>
      <c r="N78" s="26" t="str">
        <f t="shared" si="14"/>
        <v xml:space="preserve"> </v>
      </c>
    </row>
    <row r="79" spans="1:14" ht="13.5" x14ac:dyDescent="0.25">
      <c r="A79" s="1129">
        <v>1560</v>
      </c>
      <c r="B79" s="3355" t="s">
        <v>1807</v>
      </c>
      <c r="C79" s="3355"/>
      <c r="D79" s="399"/>
      <c r="E79" s="399"/>
      <c r="F79" s="649">
        <f>'905Hosp'!F80</f>
        <v>0</v>
      </c>
      <c r="H79" s="649" t="e">
        <f t="shared" si="11"/>
        <v>#N/A</v>
      </c>
      <c r="J79" s="413" t="e">
        <f t="shared" si="12"/>
        <v>#N/A</v>
      </c>
      <c r="L79" s="414" t="e">
        <f t="shared" si="13"/>
        <v>#N/A</v>
      </c>
      <c r="N79" s="26" t="str">
        <f t="shared" si="14"/>
        <v xml:space="preserve"> </v>
      </c>
    </row>
    <row r="80" spans="1:14" ht="13.5" x14ac:dyDescent="0.25">
      <c r="A80" s="1129">
        <v>1570</v>
      </c>
      <c r="B80" s="3206" t="s">
        <v>1539</v>
      </c>
      <c r="C80" s="3206"/>
      <c r="D80" s="398"/>
      <c r="E80" s="398"/>
      <c r="F80" s="651">
        <f>'905Hosp'!F81</f>
        <v>0</v>
      </c>
      <c r="H80" s="651" t="e">
        <f t="shared" si="11"/>
        <v>#N/A</v>
      </c>
      <c r="J80" s="413" t="e">
        <f t="shared" si="12"/>
        <v>#N/A</v>
      </c>
      <c r="L80" s="414" t="e">
        <f t="shared" si="13"/>
        <v>#N/A</v>
      </c>
      <c r="N80" s="26" t="str">
        <f t="shared" si="14"/>
        <v xml:space="preserve"> </v>
      </c>
    </row>
    <row r="81" spans="1:19" ht="13.5" x14ac:dyDescent="0.25">
      <c r="A81" s="785"/>
      <c r="B81" s="3206" t="s">
        <v>1540</v>
      </c>
      <c r="C81" s="3206"/>
      <c r="D81" s="398"/>
      <c r="E81" s="398"/>
      <c r="F81" s="649">
        <f>SUM(F69:F80)</f>
        <v>0</v>
      </c>
      <c r="H81" s="649" t="e">
        <f>SUM(H69:H80)</f>
        <v>#N/A</v>
      </c>
      <c r="J81" s="413" t="e">
        <f t="shared" si="12"/>
        <v>#N/A</v>
      </c>
      <c r="L81" s="414" t="e">
        <f t="shared" si="13"/>
        <v>#N/A</v>
      </c>
    </row>
    <row r="82" spans="1:19" ht="13.5" x14ac:dyDescent="0.25">
      <c r="A82" s="675"/>
      <c r="B82" s="3206" t="s">
        <v>271</v>
      </c>
      <c r="C82" s="3206"/>
      <c r="D82" s="398"/>
      <c r="E82" s="398"/>
      <c r="F82" s="662">
        <f>SUM(F40:F81)-F67-F81</f>
        <v>0</v>
      </c>
      <c r="H82" s="662" t="e">
        <f>SUM(H40:H81)-H67-H81</f>
        <v>#N/A</v>
      </c>
      <c r="J82" s="413" t="e">
        <f t="shared" si="12"/>
        <v>#N/A</v>
      </c>
      <c r="L82" s="414" t="e">
        <f t="shared" si="13"/>
        <v>#N/A</v>
      </c>
    </row>
    <row r="83" spans="1:19" ht="6" customHeight="1" x14ac:dyDescent="0.25">
      <c r="B83" s="398"/>
      <c r="C83" s="398"/>
      <c r="D83" s="398"/>
      <c r="E83" s="398"/>
      <c r="J83" s="413"/>
      <c r="L83" s="414"/>
    </row>
    <row r="84" spans="1:19" ht="13.5" x14ac:dyDescent="0.25">
      <c r="B84" s="3206" t="s">
        <v>272</v>
      </c>
      <c r="C84" s="3206"/>
      <c r="D84" s="398"/>
      <c r="E84" s="398"/>
      <c r="F84" s="400">
        <f>F37+F82</f>
        <v>0</v>
      </c>
      <c r="H84" s="400" t="e">
        <f>H37+H82</f>
        <v>#N/A</v>
      </c>
      <c r="J84" s="413" t="e">
        <f>F84-H84</f>
        <v>#N/A</v>
      </c>
      <c r="L84" s="414" t="e">
        <f>IF(H84=0,0,J84/H84)</f>
        <v>#N/A</v>
      </c>
    </row>
    <row r="85" spans="1:19" ht="13.5" x14ac:dyDescent="0.25">
      <c r="B85" s="398"/>
      <c r="C85" s="398"/>
      <c r="D85" s="398"/>
      <c r="E85" s="398"/>
      <c r="F85" s="808"/>
      <c r="H85" s="808"/>
      <c r="J85" s="413"/>
      <c r="L85" s="414"/>
    </row>
    <row r="86" spans="1:19" ht="13.5" x14ac:dyDescent="0.25">
      <c r="B86" s="783" t="s">
        <v>1929</v>
      </c>
      <c r="F86"/>
      <c r="H86" s="1435"/>
      <c r="I86" s="2"/>
      <c r="J86" s="1366"/>
      <c r="L86" s="414"/>
    </row>
    <row r="87" spans="1:19" ht="13.5" x14ac:dyDescent="0.25">
      <c r="A87" s="1401">
        <v>1234</v>
      </c>
      <c r="B87" s="3206" t="s">
        <v>3974</v>
      </c>
      <c r="C87" s="3206"/>
      <c r="D87" s="3206"/>
      <c r="E87" s="3206"/>
      <c r="F87" s="649">
        <f>'905Hosp'!F88</f>
        <v>0</v>
      </c>
      <c r="G87" s="398"/>
      <c r="H87" s="649" t="e">
        <f t="shared" ref="H87:H93" si="15">INDEX(PY905Data,MATCH($A87,PY905Row,0),MATCH($C$5,PY905Col,0))</f>
        <v>#N/A</v>
      </c>
      <c r="J87" s="413" t="e">
        <f t="shared" ref="J87:J94" si="16">F87-H87</f>
        <v>#N/A</v>
      </c>
      <c r="L87" s="414" t="e">
        <f t="shared" ref="L87:L94" si="17">IF(H87=0,0,J87/H87)</f>
        <v>#N/A</v>
      </c>
      <c r="N87" s="26" t="str">
        <f t="shared" ref="N87:N93" si="18">IF($F$84=0," ",IF(AND(ABS(J87)&gt;$L$3,ABS(L87)&gt;$L$2),"C",IF(AND(ABS(F87+H87)&gt;0,H87=0,ABS(J87)&gt;$L$3),"C"," ")))</f>
        <v xml:space="preserve"> </v>
      </c>
    </row>
    <row r="88" spans="1:19" ht="13.5" x14ac:dyDescent="0.25">
      <c r="A88" s="1401">
        <v>1236</v>
      </c>
      <c r="B88" s="3206" t="s">
        <v>3585</v>
      </c>
      <c r="C88" s="3206"/>
      <c r="D88" s="3206"/>
      <c r="E88" s="3206"/>
      <c r="F88" s="649">
        <f>'905Hosp'!F89</f>
        <v>0</v>
      </c>
      <c r="G88" s="398"/>
      <c r="H88" s="649" t="e">
        <f t="shared" si="15"/>
        <v>#N/A</v>
      </c>
      <c r="J88" s="413" t="e">
        <f t="shared" si="16"/>
        <v>#N/A</v>
      </c>
      <c r="L88" s="414" t="e">
        <f t="shared" si="17"/>
        <v>#N/A</v>
      </c>
      <c r="N88" s="26" t="str">
        <f t="shared" si="18"/>
        <v xml:space="preserve"> </v>
      </c>
      <c r="P88" s="3299"/>
      <c r="Q88" s="3299"/>
      <c r="R88" s="398"/>
      <c r="S88" s="398"/>
    </row>
    <row r="89" spans="1:19" ht="13.5" x14ac:dyDescent="0.25">
      <c r="A89" s="1401">
        <v>1242</v>
      </c>
      <c r="B89" s="3206" t="s">
        <v>4608</v>
      </c>
      <c r="C89" s="3206"/>
      <c r="D89" s="3206"/>
      <c r="E89" s="3206"/>
      <c r="F89" s="649">
        <f>'905Hosp'!F90</f>
        <v>0</v>
      </c>
      <c r="G89" s="398"/>
      <c r="H89" s="649" t="e">
        <f t="shared" si="15"/>
        <v>#N/A</v>
      </c>
      <c r="J89" s="413" t="e">
        <f>F89-H89</f>
        <v>#N/A</v>
      </c>
      <c r="L89" s="414" t="e">
        <f>IF(H89=0,0,J89/H89)</f>
        <v>#N/A</v>
      </c>
      <c r="N89" s="26" t="str">
        <f>IF($F$84=0," ",IF(AND(ABS(J89)&gt;$L$3,ABS(L89)&gt;$L$2),"C",IF(AND(ABS(F89+H89)&gt;0,H89=0,ABS(J89)&gt;$L$3),"C"," ")))</f>
        <v xml:space="preserve"> </v>
      </c>
      <c r="P89" s="3299"/>
      <c r="Q89" s="3299"/>
      <c r="R89" s="398"/>
      <c r="S89" s="398"/>
    </row>
    <row r="90" spans="1:19" ht="13.5" x14ac:dyDescent="0.25">
      <c r="A90" s="1401">
        <v>1237</v>
      </c>
      <c r="B90" s="3206" t="s">
        <v>3870</v>
      </c>
      <c r="C90" s="3206"/>
      <c r="D90" s="3206"/>
      <c r="E90" s="3206"/>
      <c r="F90" s="649">
        <f>'905Hosp'!F91</f>
        <v>0</v>
      </c>
      <c r="G90" s="398"/>
      <c r="H90" s="649" t="e">
        <f t="shared" si="15"/>
        <v>#N/A</v>
      </c>
      <c r="J90" s="413" t="e">
        <f>F90-H90</f>
        <v>#N/A</v>
      </c>
      <c r="L90" s="414" t="e">
        <f>IF(H90=0,0,J90/H90)</f>
        <v>#N/A</v>
      </c>
      <c r="N90" s="26" t="str">
        <f t="shared" si="18"/>
        <v xml:space="preserve"> </v>
      </c>
      <c r="P90" s="3299"/>
      <c r="Q90" s="3299"/>
      <c r="R90" s="398"/>
      <c r="S90" s="398"/>
    </row>
    <row r="91" spans="1:19" ht="13.5" x14ac:dyDescent="0.25">
      <c r="A91" s="1401">
        <v>1241</v>
      </c>
      <c r="B91" s="3356" t="s">
        <v>4452</v>
      </c>
      <c r="C91" s="3356"/>
      <c r="D91" s="3356"/>
      <c r="E91" s="3356"/>
      <c r="F91" s="649">
        <f>'905Hosp'!F92</f>
        <v>0</v>
      </c>
      <c r="G91" s="398"/>
      <c r="H91" s="649" t="e">
        <f t="shared" si="15"/>
        <v>#N/A</v>
      </c>
      <c r="J91" s="413" t="e">
        <f t="shared" si="16"/>
        <v>#N/A</v>
      </c>
      <c r="L91" s="414" t="e">
        <f t="shared" si="17"/>
        <v>#N/A</v>
      </c>
      <c r="N91" s="26" t="str">
        <f t="shared" si="18"/>
        <v xml:space="preserve"> </v>
      </c>
      <c r="O91" s="1610"/>
      <c r="P91" s="3299"/>
      <c r="Q91" s="3299"/>
      <c r="R91" s="398"/>
      <c r="S91" s="398"/>
    </row>
    <row r="92" spans="1:19" ht="13.5" x14ac:dyDescent="0.25">
      <c r="A92" s="1401">
        <v>1238</v>
      </c>
      <c r="B92" s="3206" t="s">
        <v>3877</v>
      </c>
      <c r="C92" s="3206"/>
      <c r="D92" s="3206"/>
      <c r="E92" s="3206"/>
      <c r="F92" s="649">
        <f>'905Hosp'!F93</f>
        <v>0</v>
      </c>
      <c r="G92" s="398"/>
      <c r="H92" s="649" t="e">
        <f t="shared" si="15"/>
        <v>#N/A</v>
      </c>
      <c r="J92" s="413" t="e">
        <f t="shared" si="16"/>
        <v>#N/A</v>
      </c>
      <c r="L92" s="414" t="e">
        <f t="shared" si="17"/>
        <v>#N/A</v>
      </c>
      <c r="N92" s="26" t="str">
        <f t="shared" si="18"/>
        <v xml:space="preserve"> </v>
      </c>
      <c r="P92" s="3299"/>
      <c r="Q92" s="3299"/>
      <c r="R92" s="398"/>
      <c r="S92" s="398"/>
    </row>
    <row r="93" spans="1:19" ht="13.5" x14ac:dyDescent="0.25">
      <c r="A93" s="1401">
        <v>1239</v>
      </c>
      <c r="B93" s="3206" t="s">
        <v>3953</v>
      </c>
      <c r="C93" s="3206"/>
      <c r="D93" s="3206"/>
      <c r="E93" s="3206"/>
      <c r="F93" s="649">
        <f>'905Hosp'!F94</f>
        <v>0</v>
      </c>
      <c r="G93" s="398"/>
      <c r="H93" s="649" t="e">
        <f t="shared" si="15"/>
        <v>#N/A</v>
      </c>
      <c r="J93" s="413" t="e">
        <f t="shared" si="16"/>
        <v>#N/A</v>
      </c>
      <c r="L93" s="414" t="e">
        <f t="shared" si="17"/>
        <v>#N/A</v>
      </c>
      <c r="N93" s="26" t="str">
        <f t="shared" si="18"/>
        <v xml:space="preserve"> </v>
      </c>
      <c r="P93" s="3299"/>
      <c r="Q93" s="3299"/>
      <c r="R93" s="398"/>
      <c r="S93" s="398"/>
    </row>
    <row r="94" spans="1:19" ht="13.5" x14ac:dyDescent="0.25">
      <c r="A94" s="1401"/>
      <c r="B94" s="3206" t="s">
        <v>3704</v>
      </c>
      <c r="C94" s="3206"/>
      <c r="D94" s="398"/>
      <c r="E94" s="398"/>
      <c r="F94" s="400">
        <f>SUM(F87:F93)</f>
        <v>0</v>
      </c>
      <c r="H94" s="400" t="e">
        <f>SUM(H87:H93)</f>
        <v>#N/A</v>
      </c>
      <c r="J94" s="413" t="e">
        <f t="shared" si="16"/>
        <v>#N/A</v>
      </c>
      <c r="L94" s="414" t="e">
        <f t="shared" si="17"/>
        <v>#N/A</v>
      </c>
    </row>
    <row r="95" spans="1:19" ht="13.5" x14ac:dyDescent="0.25">
      <c r="A95" s="1401"/>
      <c r="B95" s="398"/>
      <c r="C95" s="398"/>
      <c r="D95" s="398"/>
      <c r="E95" s="398"/>
      <c r="F95" s="808"/>
      <c r="H95" s="808"/>
      <c r="J95" s="413"/>
      <c r="L95" s="808"/>
    </row>
    <row r="96" spans="1:19" x14ac:dyDescent="0.2">
      <c r="B96" s="394" t="s">
        <v>273</v>
      </c>
      <c r="C96" s="394"/>
      <c r="D96" s="394"/>
      <c r="E96" s="394"/>
    </row>
    <row r="97" spans="1:14" x14ac:dyDescent="0.2">
      <c r="B97" s="401" t="s">
        <v>274</v>
      </c>
      <c r="C97" s="401"/>
      <c r="D97" s="401"/>
      <c r="E97" s="401"/>
    </row>
    <row r="98" spans="1:14" x14ac:dyDescent="0.2">
      <c r="B98" s="335" t="s">
        <v>275</v>
      </c>
      <c r="C98" s="335"/>
      <c r="D98" s="335"/>
      <c r="E98" s="335"/>
    </row>
    <row r="99" spans="1:14" ht="13.5" x14ac:dyDescent="0.25">
      <c r="A99" s="335">
        <v>1640</v>
      </c>
      <c r="B99" s="3355" t="s">
        <v>1060</v>
      </c>
      <c r="C99" s="3355"/>
      <c r="D99" s="399"/>
      <c r="E99" s="399"/>
      <c r="F99" s="649">
        <f>'905Hosp'!F100</f>
        <v>0</v>
      </c>
      <c r="H99" s="649" t="e">
        <f>INDEX(PY905Data,MATCH($A99,PY905Row,0),MATCH($C$5,PY905Col,0))</f>
        <v>#N/A</v>
      </c>
      <c r="J99" s="413" t="e">
        <f>F99-H99</f>
        <v>#N/A</v>
      </c>
      <c r="L99" s="414" t="e">
        <f>IF(H99=0,0,J99/H99)</f>
        <v>#N/A</v>
      </c>
      <c r="N99" s="26" t="str">
        <f t="shared" ref="N99:N131" si="19">IF($F$84=0," ",IF(AND(ABS(J99)&gt;$L$3,ABS(L99)&gt;$L$2),"C",IF(AND(ABS(F99+H99)&gt;0,H99=0,ABS(J99)&gt;$L$3),"C"," ")))</f>
        <v xml:space="preserve"> </v>
      </c>
    </row>
    <row r="100" spans="1:14" ht="13.5" x14ac:dyDescent="0.25">
      <c r="A100" s="335">
        <v>1650</v>
      </c>
      <c r="B100" s="3355" t="s">
        <v>815</v>
      </c>
      <c r="C100" s="3355"/>
      <c r="D100" s="399"/>
      <c r="E100" s="399"/>
      <c r="F100" s="649">
        <f>'905Hosp'!F101</f>
        <v>0</v>
      </c>
      <c r="H100" s="649" t="e">
        <f>INDEX(PY905Data,MATCH($A100,PY905Row,0),MATCH($C$5,PY905Col,0))</f>
        <v>#N/A</v>
      </c>
      <c r="J100" s="413" t="e">
        <f>F100-H100</f>
        <v>#N/A</v>
      </c>
      <c r="L100" s="414" t="e">
        <f>IF(H100=0,0,J100/H100)</f>
        <v>#N/A</v>
      </c>
      <c r="N100" s="26" t="str">
        <f t="shared" si="19"/>
        <v xml:space="preserve"> </v>
      </c>
    </row>
    <row r="101" spans="1:14" ht="13.5" x14ac:dyDescent="0.25">
      <c r="A101" s="335">
        <v>1660</v>
      </c>
      <c r="B101" s="3355" t="s">
        <v>816</v>
      </c>
      <c r="C101" s="3355"/>
      <c r="D101" s="399"/>
      <c r="E101" s="399"/>
      <c r="F101" s="649">
        <f>'905Hosp'!F102</f>
        <v>0</v>
      </c>
      <c r="H101" s="649" t="e">
        <f>INDEX(PY905Data,MATCH($A101,PY905Row,0),MATCH($C$5,PY905Col,0))</f>
        <v>#N/A</v>
      </c>
      <c r="J101" s="413" t="e">
        <f>F101-H101</f>
        <v>#N/A</v>
      </c>
      <c r="L101" s="414" t="e">
        <f>IF(H101=0,0,J101/H101)</f>
        <v>#N/A</v>
      </c>
      <c r="N101" s="26" t="str">
        <f t="shared" si="19"/>
        <v xml:space="preserve"> </v>
      </c>
    </row>
    <row r="102" spans="1:14" ht="13.5" x14ac:dyDescent="0.25">
      <c r="A102" s="335">
        <v>1670</v>
      </c>
      <c r="B102" s="3355" t="s">
        <v>700</v>
      </c>
      <c r="C102" s="3355"/>
      <c r="D102" s="399"/>
      <c r="E102" s="399"/>
      <c r="F102" s="649">
        <f>'905Hosp'!F103</f>
        <v>0</v>
      </c>
      <c r="H102" s="649" t="e">
        <f>INDEX(PY905Data,MATCH($A102,PY905Row,0),MATCH($C$5,PY905Col,0))</f>
        <v>#N/A</v>
      </c>
      <c r="J102" s="413" t="e">
        <f>F102-H102</f>
        <v>#N/A</v>
      </c>
      <c r="L102" s="414" t="e">
        <f>IF(H102=0,0,J102/H102)</f>
        <v>#N/A</v>
      </c>
      <c r="N102" s="26" t="str">
        <f t="shared" si="19"/>
        <v xml:space="preserve"> </v>
      </c>
    </row>
    <row r="103" spans="1:14" ht="13.5" x14ac:dyDescent="0.25">
      <c r="A103" s="335">
        <v>1840</v>
      </c>
      <c r="B103" s="3206" t="s">
        <v>278</v>
      </c>
      <c r="C103" s="3206"/>
      <c r="D103" s="398"/>
      <c r="E103" s="398"/>
      <c r="F103" s="649">
        <f>'905Hosp'!F104</f>
        <v>0</v>
      </c>
      <c r="H103" s="649" t="e">
        <f>INDEX(PY905Data,MATCH($A103,PY905Row,0),MATCH($C$5,PY905Col,0))</f>
        <v>#N/A</v>
      </c>
      <c r="J103" s="413" t="e">
        <f>F103-H103</f>
        <v>#N/A</v>
      </c>
      <c r="L103" s="414" t="e">
        <f>IF(H103=0,0,J103/H103)</f>
        <v>#N/A</v>
      </c>
      <c r="N103" s="26" t="str">
        <f t="shared" si="19"/>
        <v xml:space="preserve"> </v>
      </c>
    </row>
    <row r="104" spans="1:14" ht="13.5" x14ac:dyDescent="0.25">
      <c r="A104" s="335"/>
      <c r="B104" s="335" t="s">
        <v>1423</v>
      </c>
      <c r="C104" s="335"/>
      <c r="D104" s="335"/>
      <c r="E104" s="335"/>
      <c r="J104" s="413"/>
      <c r="L104" s="414"/>
      <c r="N104" s="26" t="str">
        <f t="shared" si="19"/>
        <v xml:space="preserve"> </v>
      </c>
    </row>
    <row r="105" spans="1:14" ht="13.5" x14ac:dyDescent="0.25">
      <c r="A105" s="1129">
        <v>1788</v>
      </c>
      <c r="B105" s="3355" t="s">
        <v>4632</v>
      </c>
      <c r="C105" s="3355"/>
      <c r="D105" s="399"/>
      <c r="E105" s="399"/>
      <c r="F105" s="649">
        <f>'905Hosp'!F106</f>
        <v>0</v>
      </c>
      <c r="H105" s="649" t="e">
        <f t="shared" ref="H105:H131" si="20">INDEX(PY905Data,MATCH($A105,PY905Row,0),MATCH($C$5,PY905Col,0))</f>
        <v>#N/A</v>
      </c>
      <c r="J105" s="413" t="e">
        <f t="shared" ref="J105:J122" si="21">F105-H105</f>
        <v>#N/A</v>
      </c>
      <c r="L105" s="414" t="e">
        <f t="shared" ref="L105:L122" si="22">IF(H105=0,0,J105/H105)</f>
        <v>#N/A</v>
      </c>
      <c r="N105" s="26" t="str">
        <f t="shared" si="19"/>
        <v xml:space="preserve"> </v>
      </c>
    </row>
    <row r="106" spans="1:14" ht="13.5" x14ac:dyDescent="0.25">
      <c r="A106" s="1129">
        <v>1785</v>
      </c>
      <c r="B106" s="3355" t="s">
        <v>1541</v>
      </c>
      <c r="C106" s="3355"/>
      <c r="D106" s="399"/>
      <c r="E106" s="399"/>
      <c r="F106" s="649">
        <f>'905Hosp'!F107</f>
        <v>0</v>
      </c>
      <c r="H106" s="649" t="e">
        <f t="shared" si="20"/>
        <v>#N/A</v>
      </c>
      <c r="J106" s="413" t="e">
        <f t="shared" si="21"/>
        <v>#N/A</v>
      </c>
      <c r="L106" s="414" t="e">
        <f t="shared" si="22"/>
        <v>#N/A</v>
      </c>
      <c r="N106" s="26" t="str">
        <f t="shared" si="19"/>
        <v xml:space="preserve"> </v>
      </c>
    </row>
    <row r="107" spans="1:14" ht="13.5" x14ac:dyDescent="0.25">
      <c r="A107" s="1129">
        <v>1790</v>
      </c>
      <c r="B107" s="3355" t="s">
        <v>4604</v>
      </c>
      <c r="C107" s="3355"/>
      <c r="D107" s="399"/>
      <c r="E107" s="399"/>
      <c r="F107" s="649">
        <f>'905Hosp'!F108</f>
        <v>0</v>
      </c>
      <c r="H107" s="649" t="e">
        <f t="shared" si="20"/>
        <v>#N/A</v>
      </c>
      <c r="J107" s="413" t="e">
        <f t="shared" si="21"/>
        <v>#N/A</v>
      </c>
      <c r="L107" s="414" t="e">
        <f t="shared" si="22"/>
        <v>#N/A</v>
      </c>
      <c r="N107" s="2031" t="str">
        <f t="shared" si="19"/>
        <v xml:space="preserve"> </v>
      </c>
    </row>
    <row r="108" spans="1:14" ht="13.5" x14ac:dyDescent="0.25">
      <c r="A108" s="1129">
        <v>1791</v>
      </c>
      <c r="B108" s="3355" t="s">
        <v>4701</v>
      </c>
      <c r="C108" s="3355"/>
      <c r="D108" s="399"/>
      <c r="E108" s="399"/>
      <c r="F108" s="649">
        <f>'905Hosp'!F109</f>
        <v>0</v>
      </c>
      <c r="H108" s="649" t="e">
        <f t="shared" si="20"/>
        <v>#N/A</v>
      </c>
      <c r="J108" s="413" t="e">
        <f t="shared" si="21"/>
        <v>#N/A</v>
      </c>
      <c r="L108" s="414" t="e">
        <f t="shared" si="22"/>
        <v>#N/A</v>
      </c>
      <c r="N108" s="2031" t="str">
        <f t="shared" si="19"/>
        <v xml:space="preserve"> </v>
      </c>
    </row>
    <row r="109" spans="1:14" ht="13.5" x14ac:dyDescent="0.25">
      <c r="A109" s="1129">
        <v>1787</v>
      </c>
      <c r="B109" s="3355" t="s">
        <v>1542</v>
      </c>
      <c r="C109" s="3355"/>
      <c r="D109" s="399"/>
      <c r="E109" s="399"/>
      <c r="F109" s="649">
        <f>'905Hosp'!F110</f>
        <v>0</v>
      </c>
      <c r="H109" s="649" t="e">
        <f t="shared" si="20"/>
        <v>#N/A</v>
      </c>
      <c r="J109" s="413" t="e">
        <f t="shared" si="21"/>
        <v>#N/A</v>
      </c>
      <c r="L109" s="414" t="e">
        <f t="shared" si="22"/>
        <v>#N/A</v>
      </c>
      <c r="N109" s="26" t="str">
        <f t="shared" si="19"/>
        <v xml:space="preserve"> </v>
      </c>
    </row>
    <row r="110" spans="1:14" ht="13.5" x14ac:dyDescent="0.25">
      <c r="A110" s="1129">
        <v>1730</v>
      </c>
      <c r="B110" s="3206" t="s">
        <v>276</v>
      </c>
      <c r="C110" s="3206"/>
      <c r="D110" s="398"/>
      <c r="E110" s="398"/>
      <c r="F110" s="649">
        <f>'905Hosp'!F111</f>
        <v>0</v>
      </c>
      <c r="H110" s="649" t="e">
        <f t="shared" si="20"/>
        <v>#N/A</v>
      </c>
      <c r="J110" s="413" t="e">
        <f t="shared" si="21"/>
        <v>#N/A</v>
      </c>
      <c r="L110" s="414" t="e">
        <f t="shared" si="22"/>
        <v>#N/A</v>
      </c>
      <c r="N110" s="26" t="str">
        <f t="shared" si="19"/>
        <v xml:space="preserve"> </v>
      </c>
    </row>
    <row r="111" spans="1:14" ht="13.5" x14ac:dyDescent="0.25">
      <c r="A111" s="335">
        <v>1735</v>
      </c>
      <c r="B111" s="3206" t="s">
        <v>1543</v>
      </c>
      <c r="C111" s="3206"/>
      <c r="D111" s="398"/>
      <c r="E111" s="398"/>
      <c r="F111" s="649">
        <f>'905Hosp'!F112</f>
        <v>0</v>
      </c>
      <c r="H111" s="649" t="e">
        <f t="shared" si="20"/>
        <v>#N/A</v>
      </c>
      <c r="J111" s="413" t="e">
        <f t="shared" si="21"/>
        <v>#N/A</v>
      </c>
      <c r="L111" s="414" t="e">
        <f t="shared" si="22"/>
        <v>#N/A</v>
      </c>
      <c r="N111" s="26" t="str">
        <f t="shared" si="19"/>
        <v xml:space="preserve"> </v>
      </c>
    </row>
    <row r="112" spans="1:14" ht="13.5" x14ac:dyDescent="0.25">
      <c r="A112" s="1129">
        <v>1740</v>
      </c>
      <c r="B112" s="3206" t="s">
        <v>699</v>
      </c>
      <c r="C112" s="3206"/>
      <c r="D112" s="398"/>
      <c r="E112" s="398"/>
      <c r="F112" s="649">
        <f>'905Hosp'!F113</f>
        <v>0</v>
      </c>
      <c r="H112" s="649" t="e">
        <f t="shared" si="20"/>
        <v>#N/A</v>
      </c>
      <c r="J112" s="413" t="e">
        <f t="shared" si="21"/>
        <v>#N/A</v>
      </c>
      <c r="L112" s="414" t="e">
        <f t="shared" si="22"/>
        <v>#N/A</v>
      </c>
      <c r="N112" s="26" t="str">
        <f t="shared" si="19"/>
        <v xml:space="preserve"> </v>
      </c>
    </row>
    <row r="113" spans="1:14" ht="13.5" x14ac:dyDescent="0.25">
      <c r="A113" s="335">
        <v>1890</v>
      </c>
      <c r="B113" s="3206" t="s">
        <v>569</v>
      </c>
      <c r="C113" s="3206"/>
      <c r="D113" s="398"/>
      <c r="E113" s="398"/>
      <c r="F113" s="649">
        <f>'905Hosp'!F114</f>
        <v>0</v>
      </c>
      <c r="H113" s="649" t="e">
        <f t="shared" si="20"/>
        <v>#N/A</v>
      </c>
      <c r="J113" s="413" t="e">
        <f t="shared" si="21"/>
        <v>#N/A</v>
      </c>
      <c r="L113" s="414" t="e">
        <f t="shared" si="22"/>
        <v>#N/A</v>
      </c>
      <c r="N113" s="26" t="str">
        <f t="shared" si="19"/>
        <v xml:space="preserve"> </v>
      </c>
    </row>
    <row r="114" spans="1:14" ht="13.5" x14ac:dyDescent="0.25">
      <c r="A114" s="335">
        <v>1750</v>
      </c>
      <c r="B114" s="3206" t="s">
        <v>277</v>
      </c>
      <c r="C114" s="3206"/>
      <c r="D114" s="398"/>
      <c r="E114" s="398"/>
      <c r="F114" s="649">
        <f>'905Hosp'!F115</f>
        <v>0</v>
      </c>
      <c r="H114" s="649" t="e">
        <f t="shared" si="20"/>
        <v>#N/A</v>
      </c>
      <c r="J114" s="413" t="e">
        <f t="shared" si="21"/>
        <v>#N/A</v>
      </c>
      <c r="L114" s="414" t="e">
        <f t="shared" si="22"/>
        <v>#N/A</v>
      </c>
      <c r="N114" s="26" t="str">
        <f t="shared" si="19"/>
        <v xml:space="preserve"> </v>
      </c>
    </row>
    <row r="115" spans="1:14" ht="13.5" x14ac:dyDescent="0.25">
      <c r="A115" s="335">
        <v>1760</v>
      </c>
      <c r="B115" s="3206" t="s">
        <v>1402</v>
      </c>
      <c r="C115" s="3206"/>
      <c r="D115" s="398"/>
      <c r="E115" s="398"/>
      <c r="F115" s="649">
        <f>'905Hosp'!F116</f>
        <v>0</v>
      </c>
      <c r="H115" s="649" t="e">
        <f t="shared" si="20"/>
        <v>#N/A</v>
      </c>
      <c r="J115" s="413" t="e">
        <f t="shared" si="21"/>
        <v>#N/A</v>
      </c>
      <c r="L115" s="414" t="e">
        <f t="shared" si="22"/>
        <v>#N/A</v>
      </c>
      <c r="N115" s="26" t="str">
        <f t="shared" si="19"/>
        <v xml:space="preserve"> </v>
      </c>
    </row>
    <row r="116" spans="1:14" ht="13.5" x14ac:dyDescent="0.25">
      <c r="A116" s="335">
        <v>1870</v>
      </c>
      <c r="B116" s="3206" t="s">
        <v>739</v>
      </c>
      <c r="C116" s="3206"/>
      <c r="D116" s="398"/>
      <c r="E116" s="398"/>
      <c r="F116" s="649">
        <f>'905Hosp'!F117</f>
        <v>0</v>
      </c>
      <c r="H116" s="649" t="e">
        <f t="shared" si="20"/>
        <v>#N/A</v>
      </c>
      <c r="J116" s="413" t="e">
        <f t="shared" si="21"/>
        <v>#N/A</v>
      </c>
      <c r="L116" s="414" t="e">
        <f t="shared" si="22"/>
        <v>#N/A</v>
      </c>
      <c r="N116" s="26" t="str">
        <f t="shared" si="19"/>
        <v xml:space="preserve"> </v>
      </c>
    </row>
    <row r="117" spans="1:14" ht="13.5" x14ac:dyDescent="0.25">
      <c r="A117" s="335">
        <v>1880</v>
      </c>
      <c r="B117" s="3206" t="s">
        <v>701</v>
      </c>
      <c r="C117" s="3206"/>
      <c r="D117" s="398"/>
      <c r="E117" s="398"/>
      <c r="F117" s="649">
        <f>'905Hosp'!F118</f>
        <v>0</v>
      </c>
      <c r="H117" s="649" t="e">
        <f t="shared" si="20"/>
        <v>#N/A</v>
      </c>
      <c r="J117" s="413" t="e">
        <f t="shared" si="21"/>
        <v>#N/A</v>
      </c>
      <c r="L117" s="414" t="e">
        <f t="shared" si="22"/>
        <v>#N/A</v>
      </c>
      <c r="N117" s="26" t="str">
        <f t="shared" si="19"/>
        <v xml:space="preserve"> </v>
      </c>
    </row>
    <row r="118" spans="1:14" ht="13.5" x14ac:dyDescent="0.25">
      <c r="A118" s="335">
        <v>1762</v>
      </c>
      <c r="B118" s="3206" t="s">
        <v>1347</v>
      </c>
      <c r="C118" s="3206"/>
      <c r="D118" s="398"/>
      <c r="E118" s="398"/>
      <c r="F118" s="649">
        <f>'905Hosp'!F119</f>
        <v>0</v>
      </c>
      <c r="H118" s="649" t="e">
        <f t="shared" si="20"/>
        <v>#N/A</v>
      </c>
      <c r="J118" s="413" t="e">
        <f t="shared" si="21"/>
        <v>#N/A</v>
      </c>
      <c r="L118" s="414" t="e">
        <f t="shared" si="22"/>
        <v>#N/A</v>
      </c>
      <c r="N118" s="26" t="str">
        <f t="shared" si="19"/>
        <v xml:space="preserve"> </v>
      </c>
    </row>
    <row r="119" spans="1:14" ht="13.5" x14ac:dyDescent="0.25">
      <c r="A119" s="1129">
        <v>1775</v>
      </c>
      <c r="B119" s="3206" t="s">
        <v>4633</v>
      </c>
      <c r="C119" s="3206"/>
      <c r="D119" s="398"/>
      <c r="E119" s="398"/>
      <c r="F119" s="649">
        <f>'905Hosp'!F120</f>
        <v>0</v>
      </c>
      <c r="H119" s="649" t="e">
        <f t="shared" si="20"/>
        <v>#N/A</v>
      </c>
      <c r="J119" s="413" t="e">
        <f t="shared" si="21"/>
        <v>#N/A</v>
      </c>
      <c r="L119" s="414" t="e">
        <f t="shared" si="22"/>
        <v>#N/A</v>
      </c>
      <c r="N119" s="2031" t="str">
        <f t="shared" si="19"/>
        <v xml:space="preserve"> </v>
      </c>
    </row>
    <row r="120" spans="1:14" ht="13.5" x14ac:dyDescent="0.25">
      <c r="A120" s="1129">
        <v>1780</v>
      </c>
      <c r="B120" s="3307" t="s">
        <v>5536</v>
      </c>
      <c r="C120" s="3307"/>
      <c r="D120" s="398"/>
      <c r="E120" s="398"/>
      <c r="F120" s="649">
        <f>'905Hosp'!F121</f>
        <v>0</v>
      </c>
      <c r="H120" s="649" t="e">
        <f t="shared" si="20"/>
        <v>#N/A</v>
      </c>
      <c r="J120" s="413" t="e">
        <f t="shared" si="21"/>
        <v>#N/A</v>
      </c>
      <c r="L120" s="414" t="e">
        <f t="shared" si="22"/>
        <v>#N/A</v>
      </c>
      <c r="N120" s="26" t="str">
        <f t="shared" si="19"/>
        <v xml:space="preserve"> </v>
      </c>
    </row>
    <row r="121" spans="1:14" ht="13.5" x14ac:dyDescent="0.25">
      <c r="A121" s="1129">
        <v>1800</v>
      </c>
      <c r="B121" s="3206" t="s">
        <v>1544</v>
      </c>
      <c r="C121" s="3206"/>
      <c r="D121" s="398"/>
      <c r="E121" s="398"/>
      <c r="F121" s="649">
        <f>'905Hosp'!F122</f>
        <v>0</v>
      </c>
      <c r="H121" s="649" t="e">
        <f t="shared" si="20"/>
        <v>#N/A</v>
      </c>
      <c r="J121" s="413" t="e">
        <f t="shared" si="21"/>
        <v>#N/A</v>
      </c>
      <c r="L121" s="414" t="e">
        <f t="shared" si="22"/>
        <v>#N/A</v>
      </c>
      <c r="N121" s="26" t="str">
        <f t="shared" si="19"/>
        <v xml:space="preserve"> </v>
      </c>
    </row>
    <row r="122" spans="1:14" ht="13.5" x14ac:dyDescent="0.25">
      <c r="A122" s="1129">
        <v>1850</v>
      </c>
      <c r="B122" s="3206" t="s">
        <v>1165</v>
      </c>
      <c r="C122" s="3206"/>
      <c r="D122" s="398"/>
      <c r="E122" s="398"/>
      <c r="F122" s="649">
        <f>'905Hosp'!F123</f>
        <v>0</v>
      </c>
      <c r="H122" s="649" t="e">
        <f t="shared" si="20"/>
        <v>#N/A</v>
      </c>
      <c r="J122" s="413" t="e">
        <f t="shared" si="21"/>
        <v>#N/A</v>
      </c>
      <c r="L122" s="414" t="e">
        <f t="shared" si="22"/>
        <v>#N/A</v>
      </c>
      <c r="N122" s="26" t="str">
        <f t="shared" si="19"/>
        <v xml:space="preserve"> </v>
      </c>
    </row>
    <row r="123" spans="1:14" ht="13.5" x14ac:dyDescent="0.25">
      <c r="A123" s="1129">
        <v>1851</v>
      </c>
      <c r="B123" s="3206" t="s">
        <v>3805</v>
      </c>
      <c r="C123" s="3206"/>
      <c r="D123" s="398"/>
      <c r="E123" s="398"/>
      <c r="F123" s="649">
        <f>'905Hosp'!F124</f>
        <v>0</v>
      </c>
      <c r="H123" s="649" t="e">
        <f t="shared" si="20"/>
        <v>#N/A</v>
      </c>
      <c r="J123" s="413" t="e">
        <f t="shared" ref="J123:J131" si="23">F123-H123</f>
        <v>#N/A</v>
      </c>
      <c r="L123" s="414" t="e">
        <f t="shared" ref="L123:L131" si="24">IF(H123=0,0,J123/H123)</f>
        <v>#N/A</v>
      </c>
      <c r="N123" s="26" t="str">
        <f t="shared" si="19"/>
        <v xml:space="preserve"> </v>
      </c>
    </row>
    <row r="124" spans="1:14" ht="13.5" x14ac:dyDescent="0.25">
      <c r="A124" s="1129">
        <v>1786</v>
      </c>
      <c r="B124" s="3206" t="s">
        <v>1545</v>
      </c>
      <c r="C124" s="3206"/>
      <c r="D124" s="398"/>
      <c r="E124" s="398"/>
      <c r="F124" s="649">
        <f>'905Hosp'!F125</f>
        <v>0</v>
      </c>
      <c r="H124" s="649" t="e">
        <f t="shared" si="20"/>
        <v>#N/A</v>
      </c>
      <c r="J124" s="413" t="e">
        <f t="shared" si="23"/>
        <v>#N/A</v>
      </c>
      <c r="L124" s="414" t="e">
        <f t="shared" si="24"/>
        <v>#N/A</v>
      </c>
      <c r="N124" s="26" t="str">
        <f t="shared" si="19"/>
        <v xml:space="preserve"> </v>
      </c>
    </row>
    <row r="125" spans="1:14" ht="13.5" x14ac:dyDescent="0.25">
      <c r="A125" s="1129">
        <v>1855</v>
      </c>
      <c r="B125" s="3206" t="s">
        <v>1295</v>
      </c>
      <c r="C125" s="3206"/>
      <c r="D125" s="398"/>
      <c r="E125" s="398"/>
      <c r="F125" s="649">
        <f>'905Hosp'!F126</f>
        <v>0</v>
      </c>
      <c r="H125" s="649" t="e">
        <f t="shared" si="20"/>
        <v>#N/A</v>
      </c>
      <c r="J125" s="413" t="e">
        <f t="shared" si="23"/>
        <v>#N/A</v>
      </c>
      <c r="L125" s="414" t="e">
        <f t="shared" si="24"/>
        <v>#N/A</v>
      </c>
      <c r="N125" s="26" t="str">
        <f t="shared" si="19"/>
        <v xml:space="preserve"> </v>
      </c>
    </row>
    <row r="126" spans="1:14" ht="13.5" x14ac:dyDescent="0.25">
      <c r="A126" s="1129">
        <v>1857</v>
      </c>
      <c r="B126" s="3206" t="s">
        <v>4621</v>
      </c>
      <c r="C126" s="3206"/>
      <c r="D126" s="398"/>
      <c r="E126" s="398"/>
      <c r="F126" s="649">
        <f>'905Hosp'!F127</f>
        <v>0</v>
      </c>
      <c r="H126" s="649" t="e">
        <f t="shared" si="20"/>
        <v>#N/A</v>
      </c>
      <c r="J126" s="413" t="e">
        <f>F126-H126</f>
        <v>#N/A</v>
      </c>
      <c r="L126" s="414" t="e">
        <f>IF(H126=0,0,J126/H126)</f>
        <v>#N/A</v>
      </c>
      <c r="N126" s="26" t="str">
        <f>IF($F$84=0," ",IF(AND(ABS(J126)&gt;$L$3,ABS(L126)&gt;$L$2),"C",IF(AND(ABS(F126+H126)&gt;0,H126=0,ABS(J126)&gt;$L$3),"C"," ")))</f>
        <v xml:space="preserve"> </v>
      </c>
    </row>
    <row r="127" spans="1:14" ht="13.5" x14ac:dyDescent="0.25">
      <c r="A127" s="1129">
        <v>1860</v>
      </c>
      <c r="B127" s="3206" t="s">
        <v>3878</v>
      </c>
      <c r="C127" s="3206"/>
      <c r="D127" s="3206"/>
      <c r="E127" s="3206"/>
      <c r="F127" s="649">
        <f>'905Hosp'!F128</f>
        <v>0</v>
      </c>
      <c r="H127" s="649" t="e">
        <f t="shared" si="20"/>
        <v>#N/A</v>
      </c>
      <c r="J127" s="413" t="e">
        <f t="shared" si="23"/>
        <v>#N/A</v>
      </c>
      <c r="L127" s="414" t="e">
        <f t="shared" si="24"/>
        <v>#N/A</v>
      </c>
      <c r="N127" s="26" t="str">
        <f t="shared" si="19"/>
        <v xml:space="preserve"> </v>
      </c>
    </row>
    <row r="128" spans="1:14" ht="13.5" x14ac:dyDescent="0.25">
      <c r="A128" s="1129">
        <v>1868</v>
      </c>
      <c r="B128" s="3206" t="s">
        <v>3872</v>
      </c>
      <c r="C128" s="3206"/>
      <c r="D128" s="3206"/>
      <c r="E128" s="3206"/>
      <c r="F128" s="649">
        <f>'905Hosp'!F129</f>
        <v>0</v>
      </c>
      <c r="H128" s="649" t="e">
        <f t="shared" si="20"/>
        <v>#N/A</v>
      </c>
      <c r="J128" s="413" t="e">
        <f>F128-H128</f>
        <v>#N/A</v>
      </c>
      <c r="L128" s="414" t="e">
        <f>IF(H128=0,0,J128/H128)</f>
        <v>#N/A</v>
      </c>
      <c r="N128" s="26" t="str">
        <f t="shared" si="19"/>
        <v xml:space="preserve"> </v>
      </c>
    </row>
    <row r="129" spans="1:15" ht="13.5" x14ac:dyDescent="0.25">
      <c r="A129" s="1129">
        <v>1869</v>
      </c>
      <c r="B129" s="3206" t="s">
        <v>4455</v>
      </c>
      <c r="C129" s="3206"/>
      <c r="D129" s="398"/>
      <c r="E129" s="398"/>
      <c r="F129" s="649">
        <f>'905Hosp'!F130</f>
        <v>0</v>
      </c>
      <c r="H129" s="649" t="e">
        <f t="shared" si="20"/>
        <v>#N/A</v>
      </c>
      <c r="J129" s="413" t="e">
        <f>F129-H129</f>
        <v>#N/A</v>
      </c>
      <c r="L129" s="414" t="e">
        <f>IF(H129=0,0,J129/H129)</f>
        <v>#N/A</v>
      </c>
      <c r="N129" s="26" t="str">
        <f>IF($F$84=0," ",IF(AND(ABS(J129)&gt;$L$3,ABS(L129)&gt;$L$2),"C",IF(AND(ABS(F129+H129)&gt;0,H129=0,ABS(J129)&gt;$L$3),"C"," ")))</f>
        <v xml:space="preserve"> </v>
      </c>
      <c r="O129" s="1610"/>
    </row>
    <row r="130" spans="1:15" ht="13.5" x14ac:dyDescent="0.25">
      <c r="A130" s="1129">
        <v>1865</v>
      </c>
      <c r="B130" s="3206" t="s">
        <v>1546</v>
      </c>
      <c r="C130" s="3206"/>
      <c r="D130" s="398"/>
      <c r="E130" s="398"/>
      <c r="F130" s="649">
        <f>'905Hosp'!F131</f>
        <v>0</v>
      </c>
      <c r="H130" s="649" t="e">
        <f t="shared" si="20"/>
        <v>#N/A</v>
      </c>
      <c r="J130" s="413" t="e">
        <f t="shared" si="23"/>
        <v>#N/A</v>
      </c>
      <c r="L130" s="414" t="e">
        <f t="shared" si="24"/>
        <v>#N/A</v>
      </c>
      <c r="N130" s="26" t="str">
        <f t="shared" si="19"/>
        <v xml:space="preserve"> </v>
      </c>
    </row>
    <row r="131" spans="1:15" ht="13.5" x14ac:dyDescent="0.25">
      <c r="A131" s="1129">
        <v>1866</v>
      </c>
      <c r="B131" s="3206" t="s">
        <v>1547</v>
      </c>
      <c r="C131" s="3206"/>
      <c r="D131" s="398"/>
      <c r="E131" s="398"/>
      <c r="F131" s="649">
        <f>'905Hosp'!F132</f>
        <v>0</v>
      </c>
      <c r="H131" s="649" t="e">
        <f t="shared" si="20"/>
        <v>#N/A</v>
      </c>
      <c r="J131" s="413" t="e">
        <f t="shared" si="23"/>
        <v>#N/A</v>
      </c>
      <c r="L131" s="414" t="e">
        <f t="shared" si="24"/>
        <v>#N/A</v>
      </c>
      <c r="N131" s="26" t="str">
        <f t="shared" si="19"/>
        <v xml:space="preserve"> </v>
      </c>
    </row>
    <row r="132" spans="1:15" ht="13.5" x14ac:dyDescent="0.25">
      <c r="B132" s="3206" t="s">
        <v>787</v>
      </c>
      <c r="C132" s="3206"/>
      <c r="D132" s="398"/>
      <c r="E132" s="398"/>
      <c r="F132" s="402">
        <f>SUM(F98:F131)</f>
        <v>0</v>
      </c>
      <c r="H132" s="402" t="e">
        <f>SUM(H98:H131)</f>
        <v>#N/A</v>
      </c>
      <c r="J132" s="413" t="e">
        <f>F132-H132</f>
        <v>#N/A</v>
      </c>
      <c r="L132" s="414" t="e">
        <f>IF(H132=0,0,J132/H132)</f>
        <v>#N/A</v>
      </c>
    </row>
    <row r="133" spans="1:15" ht="13.5" x14ac:dyDescent="0.25">
      <c r="B133" s="398"/>
      <c r="C133" s="398"/>
      <c r="D133" s="398"/>
      <c r="E133" s="398"/>
      <c r="J133" s="413"/>
      <c r="L133" s="414"/>
    </row>
    <row r="134" spans="1:15" ht="13.5" x14ac:dyDescent="0.25">
      <c r="B134" s="403" t="s">
        <v>788</v>
      </c>
      <c r="C134" s="403"/>
      <c r="D134" s="403"/>
      <c r="E134" s="403"/>
      <c r="J134" s="413"/>
      <c r="L134" s="414"/>
    </row>
    <row r="135" spans="1:15" x14ac:dyDescent="0.2">
      <c r="A135" s="335"/>
      <c r="B135" s="335" t="s">
        <v>275</v>
      </c>
      <c r="C135" s="335"/>
      <c r="D135" s="335"/>
      <c r="E135" s="335"/>
    </row>
    <row r="136" spans="1:15" ht="13.5" x14ac:dyDescent="0.25">
      <c r="A136" s="335">
        <v>1940</v>
      </c>
      <c r="B136" s="3355" t="s">
        <v>1060</v>
      </c>
      <c r="C136" s="3355"/>
      <c r="D136" s="399"/>
      <c r="E136" s="399"/>
      <c r="F136" s="649">
        <f>'905Hosp'!F137</f>
        <v>0</v>
      </c>
      <c r="H136" s="649" t="e">
        <f t="shared" ref="H136:H156" si="25">INDEX(PY905Data,MATCH($A136,PY905Row,0),MATCH($C$5,PY905Col,0))</f>
        <v>#N/A</v>
      </c>
      <c r="J136" s="413" t="e">
        <f>F136-H136</f>
        <v>#N/A</v>
      </c>
      <c r="L136" s="414" t="e">
        <f>IF(H136=0,0,J136/H136)</f>
        <v>#N/A</v>
      </c>
      <c r="N136" s="26" t="str">
        <f t="shared" ref="N136:N156" si="26">IF($F$84=0," ",IF(AND(ABS(J136)&gt;$L$3,ABS(L136)&gt;$L$2),"C",IF(AND(ABS(F136+H136)&gt;0,H136=0,ABS(J136)&gt;$L$3),"C"," ")))</f>
        <v xml:space="preserve"> </v>
      </c>
    </row>
    <row r="137" spans="1:15" ht="13.5" x14ac:dyDescent="0.25">
      <c r="A137" s="335">
        <v>1950</v>
      </c>
      <c r="B137" s="3355" t="s">
        <v>816</v>
      </c>
      <c r="C137" s="3355"/>
      <c r="D137" s="399"/>
      <c r="E137" s="399"/>
      <c r="F137" s="649">
        <f>'905Hosp'!F138</f>
        <v>0</v>
      </c>
      <c r="H137" s="649" t="e">
        <f t="shared" si="25"/>
        <v>#N/A</v>
      </c>
      <c r="J137" s="413" t="e">
        <f t="shared" ref="J137:J159" si="27">F137-H137</f>
        <v>#N/A</v>
      </c>
      <c r="L137" s="414" t="e">
        <f t="shared" ref="L137:L159" si="28">IF(H137=0,0,J137/H137)</f>
        <v>#N/A</v>
      </c>
      <c r="N137" s="26" t="str">
        <f t="shared" si="26"/>
        <v xml:space="preserve"> </v>
      </c>
    </row>
    <row r="138" spans="1:15" ht="13.5" x14ac:dyDescent="0.25">
      <c r="A138" s="335">
        <v>1960</v>
      </c>
      <c r="B138" s="3355" t="s">
        <v>700</v>
      </c>
      <c r="C138" s="3355"/>
      <c r="D138" s="399"/>
      <c r="E138" s="399"/>
      <c r="F138" s="649">
        <f>'905Hosp'!F139</f>
        <v>0</v>
      </c>
      <c r="H138" s="649" t="e">
        <f t="shared" si="25"/>
        <v>#N/A</v>
      </c>
      <c r="J138" s="413" t="e">
        <f t="shared" si="27"/>
        <v>#N/A</v>
      </c>
      <c r="L138" s="414" t="e">
        <f t="shared" si="28"/>
        <v>#N/A</v>
      </c>
      <c r="N138" s="26" t="str">
        <f t="shared" si="26"/>
        <v xml:space="preserve"> </v>
      </c>
    </row>
    <row r="139" spans="1:15" ht="13.5" x14ac:dyDescent="0.25">
      <c r="A139" s="1129">
        <v>2020</v>
      </c>
      <c r="B139" s="3206" t="s">
        <v>789</v>
      </c>
      <c r="C139" s="3206"/>
      <c r="D139" s="398"/>
      <c r="E139" s="398"/>
      <c r="F139" s="649">
        <f>'905Hosp'!F140</f>
        <v>0</v>
      </c>
      <c r="H139" s="649" t="e">
        <f t="shared" si="25"/>
        <v>#N/A</v>
      </c>
      <c r="J139" s="413" t="e">
        <f t="shared" si="27"/>
        <v>#N/A</v>
      </c>
      <c r="L139" s="414" t="e">
        <f t="shared" si="28"/>
        <v>#N/A</v>
      </c>
      <c r="N139" s="26" t="str">
        <f t="shared" si="26"/>
        <v xml:space="preserve"> </v>
      </c>
    </row>
    <row r="140" spans="1:15" ht="13.5" x14ac:dyDescent="0.25">
      <c r="A140" s="335">
        <v>2097</v>
      </c>
      <c r="B140" s="3206" t="s">
        <v>569</v>
      </c>
      <c r="C140" s="3206"/>
      <c r="D140" s="398"/>
      <c r="E140" s="398"/>
      <c r="F140" s="649">
        <f>'905Hosp'!F141</f>
        <v>0</v>
      </c>
      <c r="H140" s="649" t="e">
        <f t="shared" si="25"/>
        <v>#N/A</v>
      </c>
      <c r="J140" s="413" t="e">
        <f>F140-H140</f>
        <v>#N/A</v>
      </c>
      <c r="L140" s="414" t="e">
        <f>IF(H140=0,0,J140/H140)</f>
        <v>#N/A</v>
      </c>
      <c r="N140" s="26" t="str">
        <f t="shared" si="26"/>
        <v xml:space="preserve"> </v>
      </c>
    </row>
    <row r="141" spans="1:15" ht="13.5" x14ac:dyDescent="0.25">
      <c r="A141" s="335">
        <v>2070</v>
      </c>
      <c r="B141" s="3206" t="s">
        <v>739</v>
      </c>
      <c r="C141" s="3206"/>
      <c r="D141" s="398"/>
      <c r="E141" s="398"/>
      <c r="F141" s="649">
        <f>'905Hosp'!F142</f>
        <v>0</v>
      </c>
      <c r="H141" s="649" t="e">
        <f t="shared" si="25"/>
        <v>#N/A</v>
      </c>
      <c r="J141" s="413" t="e">
        <f t="shared" si="27"/>
        <v>#N/A</v>
      </c>
      <c r="L141" s="414" t="e">
        <f t="shared" si="28"/>
        <v>#N/A</v>
      </c>
      <c r="N141" s="26" t="str">
        <f t="shared" si="26"/>
        <v xml:space="preserve"> </v>
      </c>
    </row>
    <row r="142" spans="1:15" ht="13.5" x14ac:dyDescent="0.25">
      <c r="A142" s="335">
        <v>2080</v>
      </c>
      <c r="B142" s="3206" t="s">
        <v>701</v>
      </c>
      <c r="C142" s="3206"/>
      <c r="D142" s="398"/>
      <c r="E142" s="398"/>
      <c r="F142" s="649">
        <f>'905Hosp'!F143</f>
        <v>0</v>
      </c>
      <c r="H142" s="649" t="e">
        <f t="shared" si="25"/>
        <v>#N/A</v>
      </c>
      <c r="J142" s="413" t="e">
        <f t="shared" si="27"/>
        <v>#N/A</v>
      </c>
      <c r="L142" s="414" t="e">
        <f t="shared" si="28"/>
        <v>#N/A</v>
      </c>
      <c r="N142" s="26" t="str">
        <f t="shared" si="26"/>
        <v xml:space="preserve"> </v>
      </c>
    </row>
    <row r="143" spans="1:15" ht="13.5" x14ac:dyDescent="0.25">
      <c r="A143" s="335">
        <v>2024</v>
      </c>
      <c r="B143" s="3206" t="s">
        <v>1347</v>
      </c>
      <c r="C143" s="3206"/>
      <c r="D143" s="398"/>
      <c r="E143" s="398"/>
      <c r="F143" s="649">
        <f>'905Hosp'!F144</f>
        <v>0</v>
      </c>
      <c r="H143" s="649" t="e">
        <f t="shared" si="25"/>
        <v>#N/A</v>
      </c>
      <c r="J143" s="413" t="e">
        <f>F143-H143</f>
        <v>#N/A</v>
      </c>
      <c r="L143" s="414" t="e">
        <f>IF(H143=0,0,J143/H143)</f>
        <v>#N/A</v>
      </c>
      <c r="N143" s="26" t="str">
        <f t="shared" si="26"/>
        <v xml:space="preserve"> </v>
      </c>
    </row>
    <row r="144" spans="1:15" ht="13.5" x14ac:dyDescent="0.25">
      <c r="A144" s="1129">
        <v>2035</v>
      </c>
      <c r="B144" s="3206" t="s">
        <v>4604</v>
      </c>
      <c r="C144" s="3206"/>
      <c r="D144" s="398"/>
      <c r="E144" s="398"/>
      <c r="F144" s="649">
        <f>'905Hosp'!F145</f>
        <v>0</v>
      </c>
      <c r="H144" s="649" t="e">
        <f t="shared" si="25"/>
        <v>#N/A</v>
      </c>
      <c r="J144" s="413" t="e">
        <f t="shared" si="27"/>
        <v>#N/A</v>
      </c>
      <c r="L144" s="414" t="e">
        <f t="shared" si="28"/>
        <v>#N/A</v>
      </c>
      <c r="N144" s="2031" t="str">
        <f t="shared" si="26"/>
        <v xml:space="preserve"> </v>
      </c>
    </row>
    <row r="145" spans="1:15" ht="13.5" x14ac:dyDescent="0.25">
      <c r="A145" s="1129">
        <v>2040</v>
      </c>
      <c r="B145" s="3307" t="s">
        <v>5491</v>
      </c>
      <c r="C145" s="3307"/>
      <c r="D145" s="398"/>
      <c r="E145" s="398"/>
      <c r="F145" s="649">
        <f>'905Hosp'!F146</f>
        <v>0</v>
      </c>
      <c r="H145" s="649" t="e">
        <f t="shared" si="25"/>
        <v>#N/A</v>
      </c>
      <c r="J145" s="413" t="e">
        <f t="shared" si="27"/>
        <v>#N/A</v>
      </c>
      <c r="L145" s="414" t="e">
        <f t="shared" si="28"/>
        <v>#N/A</v>
      </c>
      <c r="N145" s="26" t="str">
        <f t="shared" si="26"/>
        <v xml:space="preserve"> </v>
      </c>
    </row>
    <row r="146" spans="1:15" ht="13.5" x14ac:dyDescent="0.25">
      <c r="A146" s="1129">
        <v>2050</v>
      </c>
      <c r="B146" s="3206" t="s">
        <v>1548</v>
      </c>
      <c r="C146" s="3206"/>
      <c r="D146" s="398"/>
      <c r="E146" s="398"/>
      <c r="F146" s="649">
        <f>'905Hosp'!F147</f>
        <v>0</v>
      </c>
      <c r="H146" s="649" t="e">
        <f t="shared" si="25"/>
        <v>#N/A</v>
      </c>
      <c r="J146" s="413" t="e">
        <f t="shared" si="27"/>
        <v>#N/A</v>
      </c>
      <c r="L146" s="414" t="e">
        <f t="shared" si="28"/>
        <v>#N/A</v>
      </c>
      <c r="N146" s="26" t="str">
        <f t="shared" si="26"/>
        <v xml:space="preserve"> </v>
      </c>
    </row>
    <row r="147" spans="1:15" ht="13.5" x14ac:dyDescent="0.25">
      <c r="A147" s="1129">
        <v>2060</v>
      </c>
      <c r="B147" s="3206" t="s">
        <v>1061</v>
      </c>
      <c r="C147" s="3206"/>
      <c r="D147" s="398"/>
      <c r="E147" s="398"/>
      <c r="F147" s="649">
        <f>'905Hosp'!F148</f>
        <v>0</v>
      </c>
      <c r="H147" s="649" t="e">
        <f t="shared" si="25"/>
        <v>#N/A</v>
      </c>
      <c r="J147" s="413" t="e">
        <f t="shared" si="27"/>
        <v>#N/A</v>
      </c>
      <c r="L147" s="414" t="e">
        <f t="shared" si="28"/>
        <v>#N/A</v>
      </c>
      <c r="N147" s="26" t="str">
        <f t="shared" si="26"/>
        <v xml:space="preserve"> </v>
      </c>
    </row>
    <row r="148" spans="1:15" ht="13.5" x14ac:dyDescent="0.25">
      <c r="A148" s="1129">
        <v>2061</v>
      </c>
      <c r="B148" s="3206" t="s">
        <v>1062</v>
      </c>
      <c r="C148" s="3206"/>
      <c r="D148" s="398"/>
      <c r="E148" s="398"/>
      <c r="F148" s="649">
        <f>'905Hosp'!F149</f>
        <v>0</v>
      </c>
      <c r="H148" s="649" t="e">
        <f t="shared" si="25"/>
        <v>#N/A</v>
      </c>
      <c r="J148" s="413" t="e">
        <f t="shared" ref="J148:J156" si="29">F148-H148</f>
        <v>#N/A</v>
      </c>
      <c r="L148" s="414" t="e">
        <f t="shared" ref="L148:L156" si="30">IF(H148=0,0,J148/H148)</f>
        <v>#N/A</v>
      </c>
      <c r="N148" s="26" t="str">
        <f t="shared" si="26"/>
        <v xml:space="preserve"> </v>
      </c>
    </row>
    <row r="149" spans="1:15" ht="13.5" x14ac:dyDescent="0.25">
      <c r="A149" s="1129">
        <v>2045</v>
      </c>
      <c r="B149" s="3206" t="s">
        <v>93</v>
      </c>
      <c r="C149" s="3206"/>
      <c r="D149" s="398"/>
      <c r="E149" s="398"/>
      <c r="F149" s="649">
        <f>'905Hosp'!F150</f>
        <v>0</v>
      </c>
      <c r="H149" s="649" t="e">
        <f t="shared" si="25"/>
        <v>#N/A</v>
      </c>
      <c r="J149" s="413" t="e">
        <f t="shared" si="29"/>
        <v>#N/A</v>
      </c>
      <c r="L149" s="414" t="e">
        <f t="shared" si="30"/>
        <v>#N/A</v>
      </c>
      <c r="N149" s="26" t="str">
        <f t="shared" si="26"/>
        <v xml:space="preserve"> </v>
      </c>
    </row>
    <row r="150" spans="1:15" ht="13.5" x14ac:dyDescent="0.25">
      <c r="A150" s="1129">
        <v>2085</v>
      </c>
      <c r="B150" s="3206" t="s">
        <v>1226</v>
      </c>
      <c r="C150" s="3206"/>
      <c r="D150" s="398"/>
      <c r="E150" s="398"/>
      <c r="F150" s="649">
        <f>'905Hosp'!F151</f>
        <v>0</v>
      </c>
      <c r="H150" s="649" t="e">
        <f t="shared" si="25"/>
        <v>#N/A</v>
      </c>
      <c r="J150" s="413" t="e">
        <f t="shared" si="29"/>
        <v>#N/A</v>
      </c>
      <c r="L150" s="414" t="e">
        <f t="shared" si="30"/>
        <v>#N/A</v>
      </c>
      <c r="N150" s="26" t="str">
        <f t="shared" si="26"/>
        <v xml:space="preserve"> </v>
      </c>
    </row>
    <row r="151" spans="1:15" ht="13.5" x14ac:dyDescent="0.25">
      <c r="A151" s="1129">
        <v>2087</v>
      </c>
      <c r="B151" s="3206" t="s">
        <v>4602</v>
      </c>
      <c r="C151" s="3206"/>
      <c r="D151" s="398"/>
      <c r="E151" s="398"/>
      <c r="F151" s="649">
        <f>'905Hosp'!F152</f>
        <v>0</v>
      </c>
      <c r="H151" s="649" t="e">
        <f t="shared" si="25"/>
        <v>#N/A</v>
      </c>
      <c r="J151" s="413" t="e">
        <f>F151-H151</f>
        <v>#N/A</v>
      </c>
      <c r="L151" s="414" t="e">
        <f>IF(H151=0,0,J151/H151)</f>
        <v>#N/A</v>
      </c>
      <c r="N151" s="26" t="str">
        <f>IF($F$84=0," ",IF(AND(ABS(J151)&gt;$L$3,ABS(L151)&gt;$L$2),"C",IF(AND(ABS(F151+H151)&gt;0,H151=0,ABS(J151)&gt;$L$3),"C"," ")))</f>
        <v xml:space="preserve"> </v>
      </c>
    </row>
    <row r="152" spans="1:15" ht="13.5" x14ac:dyDescent="0.25">
      <c r="A152" s="1129">
        <v>2090</v>
      </c>
      <c r="B152" s="3206" t="s">
        <v>3879</v>
      </c>
      <c r="C152" s="3206"/>
      <c r="D152" s="3206"/>
      <c r="E152" s="3206"/>
      <c r="F152" s="649">
        <f>'905Hosp'!F153</f>
        <v>0</v>
      </c>
      <c r="H152" s="649" t="e">
        <f t="shared" si="25"/>
        <v>#N/A</v>
      </c>
      <c r="J152" s="413" t="e">
        <f t="shared" si="29"/>
        <v>#N/A</v>
      </c>
      <c r="L152" s="414" t="e">
        <f t="shared" si="30"/>
        <v>#N/A</v>
      </c>
      <c r="N152" s="26" t="str">
        <f t="shared" si="26"/>
        <v xml:space="preserve"> </v>
      </c>
    </row>
    <row r="153" spans="1:15" ht="13.5" x14ac:dyDescent="0.25">
      <c r="A153" s="1129">
        <v>2098</v>
      </c>
      <c r="B153" s="3206" t="s">
        <v>3880</v>
      </c>
      <c r="C153" s="3206"/>
      <c r="D153" s="3206"/>
      <c r="E153" s="3206"/>
      <c r="F153" s="649">
        <f>'905Hosp'!F154</f>
        <v>0</v>
      </c>
      <c r="H153" s="649" t="e">
        <f t="shared" si="25"/>
        <v>#N/A</v>
      </c>
      <c r="J153" s="413" t="e">
        <f>F153-H153</f>
        <v>#N/A</v>
      </c>
      <c r="L153" s="414" t="e">
        <f>IF(H153=0,0,J153/H153)</f>
        <v>#N/A</v>
      </c>
      <c r="N153" s="26" t="str">
        <f t="shared" si="26"/>
        <v xml:space="preserve"> </v>
      </c>
    </row>
    <row r="154" spans="1:15" ht="13.5" x14ac:dyDescent="0.25">
      <c r="A154" s="1129">
        <v>2099</v>
      </c>
      <c r="B154" s="3206" t="s">
        <v>4456</v>
      </c>
      <c r="C154" s="3206"/>
      <c r="D154" s="398"/>
      <c r="E154" s="398"/>
      <c r="F154" s="649">
        <f>'905Hosp'!F155</f>
        <v>0</v>
      </c>
      <c r="H154" s="649" t="e">
        <f t="shared" si="25"/>
        <v>#N/A</v>
      </c>
      <c r="J154" s="413" t="e">
        <f>F154-H154</f>
        <v>#N/A</v>
      </c>
      <c r="L154" s="414" t="e">
        <f>IF(H154=0,0,J154/H154)</f>
        <v>#N/A</v>
      </c>
      <c r="N154" s="26" t="str">
        <f>IF($F$84=0," ",IF(AND(ABS(J154)&gt;$L$3,ABS(L154)&gt;$L$2),"C",IF(AND(ABS(F154+H154)&gt;0,H154=0,ABS(J154)&gt;$L$3),"C"," ")))</f>
        <v xml:space="preserve"> </v>
      </c>
      <c r="O154" s="1610"/>
    </row>
    <row r="155" spans="1:15" ht="13.5" x14ac:dyDescent="0.25">
      <c r="A155" s="1129">
        <v>2095</v>
      </c>
      <c r="B155" s="3206" t="s">
        <v>1424</v>
      </c>
      <c r="C155" s="3206"/>
      <c r="D155" s="398"/>
      <c r="E155" s="398"/>
      <c r="F155" s="649">
        <f>'905Hosp'!F156</f>
        <v>0</v>
      </c>
      <c r="H155" s="649" t="e">
        <f t="shared" si="25"/>
        <v>#N/A</v>
      </c>
      <c r="J155" s="413" t="e">
        <f t="shared" si="29"/>
        <v>#N/A</v>
      </c>
      <c r="L155" s="414" t="e">
        <f t="shared" si="30"/>
        <v>#N/A</v>
      </c>
      <c r="N155" s="26" t="str">
        <f t="shared" si="26"/>
        <v xml:space="preserve"> </v>
      </c>
    </row>
    <row r="156" spans="1:15" ht="13.5" x14ac:dyDescent="0.25">
      <c r="A156" s="1129">
        <v>2096</v>
      </c>
      <c r="B156" s="3206" t="s">
        <v>1549</v>
      </c>
      <c r="C156" s="3206"/>
      <c r="D156" s="398"/>
      <c r="E156" s="398"/>
      <c r="F156" s="649">
        <f>'905Hosp'!F157</f>
        <v>0</v>
      </c>
      <c r="H156" s="649" t="e">
        <f t="shared" si="25"/>
        <v>#N/A</v>
      </c>
      <c r="J156" s="413" t="e">
        <f t="shared" si="29"/>
        <v>#N/A</v>
      </c>
      <c r="L156" s="414" t="e">
        <f t="shared" si="30"/>
        <v>#N/A</v>
      </c>
      <c r="N156" s="26" t="str">
        <f t="shared" si="26"/>
        <v xml:space="preserve"> </v>
      </c>
    </row>
    <row r="157" spans="1:15" ht="13.5" x14ac:dyDescent="0.25">
      <c r="B157" s="3206" t="s">
        <v>474</v>
      </c>
      <c r="C157" s="3206"/>
      <c r="D157" s="398"/>
      <c r="E157" s="398"/>
      <c r="F157" s="402">
        <f>SUM(F135:F156)</f>
        <v>0</v>
      </c>
      <c r="H157" s="402" t="e">
        <f>SUM(H135:H156)</f>
        <v>#N/A</v>
      </c>
      <c r="J157" s="413" t="e">
        <f t="shared" si="27"/>
        <v>#N/A</v>
      </c>
      <c r="L157" s="414" t="e">
        <f t="shared" si="28"/>
        <v>#N/A</v>
      </c>
    </row>
    <row r="158" spans="1:15" ht="13.5" x14ac:dyDescent="0.25">
      <c r="B158" s="398"/>
      <c r="C158" s="398"/>
      <c r="D158" s="398"/>
      <c r="E158" s="398"/>
      <c r="F158" s="404"/>
      <c r="H158" s="404"/>
      <c r="J158" s="413"/>
      <c r="L158" s="414"/>
    </row>
    <row r="159" spans="1:15" ht="13.5" x14ac:dyDescent="0.25">
      <c r="B159" s="3206" t="s">
        <v>791</v>
      </c>
      <c r="C159" s="3206"/>
      <c r="D159" s="398"/>
      <c r="E159" s="398"/>
      <c r="F159" s="404">
        <f>F132+F157</f>
        <v>0</v>
      </c>
      <c r="H159" s="404" t="e">
        <f>H132+H157</f>
        <v>#N/A</v>
      </c>
      <c r="J159" s="413" t="e">
        <f t="shared" si="27"/>
        <v>#N/A</v>
      </c>
      <c r="L159" s="414" t="e">
        <f t="shared" si="28"/>
        <v>#N/A</v>
      </c>
    </row>
    <row r="160" spans="1:15" ht="7.5" customHeight="1" x14ac:dyDescent="0.25">
      <c r="B160" s="398"/>
      <c r="C160" s="398"/>
      <c r="D160" s="398"/>
      <c r="E160" s="398"/>
      <c r="F160" s="656"/>
      <c r="H160" s="656"/>
      <c r="J160" s="413"/>
      <c r="L160" s="414"/>
    </row>
    <row r="161" spans="1:19" ht="13.5" x14ac:dyDescent="0.25">
      <c r="B161" s="394" t="s">
        <v>1931</v>
      </c>
      <c r="F161"/>
      <c r="H161" s="656"/>
      <c r="J161" s="413"/>
      <c r="L161" s="414"/>
    </row>
    <row r="162" spans="1:19" ht="13.5" x14ac:dyDescent="0.25">
      <c r="A162" s="335">
        <v>1764</v>
      </c>
      <c r="B162" s="3206" t="s">
        <v>3975</v>
      </c>
      <c r="C162" s="3206"/>
      <c r="D162" s="3206"/>
      <c r="E162" s="3206"/>
      <c r="F162" s="649">
        <f>'905Hosp'!F163</f>
        <v>0</v>
      </c>
      <c r="G162" s="398"/>
      <c r="H162" s="649" t="e">
        <f t="shared" ref="H162:H171" si="31">INDEX(PY905Data,MATCH($A162,PY905Row,0),MATCH($C$5,PY905Col,0))</f>
        <v>#N/A</v>
      </c>
      <c r="J162" s="413" t="e">
        <f t="shared" ref="J162:J172" si="32">F162-H162</f>
        <v>#N/A</v>
      </c>
      <c r="L162" s="414" t="e">
        <f t="shared" ref="L162:L172" si="33">IF(H162=0,0,J162/H162)</f>
        <v>#N/A</v>
      </c>
      <c r="N162" s="26" t="str">
        <f t="shared" ref="N162:N171" si="34">IF($F$84=0," ",IF(AND(ABS(J162)&gt;$L$3,ABS(L162)&gt;$L$2),"C",IF(AND(ABS(F162+H162)&gt;0,H162=0,ABS(J162)&gt;$L$3),"C"," ")))</f>
        <v xml:space="preserve"> </v>
      </c>
    </row>
    <row r="163" spans="1:19" ht="13.5" x14ac:dyDescent="0.25">
      <c r="A163" s="335">
        <v>2026</v>
      </c>
      <c r="B163" s="3206" t="s">
        <v>3976</v>
      </c>
      <c r="C163" s="3206"/>
      <c r="D163" s="3206"/>
      <c r="E163" s="3206"/>
      <c r="F163" s="649">
        <f>'905Hosp'!F164</f>
        <v>0</v>
      </c>
      <c r="G163" s="398"/>
      <c r="H163" s="649" t="e">
        <f t="shared" si="31"/>
        <v>#N/A</v>
      </c>
      <c r="J163" s="413" t="e">
        <f t="shared" si="32"/>
        <v>#N/A</v>
      </c>
      <c r="L163" s="414" t="e">
        <f t="shared" si="33"/>
        <v>#N/A</v>
      </c>
      <c r="N163" s="26" t="str">
        <f t="shared" si="34"/>
        <v xml:space="preserve"> </v>
      </c>
    </row>
    <row r="164" spans="1:19" ht="13.5" x14ac:dyDescent="0.25">
      <c r="A164" s="335">
        <v>1766</v>
      </c>
      <c r="B164" s="3206" t="s">
        <v>3560</v>
      </c>
      <c r="C164" s="3206"/>
      <c r="D164" s="3206"/>
      <c r="E164" s="3206"/>
      <c r="F164" s="649">
        <f>'905Hosp'!F165</f>
        <v>0</v>
      </c>
      <c r="G164" s="398"/>
      <c r="H164" s="649" t="e">
        <f t="shared" si="31"/>
        <v>#N/A</v>
      </c>
      <c r="J164" s="413" t="e">
        <f t="shared" si="32"/>
        <v>#N/A</v>
      </c>
      <c r="L164" s="414" t="e">
        <f t="shared" si="33"/>
        <v>#N/A</v>
      </c>
      <c r="N164" s="26" t="str">
        <f t="shared" si="34"/>
        <v xml:space="preserve"> </v>
      </c>
      <c r="P164" s="3299"/>
      <c r="Q164" s="3299"/>
      <c r="R164" s="398"/>
      <c r="S164" s="398"/>
    </row>
    <row r="165" spans="1:19" ht="13.5" x14ac:dyDescent="0.25">
      <c r="A165" s="335">
        <v>1768</v>
      </c>
      <c r="B165" s="3206" t="s">
        <v>3577</v>
      </c>
      <c r="C165" s="3206"/>
      <c r="D165" s="3206"/>
      <c r="E165" s="3206"/>
      <c r="F165" s="649">
        <f>'905Hosp'!F166</f>
        <v>0</v>
      </c>
      <c r="G165" s="398"/>
      <c r="H165" s="649" t="e">
        <f t="shared" si="31"/>
        <v>#N/A</v>
      </c>
      <c r="J165" s="413" t="e">
        <f t="shared" si="32"/>
        <v>#N/A</v>
      </c>
      <c r="L165" s="414" t="e">
        <f t="shared" si="33"/>
        <v>#N/A</v>
      </c>
      <c r="N165" s="26" t="str">
        <f t="shared" si="34"/>
        <v xml:space="preserve"> </v>
      </c>
      <c r="P165" s="3299"/>
      <c r="Q165" s="3299"/>
      <c r="R165" s="398"/>
      <c r="S165" s="398"/>
    </row>
    <row r="166" spans="1:19" ht="13.5" x14ac:dyDescent="0.25">
      <c r="A166" s="335">
        <v>1765</v>
      </c>
      <c r="B166" s="3206" t="s">
        <v>3876</v>
      </c>
      <c r="C166" s="3206"/>
      <c r="D166" s="3206"/>
      <c r="E166" s="3206"/>
      <c r="F166" s="649">
        <f>'905Hosp'!F167</f>
        <v>0</v>
      </c>
      <c r="G166" s="398"/>
      <c r="H166" s="649" t="e">
        <f t="shared" si="31"/>
        <v>#N/A</v>
      </c>
      <c r="J166" s="413" t="e">
        <f>F166-H166</f>
        <v>#N/A</v>
      </c>
      <c r="L166" s="414" t="e">
        <f>IF(H166=0,0,J166/H166)</f>
        <v>#N/A</v>
      </c>
      <c r="N166" s="26" t="str">
        <f t="shared" si="34"/>
        <v xml:space="preserve"> </v>
      </c>
      <c r="P166" s="3299"/>
      <c r="Q166" s="3299"/>
      <c r="R166" s="398"/>
      <c r="S166" s="398"/>
    </row>
    <row r="167" spans="1:19" ht="13.5" x14ac:dyDescent="0.25">
      <c r="A167" s="335">
        <v>1772</v>
      </c>
      <c r="B167" s="3206" t="s">
        <v>4458</v>
      </c>
      <c r="C167" s="3206"/>
      <c r="D167" s="3206"/>
      <c r="E167" s="3206"/>
      <c r="F167" s="649">
        <f>'905Hosp'!F168</f>
        <v>0</v>
      </c>
      <c r="G167" s="398"/>
      <c r="H167" s="649" t="e">
        <f t="shared" si="31"/>
        <v>#N/A</v>
      </c>
      <c r="J167" s="413" t="e">
        <f>F167-H167</f>
        <v>#N/A</v>
      </c>
      <c r="L167" s="414" t="e">
        <f>IF(H167=0,0,J167/H167)</f>
        <v>#N/A</v>
      </c>
      <c r="N167" s="26" t="str">
        <f>IF($F$84=0," ",IF(AND(ABS(J167)&gt;$L$3,ABS(L167)&gt;$L$2),"C",IF(AND(ABS(F167+H167)&gt;0,H167=0,ABS(J167)&gt;$L$3),"C"," ")))</f>
        <v xml:space="preserve"> </v>
      </c>
      <c r="O167" s="1610"/>
      <c r="P167" s="3299"/>
      <c r="Q167" s="3299"/>
      <c r="R167" s="398"/>
      <c r="S167" s="398"/>
    </row>
    <row r="168" spans="1:19" ht="13.5" x14ac:dyDescent="0.25">
      <c r="A168" s="335">
        <v>1767</v>
      </c>
      <c r="B168" s="3206" t="s">
        <v>3875</v>
      </c>
      <c r="C168" s="3206"/>
      <c r="D168" s="3206"/>
      <c r="E168" s="3206"/>
      <c r="F168" s="649">
        <f>'905Hosp'!F169</f>
        <v>0</v>
      </c>
      <c r="G168" s="398"/>
      <c r="H168" s="649" t="e">
        <f t="shared" si="31"/>
        <v>#N/A</v>
      </c>
      <c r="J168" s="413" t="e">
        <f>F168-H168</f>
        <v>#N/A</v>
      </c>
      <c r="L168" s="414" t="e">
        <f>IF(H168=0,0,J168/H168)</f>
        <v>#N/A</v>
      </c>
      <c r="N168" s="26" t="str">
        <f>IF($F$84=0," ",IF(AND(ABS(J168)&gt;$L$3,ABS(L168)&gt;$L$2),"C",IF(AND(ABS(F168+H168)&gt;0,H168=0,ABS(J168)&gt;$L$3),"C"," ")))</f>
        <v xml:space="preserve"> </v>
      </c>
      <c r="P168" s="3299"/>
      <c r="Q168" s="3299"/>
      <c r="R168" s="398"/>
      <c r="S168" s="398"/>
    </row>
    <row r="169" spans="1:19" ht="13.5" x14ac:dyDescent="0.25">
      <c r="A169" s="335">
        <v>1771</v>
      </c>
      <c r="B169" s="3206" t="s">
        <v>4457</v>
      </c>
      <c r="C169" s="3206"/>
      <c r="D169" s="3206"/>
      <c r="E169" s="3206"/>
      <c r="F169" s="649">
        <f>'905Hosp'!F170</f>
        <v>0</v>
      </c>
      <c r="G169" s="398"/>
      <c r="H169" s="649" t="e">
        <f t="shared" si="31"/>
        <v>#N/A</v>
      </c>
      <c r="J169" s="413" t="e">
        <f>F169-H169</f>
        <v>#N/A</v>
      </c>
      <c r="L169" s="414" t="e">
        <f>IF(H169=0,0,J169/H169)</f>
        <v>#N/A</v>
      </c>
      <c r="N169" s="26" t="str">
        <f t="shared" si="34"/>
        <v xml:space="preserve"> </v>
      </c>
      <c r="O169" s="1610"/>
      <c r="P169" s="3299"/>
      <c r="Q169" s="3299"/>
      <c r="R169" s="398"/>
      <c r="S169" s="398"/>
    </row>
    <row r="170" spans="1:19" s="2529" customFormat="1" ht="13.5" x14ac:dyDescent="0.25">
      <c r="A170" s="2531">
        <v>1773</v>
      </c>
      <c r="B170" s="3307" t="s">
        <v>5526</v>
      </c>
      <c r="C170" s="3307"/>
      <c r="D170" s="3307"/>
      <c r="E170" s="3307"/>
      <c r="F170" s="649">
        <f>'905Hosp'!F171</f>
        <v>0</v>
      </c>
      <c r="G170" s="2532"/>
      <c r="H170" s="649" t="e">
        <f t="shared" si="31"/>
        <v>#N/A</v>
      </c>
      <c r="J170" s="413" t="e">
        <f>F170-H170</f>
        <v>#N/A</v>
      </c>
      <c r="L170" s="414" t="e">
        <f>IF(H170=0,0,J170/H170)</f>
        <v>#N/A</v>
      </c>
      <c r="N170" s="2530" t="str">
        <f t="shared" si="34"/>
        <v xml:space="preserve"> </v>
      </c>
      <c r="O170" s="1610"/>
      <c r="P170" s="2533"/>
      <c r="Q170" s="2533"/>
      <c r="R170" s="2532"/>
      <c r="S170" s="2532"/>
    </row>
    <row r="171" spans="1:19" ht="13.5" x14ac:dyDescent="0.25">
      <c r="A171" s="335">
        <v>1769</v>
      </c>
      <c r="B171" s="3206" t="s">
        <v>3954</v>
      </c>
      <c r="C171" s="3206"/>
      <c r="D171" s="3206"/>
      <c r="E171" s="3206"/>
      <c r="F171" s="651">
        <f>'905Hosp'!F172</f>
        <v>0</v>
      </c>
      <c r="G171" s="398"/>
      <c r="H171" s="651" t="e">
        <f t="shared" si="31"/>
        <v>#N/A</v>
      </c>
      <c r="J171" s="413" t="e">
        <f t="shared" si="32"/>
        <v>#N/A</v>
      </c>
      <c r="L171" s="414" t="e">
        <f t="shared" si="33"/>
        <v>#N/A</v>
      </c>
      <c r="N171" s="26" t="str">
        <f t="shared" si="34"/>
        <v xml:space="preserve"> </v>
      </c>
      <c r="P171" s="3299"/>
      <c r="Q171" s="3299"/>
      <c r="R171" s="398"/>
      <c r="S171" s="398"/>
    </row>
    <row r="172" spans="1:19" ht="13.5" x14ac:dyDescent="0.25">
      <c r="B172" s="3206" t="s">
        <v>1934</v>
      </c>
      <c r="C172" s="3206"/>
      <c r="D172" s="398"/>
      <c r="E172" s="398"/>
      <c r="F172" s="404">
        <f>SUM(F162:F171)</f>
        <v>0</v>
      </c>
      <c r="G172" s="398"/>
      <c r="H172" s="404" t="e">
        <f>SUM(H162:H171)</f>
        <v>#N/A</v>
      </c>
      <c r="J172" s="413" t="e">
        <f t="shared" si="32"/>
        <v>#N/A</v>
      </c>
      <c r="L172" s="414" t="e">
        <f t="shared" si="33"/>
        <v>#N/A</v>
      </c>
    </row>
    <row r="173" spans="1:19" ht="14.25" thickBot="1" x14ac:dyDescent="0.3">
      <c r="B173" s="691"/>
      <c r="C173" s="691"/>
      <c r="D173" s="691"/>
      <c r="E173" s="691"/>
      <c r="F173" s="691"/>
      <c r="G173" s="691"/>
      <c r="J173" s="413"/>
      <c r="L173" s="414"/>
    </row>
    <row r="174" spans="1:19" ht="13.5" thickBot="1" x14ac:dyDescent="0.25">
      <c r="B174" s="395" t="s">
        <v>1905</v>
      </c>
      <c r="F174" s="1566" t="s">
        <v>3972</v>
      </c>
      <c r="G174" s="1567"/>
      <c r="H174" s="1568"/>
      <c r="I174" s="1567"/>
      <c r="J174" s="1567"/>
      <c r="K174" s="1567"/>
      <c r="L174" s="1569"/>
    </row>
    <row r="175" spans="1:19" ht="13.5" x14ac:dyDescent="0.25">
      <c r="A175" s="335">
        <v>2130</v>
      </c>
      <c r="B175" s="3206" t="s">
        <v>3469</v>
      </c>
      <c r="C175" s="3206"/>
      <c r="D175" s="398"/>
      <c r="E175" s="398"/>
      <c r="F175" s="649">
        <f>'905Hosp'!F176</f>
        <v>0</v>
      </c>
      <c r="H175" s="649" t="e">
        <f>INDEX(PY905Data,MATCH($A175,PY905Row,0),MATCH($C$5,PY905Col,0))</f>
        <v>#N/A</v>
      </c>
      <c r="J175" s="413" t="e">
        <f>F175-H175</f>
        <v>#N/A</v>
      </c>
      <c r="L175" s="414" t="e">
        <f>IF(H175=0,0,J175/H175)</f>
        <v>#N/A</v>
      </c>
    </row>
    <row r="176" spans="1:19" ht="13.5" x14ac:dyDescent="0.25">
      <c r="A176" s="330"/>
      <c r="B176" s="335" t="s">
        <v>1550</v>
      </c>
      <c r="C176" s="335"/>
      <c r="D176" s="335"/>
      <c r="E176" s="335"/>
      <c r="J176" s="413"/>
      <c r="L176" s="414"/>
    </row>
    <row r="177" spans="1:14" ht="13.5" x14ac:dyDescent="0.25">
      <c r="A177" s="335">
        <v>2140</v>
      </c>
      <c r="B177" s="3206" t="s">
        <v>192</v>
      </c>
      <c r="C177" s="3206"/>
      <c r="D177" s="398"/>
      <c r="E177" s="398"/>
      <c r="F177" s="649">
        <f>'905Hosp'!F178</f>
        <v>0</v>
      </c>
      <c r="H177" s="649" t="e">
        <f>INDEX(PY905Data,MATCH($A177,PY905Row,0),MATCH($C$5,PY905Col,0))</f>
        <v>#N/A</v>
      </c>
      <c r="J177" s="413" t="e">
        <f>F177-H177</f>
        <v>#N/A</v>
      </c>
      <c r="L177" s="414" t="e">
        <f>IF(H177=0,0,J177/H177)</f>
        <v>#N/A</v>
      </c>
    </row>
    <row r="178" spans="1:14" ht="13.5" x14ac:dyDescent="0.25">
      <c r="A178" s="335">
        <v>2141</v>
      </c>
      <c r="B178" s="3206" t="s">
        <v>475</v>
      </c>
      <c r="C178" s="3206"/>
      <c r="D178" s="398"/>
      <c r="E178" s="398"/>
      <c r="F178" s="649">
        <f>'905Hosp'!F179</f>
        <v>0</v>
      </c>
      <c r="H178" s="649" t="e">
        <f>INDEX(PY905Data,MATCH($A178,PY905Row,0),MATCH($C$5,PY905Col,0))</f>
        <v>#N/A</v>
      </c>
      <c r="J178" s="413" t="e">
        <f>F178-H178</f>
        <v>#N/A</v>
      </c>
      <c r="L178" s="414" t="e">
        <f>IF(H178=0,0,J178/H178)</f>
        <v>#N/A</v>
      </c>
    </row>
    <row r="179" spans="1:14" ht="13.5" x14ac:dyDescent="0.25">
      <c r="A179" s="335">
        <v>2142</v>
      </c>
      <c r="B179" s="3206" t="s">
        <v>476</v>
      </c>
      <c r="C179" s="3206"/>
      <c r="D179" s="398"/>
      <c r="E179" s="398"/>
      <c r="F179" s="649">
        <f>'905Hosp'!F180</f>
        <v>0</v>
      </c>
      <c r="H179" s="649" t="e">
        <f>INDEX(PY905Data,MATCH($A179,PY905Row,0),MATCH($C$5,PY905Col,0))</f>
        <v>#N/A</v>
      </c>
      <c r="J179" s="413" t="e">
        <f>F179-H179</f>
        <v>#N/A</v>
      </c>
      <c r="L179" s="414" t="e">
        <f>IF(H179=0,0,J179/H179)</f>
        <v>#N/A</v>
      </c>
    </row>
    <row r="180" spans="1:14" ht="13.5" x14ac:dyDescent="0.25">
      <c r="A180" s="330"/>
      <c r="B180" s="335" t="s">
        <v>1303</v>
      </c>
      <c r="C180" s="335"/>
      <c r="D180" s="335"/>
      <c r="E180" s="335"/>
      <c r="J180" s="413"/>
      <c r="L180" s="414"/>
    </row>
    <row r="181" spans="1:14" ht="13.5" x14ac:dyDescent="0.25">
      <c r="A181" s="335">
        <v>2150</v>
      </c>
      <c r="B181" s="3206" t="s">
        <v>192</v>
      </c>
      <c r="C181" s="3206"/>
      <c r="D181" s="398"/>
      <c r="E181" s="398"/>
      <c r="F181" s="649">
        <f>'905Hosp'!F182</f>
        <v>0</v>
      </c>
      <c r="H181" s="649" t="e">
        <f>INDEX(PY905Data,MATCH($A181,PY905Row,0),MATCH($C$5,PY905Col,0))</f>
        <v>#N/A</v>
      </c>
      <c r="J181" s="413" t="e">
        <f>F181-H181</f>
        <v>#N/A</v>
      </c>
      <c r="L181" s="414" t="e">
        <f>IF(H181=0,0,J181/H181)</f>
        <v>#N/A</v>
      </c>
    </row>
    <row r="182" spans="1:14" ht="13.5" x14ac:dyDescent="0.25">
      <c r="A182" s="335">
        <v>2151</v>
      </c>
      <c r="B182" s="3206" t="s">
        <v>475</v>
      </c>
      <c r="C182" s="3206"/>
      <c r="D182" s="398"/>
      <c r="E182" s="398"/>
      <c r="F182" s="649">
        <f>'905Hosp'!F183</f>
        <v>0</v>
      </c>
      <c r="H182" s="649" t="e">
        <f>INDEX(PY905Data,MATCH($A182,PY905Row,0),MATCH($C$5,PY905Col,0))</f>
        <v>#N/A</v>
      </c>
      <c r="J182" s="413" t="e">
        <f>F182-H182</f>
        <v>#N/A</v>
      </c>
      <c r="L182" s="414" t="e">
        <f>IF(H182=0,0,J182/H182)</f>
        <v>#N/A</v>
      </c>
    </row>
    <row r="183" spans="1:14" ht="13.5" x14ac:dyDescent="0.25">
      <c r="A183" s="335">
        <v>2152</v>
      </c>
      <c r="B183" s="3206" t="s">
        <v>476</v>
      </c>
      <c r="C183" s="3206"/>
      <c r="D183" s="398"/>
      <c r="E183" s="398"/>
      <c r="F183" s="649">
        <f>'905Hosp'!F184</f>
        <v>0</v>
      </c>
      <c r="H183" s="649" t="e">
        <f>INDEX(PY905Data,MATCH($A183,PY905Row,0),MATCH($C$5,PY905Col,0))</f>
        <v>#N/A</v>
      </c>
      <c r="J183" s="413" t="e">
        <f>F183-H183</f>
        <v>#N/A</v>
      </c>
      <c r="L183" s="414" t="e">
        <f>IF(H183=0,0,J183/H183)</f>
        <v>#N/A</v>
      </c>
    </row>
    <row r="184" spans="1:14" ht="13.5" x14ac:dyDescent="0.25">
      <c r="A184" s="335">
        <v>2180</v>
      </c>
      <c r="B184" s="3206" t="s">
        <v>923</v>
      </c>
      <c r="C184" s="3206"/>
      <c r="D184" s="398"/>
      <c r="E184" s="398"/>
      <c r="F184" s="649">
        <f>'905Hosp'!F185</f>
        <v>0</v>
      </c>
      <c r="H184" s="649" t="e">
        <f>INDEX(PY905Data,MATCH($A184,PY905Row,0),MATCH($C$5,PY905Col,0))</f>
        <v>#N/A</v>
      </c>
      <c r="J184" s="413" t="e">
        <f>F184-H184</f>
        <v>#N/A</v>
      </c>
      <c r="L184" s="414" t="e">
        <f>IF(H184=0,0,J184/H184)</f>
        <v>#N/A</v>
      </c>
    </row>
    <row r="185" spans="1:14" ht="14.25" thickBot="1" x14ac:dyDescent="0.3">
      <c r="B185" s="3206" t="s">
        <v>1889</v>
      </c>
      <c r="C185" s="3206"/>
      <c r="D185" s="398"/>
      <c r="E185" s="398"/>
      <c r="F185" s="405">
        <f>SUM(F175:F184)</f>
        <v>0</v>
      </c>
      <c r="H185" s="405" t="e">
        <f>SUM(H175:H184)</f>
        <v>#N/A</v>
      </c>
      <c r="J185" s="413" t="e">
        <f>F185-H185</f>
        <v>#N/A</v>
      </c>
      <c r="L185" s="414" t="e">
        <f>IF(H185=0,0,J185/H185)</f>
        <v>#N/A</v>
      </c>
    </row>
    <row r="186" spans="1:14" ht="6" customHeight="1" thickTop="1" x14ac:dyDescent="0.25">
      <c r="B186" s="398"/>
      <c r="C186" s="398"/>
      <c r="D186" s="398"/>
      <c r="E186" s="398"/>
      <c r="J186" s="413"/>
      <c r="L186" s="414"/>
    </row>
    <row r="187" spans="1:14" x14ac:dyDescent="0.2">
      <c r="B187" s="335" t="s">
        <v>3480</v>
      </c>
      <c r="C187" s="44"/>
      <c r="D187" s="44"/>
      <c r="E187" s="44"/>
      <c r="F187" s="805" t="str">
        <f>IF(ROUND(F84+F94-F159-F172,2)=F185, "In Bal.","Out of Bal.")</f>
        <v>In Bal.</v>
      </c>
      <c r="H187" s="805" t="e">
        <f>IF(ROUND(H84+H94-H159-H172,2)=H185, "In Bal.","Out of Bal.")</f>
        <v>#N/A</v>
      </c>
    </row>
    <row r="188" spans="1:14" x14ac:dyDescent="0.2">
      <c r="B188" s="335" t="s">
        <v>1935</v>
      </c>
      <c r="C188" s="44"/>
      <c r="D188" s="44"/>
      <c r="E188" s="44"/>
    </row>
    <row r="189" spans="1:14" x14ac:dyDescent="0.2">
      <c r="B189" s="1256" t="s">
        <v>1906</v>
      </c>
      <c r="C189" s="653"/>
      <c r="D189" s="653"/>
      <c r="E189" s="653"/>
      <c r="F189" s="654"/>
    </row>
    <row r="190" spans="1:14" x14ac:dyDescent="0.2">
      <c r="B190" s="407" t="s">
        <v>387</v>
      </c>
      <c r="C190" s="407"/>
      <c r="D190" s="407"/>
      <c r="E190" s="407"/>
      <c r="F190" s="1255" t="str">
        <f>CONCATENATE("FYE ",+TEXT(Data!$A$2,"mmmm d,yyyy"))</f>
        <v>FYE June 30,2022</v>
      </c>
      <c r="H190" s="1255" t="str">
        <f>CONCATENATE("FYE ",+TEXT(Data!$A$4,"mmmm d,yyyy"))</f>
        <v>FYE June 30,2021</v>
      </c>
    </row>
    <row r="191" spans="1:14" ht="13.5" x14ac:dyDescent="0.25">
      <c r="A191" s="335">
        <v>2310</v>
      </c>
      <c r="B191" s="3206" t="s">
        <v>782</v>
      </c>
      <c r="C191" s="3206"/>
      <c r="D191" s="398"/>
      <c r="E191" s="398"/>
      <c r="F191" s="649">
        <f>'905Hosp'!F192</f>
        <v>0</v>
      </c>
      <c r="H191" s="649" t="e">
        <f t="shared" ref="H191:H201" si="35">INDEX(PY905Data,MATCH($A191,PY905Row,0),MATCH($C$5,PY905Col,0))</f>
        <v>#N/A</v>
      </c>
      <c r="J191" s="413" t="e">
        <f t="shared" ref="J191:J202" si="36">F191-H191</f>
        <v>#N/A</v>
      </c>
      <c r="L191" s="414" t="e">
        <f t="shared" ref="L191:L202" si="37">IF(H191=0,0,J191/H191)</f>
        <v>#N/A</v>
      </c>
      <c r="N191" s="26" t="str">
        <f t="shared" ref="N191:N201" si="38">IF($F$84=0," ",IF(AND(ABS(J191)&gt;$L$3,ABS(L191)&gt;$L$2),"C",IF(AND(ABS(F191+H191)&gt;0,H191=0,ABS(J191)&gt;$L$3),"C"," ")))</f>
        <v xml:space="preserve"> </v>
      </c>
    </row>
    <row r="192" spans="1:14" ht="13.5" x14ac:dyDescent="0.25">
      <c r="A192" s="335">
        <v>2320</v>
      </c>
      <c r="B192" s="3206" t="s">
        <v>1425</v>
      </c>
      <c r="C192" s="3206"/>
      <c r="D192" s="398"/>
      <c r="E192" s="398"/>
      <c r="F192" s="649">
        <f>'905Hosp'!F193</f>
        <v>0</v>
      </c>
      <c r="H192" s="649" t="e">
        <f t="shared" si="35"/>
        <v>#N/A</v>
      </c>
      <c r="J192" s="413" t="e">
        <f t="shared" si="36"/>
        <v>#N/A</v>
      </c>
      <c r="L192" s="414" t="e">
        <f t="shared" si="37"/>
        <v>#N/A</v>
      </c>
      <c r="N192" s="26" t="str">
        <f t="shared" si="38"/>
        <v xml:space="preserve"> </v>
      </c>
    </row>
    <row r="193" spans="1:14" ht="13.5" x14ac:dyDescent="0.25">
      <c r="A193" s="335">
        <v>2330</v>
      </c>
      <c r="B193" s="3206" t="s">
        <v>1426</v>
      </c>
      <c r="C193" s="3206"/>
      <c r="D193" s="398"/>
      <c r="E193" s="398"/>
      <c r="F193" s="649">
        <f>'905Hosp'!F194</f>
        <v>0</v>
      </c>
      <c r="H193" s="649" t="e">
        <f t="shared" si="35"/>
        <v>#N/A</v>
      </c>
      <c r="J193" s="413" t="e">
        <f>F193-H193</f>
        <v>#N/A</v>
      </c>
      <c r="L193" s="414" t="e">
        <f>IF(H193=0,0,J193/H193)</f>
        <v>#N/A</v>
      </c>
      <c r="N193" s="26" t="str">
        <f t="shared" si="38"/>
        <v xml:space="preserve"> </v>
      </c>
    </row>
    <row r="194" spans="1:14" ht="13.5" x14ac:dyDescent="0.25">
      <c r="A194" s="335">
        <v>2350</v>
      </c>
      <c r="B194" s="3206" t="s">
        <v>1427</v>
      </c>
      <c r="C194" s="3206"/>
      <c r="D194" s="398"/>
      <c r="E194" s="398"/>
      <c r="F194" s="649">
        <f>'905Hosp'!F195</f>
        <v>0</v>
      </c>
      <c r="H194" s="649" t="e">
        <f t="shared" si="35"/>
        <v>#N/A</v>
      </c>
      <c r="J194" s="413" t="e">
        <f>F194-H194</f>
        <v>#N/A</v>
      </c>
      <c r="L194" s="414" t="e">
        <f>IF(H194=0,0,J194/H194)</f>
        <v>#N/A</v>
      </c>
      <c r="N194" s="26" t="str">
        <f t="shared" si="38"/>
        <v xml:space="preserve"> </v>
      </c>
    </row>
    <row r="195" spans="1:14" ht="13.5" x14ac:dyDescent="0.25">
      <c r="A195" s="335">
        <v>2370</v>
      </c>
      <c r="B195" s="3206" t="s">
        <v>388</v>
      </c>
      <c r="C195" s="3206"/>
      <c r="D195" s="398"/>
      <c r="E195" s="398"/>
      <c r="F195" s="649">
        <f>'905Hosp'!F196</f>
        <v>0</v>
      </c>
      <c r="H195" s="649" t="e">
        <f t="shared" si="35"/>
        <v>#N/A</v>
      </c>
      <c r="J195" s="413" t="e">
        <f t="shared" si="36"/>
        <v>#N/A</v>
      </c>
      <c r="L195" s="414" t="e">
        <f t="shared" si="37"/>
        <v>#N/A</v>
      </c>
      <c r="N195" s="26" t="str">
        <f t="shared" si="38"/>
        <v xml:space="preserve"> </v>
      </c>
    </row>
    <row r="196" spans="1:14" ht="13.5" x14ac:dyDescent="0.25">
      <c r="A196" s="335">
        <v>2390</v>
      </c>
      <c r="B196" s="3206" t="s">
        <v>389</v>
      </c>
      <c r="C196" s="3206"/>
      <c r="D196" s="398"/>
      <c r="E196" s="398"/>
      <c r="F196" s="649">
        <f>'905Hosp'!F197</f>
        <v>0</v>
      </c>
      <c r="H196" s="649" t="e">
        <f t="shared" si="35"/>
        <v>#N/A</v>
      </c>
      <c r="J196" s="413" t="e">
        <f t="shared" si="36"/>
        <v>#N/A</v>
      </c>
      <c r="L196" s="414" t="e">
        <f t="shared" si="37"/>
        <v>#N/A</v>
      </c>
      <c r="N196" s="26" t="str">
        <f t="shared" si="38"/>
        <v xml:space="preserve"> </v>
      </c>
    </row>
    <row r="197" spans="1:14" ht="13.5" x14ac:dyDescent="0.25">
      <c r="A197" s="335">
        <v>2400</v>
      </c>
      <c r="B197" s="3206" t="s">
        <v>390</v>
      </c>
      <c r="C197" s="3206"/>
      <c r="D197" s="398"/>
      <c r="E197" s="398"/>
      <c r="F197" s="649">
        <f>'905Hosp'!F198</f>
        <v>0</v>
      </c>
      <c r="H197" s="649" t="e">
        <f t="shared" si="35"/>
        <v>#N/A</v>
      </c>
      <c r="J197" s="413" t="e">
        <f t="shared" si="36"/>
        <v>#N/A</v>
      </c>
      <c r="L197" s="414" t="e">
        <f t="shared" si="37"/>
        <v>#N/A</v>
      </c>
      <c r="N197" s="26" t="str">
        <f t="shared" si="38"/>
        <v xml:space="preserve"> </v>
      </c>
    </row>
    <row r="198" spans="1:14" ht="13.5" x14ac:dyDescent="0.25">
      <c r="A198" s="335">
        <v>2410</v>
      </c>
      <c r="B198" s="3206" t="s">
        <v>391</v>
      </c>
      <c r="C198" s="3206"/>
      <c r="D198" s="398"/>
      <c r="E198" s="398"/>
      <c r="F198" s="649">
        <f>'905Hosp'!F199</f>
        <v>0</v>
      </c>
      <c r="H198" s="649" t="e">
        <f t="shared" si="35"/>
        <v>#N/A</v>
      </c>
      <c r="J198" s="413" t="e">
        <f t="shared" si="36"/>
        <v>#N/A</v>
      </c>
      <c r="L198" s="414" t="e">
        <f t="shared" si="37"/>
        <v>#N/A</v>
      </c>
      <c r="N198" s="26" t="str">
        <f t="shared" si="38"/>
        <v xml:space="preserve"> </v>
      </c>
    </row>
    <row r="199" spans="1:14" ht="13.5" x14ac:dyDescent="0.25">
      <c r="A199" s="335">
        <v>2420</v>
      </c>
      <c r="B199" s="3206" t="s">
        <v>783</v>
      </c>
      <c r="C199" s="3206"/>
      <c r="D199" s="398"/>
      <c r="E199" s="398"/>
      <c r="F199" s="649">
        <f>'905Hosp'!F200</f>
        <v>0</v>
      </c>
      <c r="H199" s="649" t="e">
        <f t="shared" si="35"/>
        <v>#N/A</v>
      </c>
      <c r="J199" s="413" t="e">
        <f t="shared" si="36"/>
        <v>#N/A</v>
      </c>
      <c r="L199" s="414" t="e">
        <f t="shared" si="37"/>
        <v>#N/A</v>
      </c>
      <c r="N199" s="26" t="str">
        <f t="shared" si="38"/>
        <v xml:space="preserve"> </v>
      </c>
    </row>
    <row r="200" spans="1:14" ht="13.5" x14ac:dyDescent="0.25">
      <c r="A200" s="335">
        <v>2430</v>
      </c>
      <c r="B200" s="3206" t="s">
        <v>8</v>
      </c>
      <c r="C200" s="3206"/>
      <c r="D200" s="398"/>
      <c r="E200" s="398"/>
      <c r="F200" s="649">
        <f>'905Hosp'!F201</f>
        <v>0</v>
      </c>
      <c r="H200" s="649" t="e">
        <f t="shared" si="35"/>
        <v>#N/A</v>
      </c>
      <c r="J200" s="413" t="e">
        <f t="shared" si="36"/>
        <v>#N/A</v>
      </c>
      <c r="L200" s="414" t="e">
        <f t="shared" si="37"/>
        <v>#N/A</v>
      </c>
      <c r="N200" s="26" t="str">
        <f t="shared" si="38"/>
        <v xml:space="preserve"> </v>
      </c>
    </row>
    <row r="201" spans="1:14" ht="13.5" x14ac:dyDescent="0.25">
      <c r="A201" s="335">
        <v>2450</v>
      </c>
      <c r="B201" s="3206" t="s">
        <v>643</v>
      </c>
      <c r="C201" s="3206"/>
      <c r="D201" s="398"/>
      <c r="E201" s="398"/>
      <c r="F201" s="649">
        <f>'905Hosp'!F202</f>
        <v>0</v>
      </c>
      <c r="H201" s="649" t="e">
        <f t="shared" si="35"/>
        <v>#N/A</v>
      </c>
      <c r="J201" s="413" t="e">
        <f t="shared" si="36"/>
        <v>#N/A</v>
      </c>
      <c r="L201" s="414" t="e">
        <f t="shared" si="37"/>
        <v>#N/A</v>
      </c>
      <c r="N201" s="26" t="str">
        <f t="shared" si="38"/>
        <v xml:space="preserve"> </v>
      </c>
    </row>
    <row r="202" spans="1:14" ht="13.5" x14ac:dyDescent="0.25">
      <c r="A202" s="785"/>
      <c r="B202" s="3206" t="s">
        <v>392</v>
      </c>
      <c r="C202" s="3206"/>
      <c r="D202" s="398"/>
      <c r="E202" s="398"/>
      <c r="F202" s="402">
        <f>SUM(F191:F201)</f>
        <v>0</v>
      </c>
      <c r="H202" s="402" t="e">
        <f>SUM(H191:H201)</f>
        <v>#N/A</v>
      </c>
      <c r="J202" s="413" t="e">
        <f t="shared" si="36"/>
        <v>#N/A</v>
      </c>
      <c r="L202" s="414" t="e">
        <f t="shared" si="37"/>
        <v>#N/A</v>
      </c>
    </row>
    <row r="203" spans="1:14" ht="3" customHeight="1" x14ac:dyDescent="0.25">
      <c r="B203" s="398"/>
      <c r="C203" s="398"/>
      <c r="D203" s="398"/>
      <c r="E203" s="398"/>
      <c r="F203" s="656"/>
      <c r="H203" s="656"/>
      <c r="J203" s="413"/>
      <c r="L203" s="414"/>
    </row>
    <row r="204" spans="1:14" ht="13.5" x14ac:dyDescent="0.25">
      <c r="B204" s="407" t="s">
        <v>393</v>
      </c>
      <c r="C204" s="407"/>
      <c r="D204" s="407"/>
      <c r="E204" s="407"/>
      <c r="J204" s="413"/>
      <c r="L204" s="414"/>
    </row>
    <row r="205" spans="1:14" ht="13.5" x14ac:dyDescent="0.25">
      <c r="A205" s="335">
        <v>2490</v>
      </c>
      <c r="B205" s="3294" t="s">
        <v>394</v>
      </c>
      <c r="C205" s="3294"/>
      <c r="D205" s="3294"/>
      <c r="E205" s="3294"/>
      <c r="F205" s="649">
        <f>'905Hosp'!F206</f>
        <v>0</v>
      </c>
      <c r="H205" s="649" t="e">
        <f t="shared" ref="H205:H212" si="39">INDEX(PY905Data,MATCH($A205,PY905Row,0),MATCH($C$5,PY905Col,0))</f>
        <v>#N/A</v>
      </c>
      <c r="J205" s="413" t="e">
        <f t="shared" ref="J205:J218" si="40">F205-H205</f>
        <v>#N/A</v>
      </c>
      <c r="L205" s="414" t="e">
        <f t="shared" ref="L205:L218" si="41">IF(H205=0,0,J205/H205)</f>
        <v>#N/A</v>
      </c>
      <c r="N205" s="26" t="str">
        <f t="shared" ref="N205:N216" si="42">IF($F$84=0," ",IF(AND(ABS(J205)&gt;$L$3,ABS(L205)&gt;$L$2),"C",IF(AND(ABS(F205+H205)&gt;0,H205=0,ABS(J205)&gt;$L$3),"C"," ")))</f>
        <v xml:space="preserve"> </v>
      </c>
    </row>
    <row r="206" spans="1:14" ht="13.5" x14ac:dyDescent="0.25">
      <c r="A206" s="335">
        <v>2510</v>
      </c>
      <c r="B206" s="3206" t="s">
        <v>395</v>
      </c>
      <c r="C206" s="3206"/>
      <c r="D206" s="398"/>
      <c r="E206" s="398"/>
      <c r="F206" s="649">
        <f>'905Hosp'!F207</f>
        <v>0</v>
      </c>
      <c r="H206" s="649" t="e">
        <f t="shared" si="39"/>
        <v>#N/A</v>
      </c>
      <c r="J206" s="413" t="e">
        <f t="shared" si="40"/>
        <v>#N/A</v>
      </c>
      <c r="L206" s="414" t="e">
        <f t="shared" si="41"/>
        <v>#N/A</v>
      </c>
      <c r="N206" s="26" t="str">
        <f t="shared" si="42"/>
        <v xml:space="preserve"> </v>
      </c>
    </row>
    <row r="207" spans="1:14" ht="13.5" x14ac:dyDescent="0.25">
      <c r="A207" s="335">
        <v>2520</v>
      </c>
      <c r="B207" s="3206" t="s">
        <v>396</v>
      </c>
      <c r="C207" s="3206"/>
      <c r="D207" s="398"/>
      <c r="E207" s="398"/>
      <c r="F207" s="649">
        <f>'905Hosp'!F208</f>
        <v>0</v>
      </c>
      <c r="H207" s="649" t="e">
        <f t="shared" si="39"/>
        <v>#N/A</v>
      </c>
      <c r="J207" s="413" t="e">
        <f t="shared" si="40"/>
        <v>#N/A</v>
      </c>
      <c r="L207" s="414" t="e">
        <f t="shared" si="41"/>
        <v>#N/A</v>
      </c>
      <c r="N207" s="26" t="str">
        <f t="shared" si="42"/>
        <v xml:space="preserve"> </v>
      </c>
    </row>
    <row r="208" spans="1:14" ht="13.5" x14ac:dyDescent="0.25">
      <c r="A208" s="335">
        <v>2550</v>
      </c>
      <c r="B208" s="3206" t="s">
        <v>397</v>
      </c>
      <c r="C208" s="3206"/>
      <c r="D208" s="398"/>
      <c r="E208" s="398"/>
      <c r="F208" s="649">
        <f>'905Hosp'!F209</f>
        <v>0</v>
      </c>
      <c r="H208" s="649" t="e">
        <f t="shared" si="39"/>
        <v>#N/A</v>
      </c>
      <c r="J208" s="413" t="e">
        <f t="shared" si="40"/>
        <v>#N/A</v>
      </c>
      <c r="L208" s="414" t="e">
        <f t="shared" si="41"/>
        <v>#N/A</v>
      </c>
      <c r="N208" s="26" t="str">
        <f t="shared" si="42"/>
        <v xml:space="preserve"> </v>
      </c>
    </row>
    <row r="209" spans="1:14" ht="13.5" x14ac:dyDescent="0.25">
      <c r="A209" s="335">
        <v>2540</v>
      </c>
      <c r="B209" s="3206" t="s">
        <v>1171</v>
      </c>
      <c r="C209" s="3206"/>
      <c r="D209" s="398"/>
      <c r="E209" s="398"/>
      <c r="F209" s="649">
        <f>'905Hosp'!F210</f>
        <v>0</v>
      </c>
      <c r="H209" s="649" t="e">
        <f t="shared" si="39"/>
        <v>#N/A</v>
      </c>
      <c r="J209" s="413" t="e">
        <f t="shared" si="40"/>
        <v>#N/A</v>
      </c>
      <c r="L209" s="414" t="e">
        <f t="shared" si="41"/>
        <v>#N/A</v>
      </c>
      <c r="N209" s="26" t="str">
        <f t="shared" si="42"/>
        <v xml:space="preserve"> </v>
      </c>
    </row>
    <row r="210" spans="1:14" ht="13.5" x14ac:dyDescent="0.25">
      <c r="A210" s="335">
        <v>2560</v>
      </c>
      <c r="B210" s="3206" t="s">
        <v>379</v>
      </c>
      <c r="C210" s="3206"/>
      <c r="D210" s="398"/>
      <c r="E210" s="398"/>
      <c r="F210" s="649">
        <f>'905Hosp'!F211</f>
        <v>0</v>
      </c>
      <c r="H210" s="649" t="e">
        <f t="shared" si="39"/>
        <v>#N/A</v>
      </c>
      <c r="J210" s="413" t="e">
        <f t="shared" si="40"/>
        <v>#N/A</v>
      </c>
      <c r="L210" s="414" t="e">
        <f t="shared" si="41"/>
        <v>#N/A</v>
      </c>
      <c r="N210" s="26" t="str">
        <f t="shared" si="42"/>
        <v xml:space="preserve"> </v>
      </c>
    </row>
    <row r="211" spans="1:14" ht="13.5" x14ac:dyDescent="0.25">
      <c r="A211" s="335">
        <v>2570</v>
      </c>
      <c r="B211" s="3206" t="s">
        <v>1183</v>
      </c>
      <c r="C211" s="3206"/>
      <c r="D211" s="398"/>
      <c r="E211" s="398"/>
      <c r="F211" s="649">
        <f>'905Hosp'!F212</f>
        <v>0</v>
      </c>
      <c r="H211" s="649" t="e">
        <f t="shared" si="39"/>
        <v>#N/A</v>
      </c>
      <c r="J211" s="413" t="e">
        <f t="shared" si="40"/>
        <v>#N/A</v>
      </c>
      <c r="L211" s="414" t="e">
        <f t="shared" si="41"/>
        <v>#N/A</v>
      </c>
      <c r="N211" s="26" t="str">
        <f t="shared" si="42"/>
        <v xml:space="preserve"> </v>
      </c>
    </row>
    <row r="212" spans="1:14" ht="13.5" x14ac:dyDescent="0.25">
      <c r="A212" s="335">
        <v>2590</v>
      </c>
      <c r="B212" s="3206" t="s">
        <v>1428</v>
      </c>
      <c r="C212" s="3206"/>
      <c r="D212" s="398"/>
      <c r="E212" s="398"/>
      <c r="F212" s="649">
        <f>'905Hosp'!F213</f>
        <v>0</v>
      </c>
      <c r="H212" s="649" t="e">
        <f t="shared" si="39"/>
        <v>#N/A</v>
      </c>
      <c r="J212" s="413" t="e">
        <f>F212-H212</f>
        <v>#N/A</v>
      </c>
      <c r="L212" s="414" t="e">
        <f>IF(H212=0,0,J212/H212)</f>
        <v>#N/A</v>
      </c>
      <c r="N212" s="26" t="str">
        <f t="shared" si="42"/>
        <v xml:space="preserve"> </v>
      </c>
    </row>
    <row r="213" spans="1:14" ht="13.5" x14ac:dyDescent="0.25">
      <c r="A213" s="335"/>
      <c r="B213" s="335" t="s">
        <v>635</v>
      </c>
      <c r="C213" s="335"/>
      <c r="D213" s="335"/>
      <c r="E213" s="335"/>
      <c r="J213" s="413"/>
      <c r="L213" s="414"/>
    </row>
    <row r="214" spans="1:14" ht="13.5" x14ac:dyDescent="0.25">
      <c r="A214" s="335">
        <v>2610</v>
      </c>
      <c r="B214" s="3355" t="s">
        <v>1429</v>
      </c>
      <c r="C214" s="3355"/>
      <c r="D214" s="399"/>
      <c r="E214" s="399"/>
      <c r="F214" s="649">
        <f>'905Hosp'!F215</f>
        <v>0</v>
      </c>
      <c r="H214" s="649" t="e">
        <f>INDEX(PY905Data,MATCH($A214,PY905Row,0),MATCH($C$5,PY905Col,0))</f>
        <v>#N/A</v>
      </c>
      <c r="J214" s="413" t="e">
        <f>F214-H214</f>
        <v>#N/A</v>
      </c>
      <c r="L214" s="414" t="e">
        <f>IF(H214=0,0,J214/H214)</f>
        <v>#N/A</v>
      </c>
      <c r="N214" s="26" t="str">
        <f t="shared" si="42"/>
        <v xml:space="preserve"> </v>
      </c>
    </row>
    <row r="215" spans="1:14" ht="13.5" x14ac:dyDescent="0.25">
      <c r="A215" s="335">
        <v>2625</v>
      </c>
      <c r="B215" s="3355" t="s">
        <v>1464</v>
      </c>
      <c r="C215" s="3355"/>
      <c r="D215" s="399"/>
      <c r="E215" s="399"/>
      <c r="F215" s="649">
        <f>'905Hosp'!F216</f>
        <v>0</v>
      </c>
      <c r="H215" s="649" t="e">
        <f>INDEX(PY905Data,MATCH($A215,PY905Row,0),MATCH($C$5,PY905Col,0))</f>
        <v>#N/A</v>
      </c>
      <c r="J215" s="413" t="e">
        <f>F215-H215</f>
        <v>#N/A</v>
      </c>
      <c r="L215" s="414" t="e">
        <f>IF(H215=0,0,J215/H215)</f>
        <v>#N/A</v>
      </c>
      <c r="N215" s="26" t="str">
        <f t="shared" si="42"/>
        <v xml:space="preserve"> </v>
      </c>
    </row>
    <row r="216" spans="1:14" ht="13.5" x14ac:dyDescent="0.25">
      <c r="A216" s="335">
        <v>2630</v>
      </c>
      <c r="B216" s="3355" t="s">
        <v>1430</v>
      </c>
      <c r="C216" s="3355"/>
      <c r="D216" s="399"/>
      <c r="E216" s="399"/>
      <c r="F216" s="651">
        <f>'905Hosp'!F217</f>
        <v>0</v>
      </c>
      <c r="H216" s="651" t="e">
        <f>INDEX(PY905Data,MATCH($A216,PY905Row,0),MATCH($C$5,PY905Col,0))</f>
        <v>#N/A</v>
      </c>
      <c r="J216" s="413" t="e">
        <f t="shared" si="40"/>
        <v>#N/A</v>
      </c>
      <c r="L216" s="414" t="e">
        <f t="shared" si="41"/>
        <v>#N/A</v>
      </c>
      <c r="N216" s="26" t="str">
        <f t="shared" si="42"/>
        <v xml:space="preserve"> </v>
      </c>
    </row>
    <row r="217" spans="1:14" ht="13.5" x14ac:dyDescent="0.25">
      <c r="B217" s="3206" t="s">
        <v>1184</v>
      </c>
      <c r="C217" s="3206"/>
      <c r="D217" s="398"/>
      <c r="E217" s="398"/>
      <c r="F217" s="404">
        <f>SUM(F205:F216)</f>
        <v>0</v>
      </c>
      <c r="H217" s="404" t="e">
        <f>SUM(H205:H216)</f>
        <v>#N/A</v>
      </c>
      <c r="J217" s="413" t="e">
        <f t="shared" si="40"/>
        <v>#N/A</v>
      </c>
      <c r="L217" s="414" t="e">
        <f t="shared" si="41"/>
        <v>#N/A</v>
      </c>
    </row>
    <row r="218" spans="1:14" ht="13.5" x14ac:dyDescent="0.25">
      <c r="B218" s="3206" t="s">
        <v>933</v>
      </c>
      <c r="C218" s="3206"/>
      <c r="D218" s="398"/>
      <c r="E218" s="398"/>
      <c r="F218" s="402">
        <f>F202-F217</f>
        <v>0</v>
      </c>
      <c r="H218" s="402" t="e">
        <f>H202-H217</f>
        <v>#N/A</v>
      </c>
      <c r="J218" s="413" t="e">
        <f t="shared" si="40"/>
        <v>#N/A</v>
      </c>
      <c r="L218" s="414" t="e">
        <f t="shared" si="41"/>
        <v>#N/A</v>
      </c>
    </row>
    <row r="219" spans="1:14" ht="3.75" customHeight="1" x14ac:dyDescent="0.25">
      <c r="B219" s="398"/>
      <c r="C219" s="398"/>
      <c r="D219" s="398"/>
      <c r="E219" s="398"/>
      <c r="F219" s="656"/>
      <c r="H219" s="656"/>
      <c r="J219" s="413"/>
      <c r="L219" s="414"/>
    </row>
    <row r="220" spans="1:14" x14ac:dyDescent="0.2">
      <c r="B220" s="395" t="s">
        <v>1185</v>
      </c>
    </row>
    <row r="221" spans="1:14" ht="13.5" x14ac:dyDescent="0.25">
      <c r="A221" s="335">
        <v>2690</v>
      </c>
      <c r="B221" s="3206" t="s">
        <v>898</v>
      </c>
      <c r="C221" s="3206"/>
      <c r="D221" s="398"/>
      <c r="E221" s="398"/>
      <c r="F221" s="649">
        <f>'905Hosp'!F222</f>
        <v>0</v>
      </c>
      <c r="H221" s="649" t="e">
        <f t="shared" ref="H221:H239" si="43">INDEX(PY905Data,MATCH($A221,PY905Row,0),MATCH($C$5,PY905Col,0))</f>
        <v>#N/A</v>
      </c>
      <c r="J221" s="413" t="e">
        <f>F221-H221</f>
        <v>#N/A</v>
      </c>
      <c r="L221" s="414" t="e">
        <f>IF(H221=0,0,J221/H221)</f>
        <v>#N/A</v>
      </c>
      <c r="N221" s="26" t="str">
        <f t="shared" ref="N221:N239" si="44">IF($F$84=0," ",IF(AND(ABS(J221)&gt;$L$3,ABS(L221)&gt;$L$2),"C",IF(AND(ABS(F221+H221)&gt;0,H221=0,ABS(J221)&gt;$L$3),"C"," ")))</f>
        <v xml:space="preserve"> </v>
      </c>
    </row>
    <row r="222" spans="1:14" ht="13.5" x14ac:dyDescent="0.25">
      <c r="A222" s="335">
        <v>2691</v>
      </c>
      <c r="B222" s="3206" t="s">
        <v>1340</v>
      </c>
      <c r="C222" s="3206"/>
      <c r="D222" s="398"/>
      <c r="E222" s="398"/>
      <c r="F222" s="649">
        <f>'905Hosp'!F223</f>
        <v>0</v>
      </c>
      <c r="H222" s="649" t="e">
        <f t="shared" si="43"/>
        <v>#N/A</v>
      </c>
      <c r="J222" s="413" t="e">
        <f>F222-H222</f>
        <v>#N/A</v>
      </c>
      <c r="L222" s="414" t="e">
        <f>IF(H222=0,0,J222/H222)</f>
        <v>#N/A</v>
      </c>
      <c r="N222" s="26" t="str">
        <f t="shared" si="44"/>
        <v xml:space="preserve"> </v>
      </c>
    </row>
    <row r="223" spans="1:14" ht="13.5" x14ac:dyDescent="0.25">
      <c r="A223" s="335">
        <v>2692</v>
      </c>
      <c r="B223" s="3206" t="s">
        <v>1339</v>
      </c>
      <c r="C223" s="3206"/>
      <c r="D223" s="398"/>
      <c r="E223" s="398"/>
      <c r="F223" s="649">
        <f>'905Hosp'!F224</f>
        <v>0</v>
      </c>
      <c r="H223" s="649" t="e">
        <f t="shared" si="43"/>
        <v>#N/A</v>
      </c>
      <c r="J223" s="413" t="e">
        <f t="shared" ref="J223:J251" si="45">F223-H223</f>
        <v>#N/A</v>
      </c>
      <c r="L223" s="414" t="e">
        <f t="shared" ref="L223:L251" si="46">IF(H223=0,0,J223/H223)</f>
        <v>#N/A</v>
      </c>
      <c r="N223" s="26" t="str">
        <f t="shared" si="44"/>
        <v xml:space="preserve"> </v>
      </c>
    </row>
    <row r="224" spans="1:14" s="2151" customFormat="1" ht="13.5" x14ac:dyDescent="0.25">
      <c r="A224" s="2080">
        <v>2693</v>
      </c>
      <c r="B224" s="3306" t="s">
        <v>5150</v>
      </c>
      <c r="C224" s="3306"/>
      <c r="D224" s="2154"/>
      <c r="E224" s="2154"/>
      <c r="F224" s="649">
        <f>'905Hosp'!F225</f>
        <v>0</v>
      </c>
      <c r="H224" s="649" t="e">
        <f t="shared" si="43"/>
        <v>#N/A</v>
      </c>
      <c r="J224" s="413" t="e">
        <f t="shared" si="45"/>
        <v>#N/A</v>
      </c>
      <c r="L224" s="414" t="e">
        <f t="shared" si="46"/>
        <v>#N/A</v>
      </c>
      <c r="N224" s="2153" t="str">
        <f t="shared" si="44"/>
        <v xml:space="preserve"> </v>
      </c>
    </row>
    <row r="225" spans="1:15" ht="13.5" x14ac:dyDescent="0.25">
      <c r="A225" s="2080">
        <v>2700</v>
      </c>
      <c r="B225" s="3306" t="s">
        <v>1186</v>
      </c>
      <c r="C225" s="3306"/>
      <c r="D225" s="398"/>
      <c r="E225" s="398"/>
      <c r="F225" s="649">
        <f>'905Hosp'!F226</f>
        <v>0</v>
      </c>
      <c r="H225" s="649" t="e">
        <f t="shared" si="43"/>
        <v>#N/A</v>
      </c>
      <c r="J225" s="413" t="e">
        <f>F225-H225</f>
        <v>#N/A</v>
      </c>
      <c r="L225" s="414" t="e">
        <f>IF(H225=0,0,J225/H225)</f>
        <v>#N/A</v>
      </c>
      <c r="N225" s="26" t="str">
        <f t="shared" si="44"/>
        <v xml:space="preserve"> </v>
      </c>
    </row>
    <row r="226" spans="1:15" s="2159" customFormat="1" ht="13.5" x14ac:dyDescent="0.25">
      <c r="A226" s="2080">
        <v>2701</v>
      </c>
      <c r="B226" s="3306" t="s">
        <v>4807</v>
      </c>
      <c r="C226" s="3306"/>
      <c r="D226" s="2161"/>
      <c r="E226" s="2161"/>
      <c r="F226" s="649">
        <f>'905Hosp'!F227</f>
        <v>0</v>
      </c>
      <c r="H226" s="649" t="e">
        <f t="shared" si="43"/>
        <v>#N/A</v>
      </c>
      <c r="J226" s="413" t="e">
        <f>F226-H226</f>
        <v>#N/A</v>
      </c>
      <c r="L226" s="414" t="e">
        <f>IF(H226=0,0,J226/H226)</f>
        <v>#N/A</v>
      </c>
      <c r="N226" s="2160" t="str">
        <f t="shared" si="44"/>
        <v xml:space="preserve"> </v>
      </c>
    </row>
    <row r="227" spans="1:15" ht="13.5" x14ac:dyDescent="0.25">
      <c r="A227" s="335">
        <v>2710</v>
      </c>
      <c r="B227" s="3206" t="s">
        <v>1187</v>
      </c>
      <c r="C227" s="3206"/>
      <c r="D227" s="398"/>
      <c r="E227" s="398"/>
      <c r="F227" s="649">
        <f>'905Hosp'!F228</f>
        <v>0</v>
      </c>
      <c r="H227" s="649" t="e">
        <f t="shared" si="43"/>
        <v>#N/A</v>
      </c>
      <c r="J227" s="413" t="e">
        <f>F227-H227</f>
        <v>#N/A</v>
      </c>
      <c r="L227" s="414" t="e">
        <f>IF(H227=0,0,J227/H227)</f>
        <v>#N/A</v>
      </c>
      <c r="N227" s="26" t="str">
        <f t="shared" si="44"/>
        <v xml:space="preserve"> </v>
      </c>
    </row>
    <row r="228" spans="1:15" s="2450" customFormat="1" ht="13.5" x14ac:dyDescent="0.25">
      <c r="A228" s="2080">
        <v>2711</v>
      </c>
      <c r="B228" s="3306" t="s">
        <v>5327</v>
      </c>
      <c r="C228" s="3306"/>
      <c r="D228" s="2534"/>
      <c r="E228" s="2534"/>
      <c r="F228" s="2050">
        <f>'905Hosp'!F229</f>
        <v>0</v>
      </c>
      <c r="G228" s="2038"/>
      <c r="H228" s="2050" t="e">
        <f t="shared" si="43"/>
        <v>#N/A</v>
      </c>
      <c r="I228" s="2038"/>
      <c r="J228" s="2537" t="e">
        <f>F228-H228</f>
        <v>#N/A</v>
      </c>
      <c r="K228" s="2038"/>
      <c r="L228" s="2538" t="e">
        <f>IF(H228=0,0,J228/H228)</f>
        <v>#N/A</v>
      </c>
      <c r="M228" s="2038"/>
      <c r="N228" s="2539" t="str">
        <f t="shared" si="44"/>
        <v xml:space="preserve"> </v>
      </c>
    </row>
    <row r="229" spans="1:15" ht="13.5" x14ac:dyDescent="0.25">
      <c r="A229" s="335">
        <v>2720</v>
      </c>
      <c r="B229" s="3206" t="s">
        <v>1188</v>
      </c>
      <c r="C229" s="3206"/>
      <c r="D229" s="398"/>
      <c r="E229" s="398"/>
      <c r="F229" s="649">
        <f>'905Hosp'!F230</f>
        <v>0</v>
      </c>
      <c r="H229" s="649" t="e">
        <f t="shared" si="43"/>
        <v>#N/A</v>
      </c>
      <c r="J229" s="413" t="e">
        <f t="shared" si="45"/>
        <v>#N/A</v>
      </c>
      <c r="L229" s="414" t="e">
        <f t="shared" si="46"/>
        <v>#N/A</v>
      </c>
      <c r="N229" s="26" t="str">
        <f t="shared" si="44"/>
        <v xml:space="preserve"> </v>
      </c>
    </row>
    <row r="230" spans="1:15" ht="13.5" x14ac:dyDescent="0.25">
      <c r="A230" s="335">
        <v>2740</v>
      </c>
      <c r="B230" s="3206" t="s">
        <v>497</v>
      </c>
      <c r="C230" s="3206"/>
      <c r="D230" s="398"/>
      <c r="E230" s="398"/>
      <c r="F230" s="649">
        <f>'905Hosp'!F231</f>
        <v>0</v>
      </c>
      <c r="H230" s="649" t="e">
        <f t="shared" si="43"/>
        <v>#N/A</v>
      </c>
      <c r="J230" s="413" t="e">
        <f t="shared" si="45"/>
        <v>#N/A</v>
      </c>
      <c r="L230" s="414" t="e">
        <f t="shared" si="46"/>
        <v>#N/A</v>
      </c>
      <c r="N230" s="26" t="str">
        <f t="shared" si="44"/>
        <v xml:space="preserve"> </v>
      </c>
    </row>
    <row r="231" spans="1:15" ht="13.5" x14ac:dyDescent="0.25">
      <c r="A231" s="335">
        <v>2750</v>
      </c>
      <c r="B231" s="3206" t="s">
        <v>995</v>
      </c>
      <c r="C231" s="3206"/>
      <c r="D231" s="398"/>
      <c r="E231" s="398"/>
      <c r="F231" s="649">
        <f>'905Hosp'!F232</f>
        <v>0</v>
      </c>
      <c r="H231" s="649" t="e">
        <f t="shared" si="43"/>
        <v>#N/A</v>
      </c>
      <c r="J231" s="413" t="e">
        <f t="shared" si="45"/>
        <v>#N/A</v>
      </c>
      <c r="L231" s="414" t="e">
        <f t="shared" si="46"/>
        <v>#N/A</v>
      </c>
      <c r="N231" s="26" t="str">
        <f t="shared" si="44"/>
        <v xml:space="preserve"> </v>
      </c>
    </row>
    <row r="232" spans="1:15" ht="13.5" x14ac:dyDescent="0.25">
      <c r="A232" s="335">
        <v>2755</v>
      </c>
      <c r="B232" s="3206" t="s">
        <v>4487</v>
      </c>
      <c r="C232" s="3206"/>
      <c r="D232" s="398"/>
      <c r="E232" s="398"/>
      <c r="F232" s="649">
        <f>'905Hosp'!F233</f>
        <v>0</v>
      </c>
      <c r="H232" s="649" t="e">
        <f t="shared" si="43"/>
        <v>#N/A</v>
      </c>
      <c r="J232" s="413" t="e">
        <f>F232-H232</f>
        <v>#N/A</v>
      </c>
      <c r="L232" s="414" t="e">
        <f>IF(H232=0,0,J232/H232)</f>
        <v>#N/A</v>
      </c>
      <c r="N232" s="26" t="str">
        <f>IF($F$84=0," ",IF(AND(ABS(J232)&gt;$L$3,ABS(L232)&gt;$L$2),"C",IF(AND(ABS(F232+H232)&gt;0,H232=0,ABS(J232)&gt;$L$3),"C"," ")))</f>
        <v xml:space="preserve"> </v>
      </c>
      <c r="O232" s="1610"/>
    </row>
    <row r="233" spans="1:15" ht="13.5" x14ac:dyDescent="0.25">
      <c r="A233" s="335">
        <v>2760</v>
      </c>
      <c r="B233" s="3206" t="s">
        <v>1045</v>
      </c>
      <c r="C233" s="3206"/>
      <c r="D233" s="398"/>
      <c r="E233" s="398"/>
      <c r="F233" s="649">
        <f>'905Hosp'!F234</f>
        <v>0</v>
      </c>
      <c r="H233" s="649" t="e">
        <f t="shared" si="43"/>
        <v>#N/A</v>
      </c>
      <c r="J233" s="413" t="e">
        <f t="shared" si="45"/>
        <v>#N/A</v>
      </c>
      <c r="L233" s="414" t="e">
        <f t="shared" si="46"/>
        <v>#N/A</v>
      </c>
      <c r="N233" s="26" t="str">
        <f t="shared" si="44"/>
        <v xml:space="preserve"> </v>
      </c>
    </row>
    <row r="234" spans="1:15" ht="13.5" x14ac:dyDescent="0.25">
      <c r="A234" s="335">
        <v>2770</v>
      </c>
      <c r="B234" s="3206" t="s">
        <v>1076</v>
      </c>
      <c r="C234" s="3206"/>
      <c r="D234" s="398"/>
      <c r="E234" s="398"/>
      <c r="F234" s="649">
        <f>'905Hosp'!F235</f>
        <v>0</v>
      </c>
      <c r="H234" s="649" t="e">
        <f t="shared" si="43"/>
        <v>#N/A</v>
      </c>
      <c r="J234" s="413" t="e">
        <f t="shared" si="45"/>
        <v>#N/A</v>
      </c>
      <c r="L234" s="414" t="e">
        <f t="shared" si="46"/>
        <v>#N/A</v>
      </c>
      <c r="N234" s="26" t="str">
        <f t="shared" si="44"/>
        <v xml:space="preserve"> </v>
      </c>
    </row>
    <row r="235" spans="1:15" ht="13.5" x14ac:dyDescent="0.25">
      <c r="A235" s="335">
        <v>2780</v>
      </c>
      <c r="B235" s="3206" t="s">
        <v>799</v>
      </c>
      <c r="C235" s="3206"/>
      <c r="D235" s="398"/>
      <c r="E235" s="398"/>
      <c r="F235" s="649">
        <f>'905Hosp'!F236</f>
        <v>0</v>
      </c>
      <c r="H235" s="649" t="e">
        <f t="shared" si="43"/>
        <v>#N/A</v>
      </c>
      <c r="J235" s="413" t="e">
        <f t="shared" si="45"/>
        <v>#N/A</v>
      </c>
      <c r="L235" s="414" t="e">
        <f t="shared" si="46"/>
        <v>#N/A</v>
      </c>
      <c r="N235" s="26" t="str">
        <f t="shared" si="44"/>
        <v xml:space="preserve"> </v>
      </c>
    </row>
    <row r="236" spans="1:15" ht="13.5" x14ac:dyDescent="0.25">
      <c r="A236" s="335">
        <v>2785</v>
      </c>
      <c r="B236" s="3206" t="s">
        <v>1551</v>
      </c>
      <c r="C236" s="3206"/>
      <c r="D236" s="398"/>
      <c r="E236" s="398"/>
      <c r="F236" s="649">
        <f>'905Hosp'!F237</f>
        <v>0</v>
      </c>
      <c r="H236" s="649" t="e">
        <f t="shared" si="43"/>
        <v>#N/A</v>
      </c>
      <c r="J236" s="413" t="e">
        <f>F236-H236</f>
        <v>#N/A</v>
      </c>
      <c r="L236" s="414" t="e">
        <f>IF(H236=0,0,J236/H236)</f>
        <v>#N/A</v>
      </c>
      <c r="N236" s="26" t="str">
        <f t="shared" si="44"/>
        <v xml:space="preserve"> </v>
      </c>
    </row>
    <row r="237" spans="1:15" s="2529" customFormat="1" ht="13.5" x14ac:dyDescent="0.25">
      <c r="A237" s="2531">
        <v>2786</v>
      </c>
      <c r="B237" s="3307" t="s">
        <v>5527</v>
      </c>
      <c r="C237" s="3307"/>
      <c r="D237" s="2532"/>
      <c r="E237" s="2532"/>
      <c r="F237" s="649">
        <f>'905Hosp'!F238</f>
        <v>0</v>
      </c>
      <c r="H237" s="649" t="e">
        <f t="shared" si="43"/>
        <v>#N/A</v>
      </c>
      <c r="J237" s="413" t="e">
        <f>F237-H237</f>
        <v>#N/A</v>
      </c>
      <c r="L237" s="414" t="e">
        <f>IF(H237=0,0,J237/H237)</f>
        <v>#N/A</v>
      </c>
      <c r="N237" s="2530" t="str">
        <f t="shared" si="44"/>
        <v xml:space="preserve"> </v>
      </c>
    </row>
    <row r="238" spans="1:15" ht="13.5" x14ac:dyDescent="0.25">
      <c r="A238" s="335">
        <v>2800</v>
      </c>
      <c r="B238" s="3206" t="s">
        <v>800</v>
      </c>
      <c r="C238" s="3206"/>
      <c r="D238" s="398"/>
      <c r="E238" s="398"/>
      <c r="F238" s="649">
        <f>'905Hosp'!F239</f>
        <v>0</v>
      </c>
      <c r="H238" s="649" t="e">
        <f t="shared" si="43"/>
        <v>#N/A</v>
      </c>
      <c r="J238" s="413" t="e">
        <f t="shared" si="45"/>
        <v>#N/A</v>
      </c>
      <c r="L238" s="414" t="e">
        <f t="shared" si="46"/>
        <v>#N/A</v>
      </c>
      <c r="N238" s="26" t="str">
        <f t="shared" si="44"/>
        <v xml:space="preserve"> </v>
      </c>
    </row>
    <row r="239" spans="1:15" ht="13.5" x14ac:dyDescent="0.25">
      <c r="A239" s="335">
        <v>2810</v>
      </c>
      <c r="B239" s="3206" t="s">
        <v>801</v>
      </c>
      <c r="C239" s="3206"/>
      <c r="D239" s="398"/>
      <c r="E239" s="398"/>
      <c r="F239" s="649">
        <f>'905Hosp'!F240</f>
        <v>0</v>
      </c>
      <c r="H239" s="649" t="e">
        <f t="shared" si="43"/>
        <v>#N/A</v>
      </c>
      <c r="J239" s="413" t="e">
        <f t="shared" si="45"/>
        <v>#N/A</v>
      </c>
      <c r="L239" s="414" t="e">
        <f t="shared" si="46"/>
        <v>#N/A</v>
      </c>
      <c r="N239" s="26" t="str">
        <f t="shared" si="44"/>
        <v xml:space="preserve"> </v>
      </c>
    </row>
    <row r="240" spans="1:15" ht="13.5" x14ac:dyDescent="0.25">
      <c r="B240" s="3206" t="s">
        <v>239</v>
      </c>
      <c r="C240" s="3206"/>
      <c r="D240" s="398"/>
      <c r="E240" s="398"/>
      <c r="F240" s="402">
        <f>SUM(F221:F239)</f>
        <v>0</v>
      </c>
      <c r="H240" s="402" t="e">
        <f>SUM(H221:H239)</f>
        <v>#N/A</v>
      </c>
      <c r="J240" s="413" t="e">
        <f t="shared" si="45"/>
        <v>#N/A</v>
      </c>
      <c r="L240" s="414" t="e">
        <f t="shared" si="46"/>
        <v>#N/A</v>
      </c>
    </row>
    <row r="241" spans="1:14" ht="13.5" x14ac:dyDescent="0.25">
      <c r="B241" s="3206" t="s">
        <v>408</v>
      </c>
      <c r="C241" s="3206"/>
      <c r="D241" s="398"/>
      <c r="E241" s="398"/>
      <c r="F241" s="1230">
        <f>F218+F240</f>
        <v>0</v>
      </c>
      <c r="H241" s="1230" t="e">
        <f>H218+H240</f>
        <v>#N/A</v>
      </c>
      <c r="J241" s="413" t="e">
        <f t="shared" si="45"/>
        <v>#N/A</v>
      </c>
      <c r="L241" s="414" t="e">
        <f t="shared" si="46"/>
        <v>#N/A</v>
      </c>
    </row>
    <row r="242" spans="1:14" ht="13.5" x14ac:dyDescent="0.25">
      <c r="A242" s="937">
        <v>2870</v>
      </c>
      <c r="B242" s="3206" t="s">
        <v>240</v>
      </c>
      <c r="C242" s="3206"/>
      <c r="D242" s="398"/>
      <c r="E242" s="398"/>
      <c r="F242" s="649">
        <f>'905Hosp'!F243</f>
        <v>0</v>
      </c>
      <c r="H242" s="649" t="e">
        <f t="shared" ref="H242:H248" si="47">INDEX(PY905Data,MATCH($A242,PY905Row,0),MATCH($C$5,PY905Col,0))</f>
        <v>#N/A</v>
      </c>
      <c r="J242" s="413" t="e">
        <f t="shared" si="45"/>
        <v>#N/A</v>
      </c>
      <c r="L242" s="414" t="e">
        <f t="shared" si="46"/>
        <v>#N/A</v>
      </c>
      <c r="N242" s="26" t="str">
        <f t="shared" ref="N242:N248" si="48">IF($F$84=0," ",IF(AND(ABS(J242)&gt;$L$3,ABS(L242)&gt;$L$2),"C",IF(AND(ABS(F242+H242)&gt;0,H242=0,ABS(J242)&gt;$L$3),"C"," ")))</f>
        <v xml:space="preserve"> </v>
      </c>
    </row>
    <row r="243" spans="1:14" ht="13.5" x14ac:dyDescent="0.25">
      <c r="A243" s="335">
        <v>2880</v>
      </c>
      <c r="B243" s="3206" t="s">
        <v>241</v>
      </c>
      <c r="C243" s="3206"/>
      <c r="D243" s="398"/>
      <c r="E243" s="398"/>
      <c r="F243" s="649">
        <f>'905Hosp'!F244</f>
        <v>0</v>
      </c>
      <c r="H243" s="649" t="e">
        <f t="shared" si="47"/>
        <v>#N/A</v>
      </c>
      <c r="J243" s="413" t="e">
        <f t="shared" si="45"/>
        <v>#N/A</v>
      </c>
      <c r="L243" s="414" t="e">
        <f t="shared" si="46"/>
        <v>#N/A</v>
      </c>
      <c r="N243" s="26" t="str">
        <f t="shared" si="48"/>
        <v xml:space="preserve"> </v>
      </c>
    </row>
    <row r="244" spans="1:14" ht="13.5" x14ac:dyDescent="0.25">
      <c r="A244" s="335">
        <v>2890</v>
      </c>
      <c r="B244" s="3206" t="s">
        <v>242</v>
      </c>
      <c r="C244" s="3206"/>
      <c r="D244" s="398"/>
      <c r="E244" s="398"/>
      <c r="F244" s="649">
        <f>'905Hosp'!F245</f>
        <v>0</v>
      </c>
      <c r="H244" s="649" t="e">
        <f t="shared" si="47"/>
        <v>#N/A</v>
      </c>
      <c r="J244" s="413" t="e">
        <f t="shared" si="45"/>
        <v>#N/A</v>
      </c>
      <c r="L244" s="414" t="e">
        <f t="shared" si="46"/>
        <v>#N/A</v>
      </c>
      <c r="N244" s="26" t="str">
        <f t="shared" si="48"/>
        <v xml:space="preserve"> </v>
      </c>
    </row>
    <row r="245" spans="1:14" ht="13.5" x14ac:dyDescent="0.25">
      <c r="A245" s="335">
        <v>2900</v>
      </c>
      <c r="B245" s="3206" t="s">
        <v>1432</v>
      </c>
      <c r="C245" s="3206"/>
      <c r="D245" s="398"/>
      <c r="E245" s="398"/>
      <c r="F245" s="649">
        <f>'905Hosp'!F246</f>
        <v>0</v>
      </c>
      <c r="H245" s="649" t="e">
        <f t="shared" si="47"/>
        <v>#N/A</v>
      </c>
      <c r="J245" s="413" t="e">
        <f>F245-H245</f>
        <v>#N/A</v>
      </c>
      <c r="L245" s="414" t="e">
        <f>IF(H245=0,0,J245/H245)</f>
        <v>#N/A</v>
      </c>
      <c r="N245" s="26" t="str">
        <f t="shared" si="48"/>
        <v xml:space="preserve"> </v>
      </c>
    </row>
    <row r="246" spans="1:14" ht="13.5" x14ac:dyDescent="0.25">
      <c r="A246" s="1129">
        <v>2940</v>
      </c>
      <c r="B246" s="3206" t="s">
        <v>1433</v>
      </c>
      <c r="C246" s="3206"/>
      <c r="D246" s="398"/>
      <c r="E246" s="398"/>
      <c r="F246" s="649">
        <f>'905Hosp'!F247</f>
        <v>0</v>
      </c>
      <c r="H246" s="649" t="e">
        <f t="shared" si="47"/>
        <v>#N/A</v>
      </c>
      <c r="J246" s="413" t="e">
        <f>F246-H246</f>
        <v>#N/A</v>
      </c>
      <c r="L246" s="414" t="e">
        <f>IF(H246=0,0,J246/H246)</f>
        <v>#N/A</v>
      </c>
      <c r="N246" s="26" t="str">
        <f t="shared" si="48"/>
        <v xml:space="preserve"> </v>
      </c>
    </row>
    <row r="247" spans="1:14" ht="13.5" x14ac:dyDescent="0.25">
      <c r="A247" s="335">
        <v>2950</v>
      </c>
      <c r="B247" s="3206" t="s">
        <v>243</v>
      </c>
      <c r="C247" s="3206"/>
      <c r="D247" s="398"/>
      <c r="E247" s="398"/>
      <c r="F247" s="649">
        <f>'905Hosp'!F248</f>
        <v>0</v>
      </c>
      <c r="H247" s="649" t="e">
        <f t="shared" si="47"/>
        <v>#N/A</v>
      </c>
      <c r="J247" s="413" t="e">
        <f t="shared" si="45"/>
        <v>#N/A</v>
      </c>
      <c r="L247" s="414" t="e">
        <f t="shared" si="46"/>
        <v>#N/A</v>
      </c>
      <c r="N247" s="26" t="str">
        <f t="shared" si="48"/>
        <v xml:space="preserve"> </v>
      </c>
    </row>
    <row r="248" spans="1:14" ht="13.5" x14ac:dyDescent="0.25">
      <c r="A248" s="335">
        <v>2960</v>
      </c>
      <c r="B248" s="3206" t="s">
        <v>244</v>
      </c>
      <c r="C248" s="3206"/>
      <c r="D248" s="398"/>
      <c r="E248" s="398"/>
      <c r="F248" s="651">
        <f>'905Hosp'!F249</f>
        <v>0</v>
      </c>
      <c r="H248" s="651" t="e">
        <f t="shared" si="47"/>
        <v>#N/A</v>
      </c>
      <c r="J248" s="413" t="e">
        <f t="shared" si="45"/>
        <v>#N/A</v>
      </c>
      <c r="L248" s="414" t="e">
        <f t="shared" si="46"/>
        <v>#N/A</v>
      </c>
      <c r="N248" s="26" t="str">
        <f t="shared" si="48"/>
        <v xml:space="preserve"> </v>
      </c>
    </row>
    <row r="249" spans="1:14" ht="13.5" x14ac:dyDescent="0.25">
      <c r="B249" s="3206" t="s">
        <v>1908</v>
      </c>
      <c r="C249" s="3206"/>
      <c r="D249" s="398"/>
      <c r="E249" s="398"/>
      <c r="F249" s="1230">
        <f>SUM(F241:F248)</f>
        <v>0</v>
      </c>
      <c r="H249" s="1230" t="e">
        <f>SUM(H241:H248)</f>
        <v>#N/A</v>
      </c>
      <c r="J249" s="413" t="e">
        <f t="shared" si="45"/>
        <v>#N/A</v>
      </c>
      <c r="L249" s="414" t="e">
        <f t="shared" si="46"/>
        <v>#N/A</v>
      </c>
      <c r="N249" s="1570" t="s">
        <v>3969</v>
      </c>
    </row>
    <row r="250" spans="1:14" ht="13.5" x14ac:dyDescent="0.25">
      <c r="A250" s="785">
        <v>2980</v>
      </c>
      <c r="B250" s="3206" t="s">
        <v>1907</v>
      </c>
      <c r="C250" s="3206"/>
      <c r="D250" s="398"/>
      <c r="E250" s="398"/>
      <c r="F250" s="649">
        <f>'905Hosp'!F251</f>
        <v>2194239572.1999998</v>
      </c>
      <c r="H250" s="649" t="e">
        <f>INDEX(PY905Data,MATCH($A250,PY905Row,0),MATCH($C$5,PY905Col,0))</f>
        <v>#N/A</v>
      </c>
      <c r="J250" s="413" t="e">
        <f t="shared" si="45"/>
        <v>#N/A</v>
      </c>
      <c r="L250" s="414" t="e">
        <f t="shared" si="46"/>
        <v>#N/A</v>
      </c>
      <c r="N250" s="1571" t="s">
        <v>3970</v>
      </c>
    </row>
    <row r="251" spans="1:14" ht="13.5" x14ac:dyDescent="0.25">
      <c r="A251" s="785">
        <v>2990</v>
      </c>
      <c r="B251" s="3206" t="s">
        <v>1054</v>
      </c>
      <c r="C251" s="3206"/>
      <c r="D251" s="398"/>
      <c r="E251" s="398"/>
      <c r="F251" s="649">
        <f>'905Hosp'!F252</f>
        <v>0</v>
      </c>
      <c r="H251" s="649" t="e">
        <f>INDEX(PY905Data,MATCH($A251,PY905Row,0),MATCH($C$5,PY905Col,0))</f>
        <v>#N/A</v>
      </c>
      <c r="J251" s="413" t="e">
        <f t="shared" si="45"/>
        <v>#N/A</v>
      </c>
      <c r="L251" s="414" t="e">
        <f t="shared" si="46"/>
        <v>#N/A</v>
      </c>
      <c r="N251" s="1572" t="s">
        <v>3971</v>
      </c>
    </row>
    <row r="252" spans="1:14" ht="13.5" thickBot="1" x14ac:dyDescent="0.25">
      <c r="B252" s="3206" t="s">
        <v>1909</v>
      </c>
      <c r="C252" s="3206"/>
      <c r="D252" s="398"/>
      <c r="E252" s="398"/>
      <c r="F252" s="405">
        <f>SUM(F249:F251)</f>
        <v>2194239572.1999998</v>
      </c>
      <c r="H252" s="405" t="e">
        <f>SUM(H249:H251)</f>
        <v>#N/A</v>
      </c>
    </row>
    <row r="253" spans="1:14" ht="6" customHeight="1" thickTop="1" x14ac:dyDescent="0.2"/>
    <row r="254" spans="1:14" x14ac:dyDescent="0.2">
      <c r="B254" s="349" t="s">
        <v>1910</v>
      </c>
      <c r="C254" s="657"/>
      <c r="D254" s="657"/>
      <c r="E254" s="657"/>
      <c r="F254" s="406" t="str">
        <f>IF(ROUND(F185-F252,2)=0,"In Bal.","Error")</f>
        <v>Error</v>
      </c>
      <c r="H254" s="406" t="e">
        <f>IF(ROUND(H185-H252,2)=0,"In Bal.","Error")</f>
        <v>#N/A</v>
      </c>
    </row>
    <row r="255" spans="1:14" x14ac:dyDescent="0.2">
      <c r="B255" s="398"/>
      <c r="C255" s="398"/>
      <c r="D255" s="398"/>
      <c r="E255" s="398"/>
    </row>
  </sheetData>
  <sheetProtection algorithmName="SHA-512" hashValue="iajmbbp5p/obt6MeOGuKO3TwtM5g0QfsJ8upzwOAkLB8HITGxfCIqCWfSfUtPCOoJ+u88wcHcSSYZ2Xrh2gs9Q==" saltValue="J7nbFshqOqcdqs6XxWihkQ==" spinCount="100000" sheet="1" objects="1" scenarios="1" autoFilter="0"/>
  <mergeCells count="227">
    <mergeCell ref="B144:C144"/>
    <mergeCell ref="B139:C139"/>
    <mergeCell ref="B140:C140"/>
    <mergeCell ref="B141:C141"/>
    <mergeCell ref="B214:C214"/>
    <mergeCell ref="B215:C215"/>
    <mergeCell ref="B216:C216"/>
    <mergeCell ref="B208:C208"/>
    <mergeCell ref="B209:C209"/>
    <mergeCell ref="B196:C196"/>
    <mergeCell ref="B197:C197"/>
    <mergeCell ref="B198:C198"/>
    <mergeCell ref="B199:C199"/>
    <mergeCell ref="B200:C200"/>
    <mergeCell ref="B201:C201"/>
    <mergeCell ref="B202:C202"/>
    <mergeCell ref="B205:E205"/>
    <mergeCell ref="B206:C206"/>
    <mergeCell ref="B207:C207"/>
    <mergeCell ref="B185:C185"/>
    <mergeCell ref="B191:C191"/>
    <mergeCell ref="B192:C192"/>
    <mergeCell ref="B239:C239"/>
    <mergeCell ref="B240:C240"/>
    <mergeCell ref="B241:C241"/>
    <mergeCell ref="P89:Q89"/>
    <mergeCell ref="B126:C126"/>
    <mergeCell ref="B151:C151"/>
    <mergeCell ref="P90:Q90"/>
    <mergeCell ref="B129:C129"/>
    <mergeCell ref="B154:C154"/>
    <mergeCell ref="B167:E167"/>
    <mergeCell ref="P167:Q167"/>
    <mergeCell ref="B168:E168"/>
    <mergeCell ref="P168:Q168"/>
    <mergeCell ref="B157:C157"/>
    <mergeCell ref="B159:C159"/>
    <mergeCell ref="B142:C142"/>
    <mergeCell ref="B143:C143"/>
    <mergeCell ref="B145:C145"/>
    <mergeCell ref="B146:C146"/>
    <mergeCell ref="B147:C147"/>
    <mergeCell ref="B136:C136"/>
    <mergeCell ref="B137:C137"/>
    <mergeCell ref="B226:C226"/>
    <mergeCell ref="B228:C228"/>
    <mergeCell ref="B138:C138"/>
    <mergeCell ref="B225:C225"/>
    <mergeCell ref="B210:C210"/>
    <mergeCell ref="B211:C211"/>
    <mergeCell ref="B212:C212"/>
    <mergeCell ref="B252:C252"/>
    <mergeCell ref="B244:C244"/>
    <mergeCell ref="B245:C245"/>
    <mergeCell ref="B246:C246"/>
    <mergeCell ref="B247:C247"/>
    <mergeCell ref="B248:C248"/>
    <mergeCell ref="B249:C249"/>
    <mergeCell ref="B227:C227"/>
    <mergeCell ref="B229:C229"/>
    <mergeCell ref="B230:C230"/>
    <mergeCell ref="B231:C231"/>
    <mergeCell ref="B233:C233"/>
    <mergeCell ref="B234:C234"/>
    <mergeCell ref="B242:C242"/>
    <mergeCell ref="B243:C243"/>
    <mergeCell ref="B250:C250"/>
    <mergeCell ref="B251:C251"/>
    <mergeCell ref="B235:C235"/>
    <mergeCell ref="B236:C236"/>
    <mergeCell ref="B238:C238"/>
    <mergeCell ref="B149:C149"/>
    <mergeCell ref="B150:C150"/>
    <mergeCell ref="B155:C155"/>
    <mergeCell ref="B156:C156"/>
    <mergeCell ref="B148:C148"/>
    <mergeCell ref="B152:E152"/>
    <mergeCell ref="B153:E153"/>
    <mergeCell ref="B194:C194"/>
    <mergeCell ref="B195:C195"/>
    <mergeCell ref="B178:C178"/>
    <mergeCell ref="B179:C179"/>
    <mergeCell ref="B181:C181"/>
    <mergeCell ref="B182:C182"/>
    <mergeCell ref="B183:C183"/>
    <mergeCell ref="B184:C184"/>
    <mergeCell ref="B172:C172"/>
    <mergeCell ref="B175:C175"/>
    <mergeCell ref="B224:C224"/>
    <mergeCell ref="B171:E171"/>
    <mergeCell ref="B177:C177"/>
    <mergeCell ref="B217:C217"/>
    <mergeCell ref="B218:C218"/>
    <mergeCell ref="B193:C193"/>
    <mergeCell ref="B128:E128"/>
    <mergeCell ref="B132:C132"/>
    <mergeCell ref="B118:C118"/>
    <mergeCell ref="B120:C120"/>
    <mergeCell ref="B121:C121"/>
    <mergeCell ref="B122:C122"/>
    <mergeCell ref="B124:C124"/>
    <mergeCell ref="B119:C119"/>
    <mergeCell ref="B125:C125"/>
    <mergeCell ref="B130:C130"/>
    <mergeCell ref="B131:C131"/>
    <mergeCell ref="B123:C123"/>
    <mergeCell ref="B112:C112"/>
    <mergeCell ref="B113:C113"/>
    <mergeCell ref="B114:C114"/>
    <mergeCell ref="B115:C115"/>
    <mergeCell ref="B116:C116"/>
    <mergeCell ref="B117:C117"/>
    <mergeCell ref="B102:C102"/>
    <mergeCell ref="B103:C103"/>
    <mergeCell ref="B94:C94"/>
    <mergeCell ref="B107:C107"/>
    <mergeCell ref="B108:C108"/>
    <mergeCell ref="B93:E93"/>
    <mergeCell ref="B110:C110"/>
    <mergeCell ref="B111:C111"/>
    <mergeCell ref="B78:C78"/>
    <mergeCell ref="B79:C79"/>
    <mergeCell ref="B80:C80"/>
    <mergeCell ref="B81:C81"/>
    <mergeCell ref="B82:C82"/>
    <mergeCell ref="B84:C84"/>
    <mergeCell ref="B90:E90"/>
    <mergeCell ref="B89:E89"/>
    <mergeCell ref="B67:C67"/>
    <mergeCell ref="B69:C69"/>
    <mergeCell ref="B70:C70"/>
    <mergeCell ref="B71:C71"/>
    <mergeCell ref="B72:C72"/>
    <mergeCell ref="B77:C77"/>
    <mergeCell ref="B61:C61"/>
    <mergeCell ref="B62:C62"/>
    <mergeCell ref="B63:C63"/>
    <mergeCell ref="B64:C64"/>
    <mergeCell ref="B65:C65"/>
    <mergeCell ref="B66:C66"/>
    <mergeCell ref="B73:C73"/>
    <mergeCell ref="B74:C74"/>
    <mergeCell ref="B75:C75"/>
    <mergeCell ref="B76:C76"/>
    <mergeCell ref="B52:C52"/>
    <mergeCell ref="B53:C53"/>
    <mergeCell ref="B54:C54"/>
    <mergeCell ref="B55:C55"/>
    <mergeCell ref="B56:C56"/>
    <mergeCell ref="B59:C59"/>
    <mergeCell ref="B45:C45"/>
    <mergeCell ref="B46:C46"/>
    <mergeCell ref="B47:C47"/>
    <mergeCell ref="B49:C49"/>
    <mergeCell ref="B50:C50"/>
    <mergeCell ref="B51:C51"/>
    <mergeCell ref="B57:C57"/>
    <mergeCell ref="B58:C58"/>
    <mergeCell ref="B48:C48"/>
    <mergeCell ref="B36:C36"/>
    <mergeCell ref="B37:C37"/>
    <mergeCell ref="B40:C40"/>
    <mergeCell ref="B41:C41"/>
    <mergeCell ref="B43:C43"/>
    <mergeCell ref="B44:C44"/>
    <mergeCell ref="B27:C27"/>
    <mergeCell ref="B28:C28"/>
    <mergeCell ref="B29:C29"/>
    <mergeCell ref="B31:C31"/>
    <mergeCell ref="B32:C32"/>
    <mergeCell ref="B33:C33"/>
    <mergeCell ref="B35:C35"/>
    <mergeCell ref="B34:C34"/>
    <mergeCell ref="B30:C30"/>
    <mergeCell ref="B20:C20"/>
    <mergeCell ref="B21:C21"/>
    <mergeCell ref="B22:C22"/>
    <mergeCell ref="B24:C24"/>
    <mergeCell ref="B25:C25"/>
    <mergeCell ref="B26:C26"/>
    <mergeCell ref="B13:C13"/>
    <mergeCell ref="B14:C14"/>
    <mergeCell ref="B15:C15"/>
    <mergeCell ref="B16:C16"/>
    <mergeCell ref="B17:C17"/>
    <mergeCell ref="B19:C19"/>
    <mergeCell ref="B23:C23"/>
    <mergeCell ref="N1:N3"/>
    <mergeCell ref="I5:L5"/>
    <mergeCell ref="C6:F6"/>
    <mergeCell ref="J6:L6"/>
    <mergeCell ref="A1:G1"/>
    <mergeCell ref="A2:G2"/>
    <mergeCell ref="B3:G3"/>
    <mergeCell ref="A4:G4"/>
    <mergeCell ref="P171:Q171"/>
    <mergeCell ref="P88:Q88"/>
    <mergeCell ref="P93:Q93"/>
    <mergeCell ref="B105:C105"/>
    <mergeCell ref="B106:C106"/>
    <mergeCell ref="B109:C109"/>
    <mergeCell ref="B127:E127"/>
    <mergeCell ref="B99:C99"/>
    <mergeCell ref="B100:C100"/>
    <mergeCell ref="B101:C101"/>
    <mergeCell ref="P91:Q91"/>
    <mergeCell ref="P92:Q92"/>
    <mergeCell ref="B87:E87"/>
    <mergeCell ref="B88:E88"/>
    <mergeCell ref="B91:E91"/>
    <mergeCell ref="B92:E92"/>
    <mergeCell ref="B237:C237"/>
    <mergeCell ref="B222:C222"/>
    <mergeCell ref="B223:C223"/>
    <mergeCell ref="P166:Q166"/>
    <mergeCell ref="P169:Q169"/>
    <mergeCell ref="B162:E162"/>
    <mergeCell ref="B163:E163"/>
    <mergeCell ref="B164:E164"/>
    <mergeCell ref="B165:E165"/>
    <mergeCell ref="B166:E166"/>
    <mergeCell ref="B169:E169"/>
    <mergeCell ref="P164:Q164"/>
    <mergeCell ref="P165:Q165"/>
    <mergeCell ref="B170:E170"/>
    <mergeCell ref="B232:C232"/>
    <mergeCell ref="B221:C221"/>
  </mergeCells>
  <conditionalFormatting sqref="N1:N3">
    <cfRule type="cellIs" dxfId="5" priority="1" stopIfTrue="1" operator="equal">
      <formula>"na"</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65" fitToHeight="3" orientation="portrait" r:id="rId1"/>
  <headerFooter alignWithMargins="0">
    <oddFooter>&amp;L&amp;D &amp;T&amp;R&amp;A (&amp;P of &amp;N)</oddFooter>
  </headerFooter>
  <rowBreaks count="3" manualBreakCount="3">
    <brk id="59" max="13" man="1"/>
    <brk id="132" max="13" man="1"/>
    <brk id="188" max="13"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workbookViewId="0">
      <selection sqref="A1:K1"/>
    </sheetView>
  </sheetViews>
  <sheetFormatPr defaultColWidth="9.42578125" defaultRowHeight="12.75" x14ac:dyDescent="0.2"/>
  <cols>
    <col min="1" max="1" width="4.42578125" customWidth="1"/>
    <col min="2" max="2" width="15.42578125" customWidth="1"/>
    <col min="3" max="3" width="21.42578125" customWidth="1"/>
    <col min="4" max="4" width="19.42578125" style="649" customWidth="1"/>
    <col min="5" max="5" width="1.5703125" customWidth="1"/>
    <col min="6" max="6" width="17.5703125" style="649"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767" t="str">
        <f>+Index!$A$1</f>
        <v xml:space="preserve">                                                               Office of the State Controller                                                                </v>
      </c>
      <c r="C1" s="2767"/>
      <c r="D1" s="2767"/>
      <c r="E1" s="2767"/>
      <c r="F1" s="2767"/>
      <c r="G1" s="2767"/>
      <c r="H1" s="2767"/>
      <c r="I1" s="2767"/>
      <c r="J1" s="2767"/>
      <c r="K1" s="2767"/>
      <c r="L1" s="2768" t="str">
        <f>IF(Index!$B$110="na","NA","")</f>
        <v/>
      </c>
      <c r="M1" s="622"/>
      <c r="O1" s="622"/>
      <c r="P1" s="622"/>
      <c r="Q1" s="622"/>
      <c r="R1" s="622"/>
      <c r="S1" s="622"/>
      <c r="T1" s="622"/>
      <c r="U1" s="622"/>
      <c r="V1" s="622"/>
    </row>
    <row r="2" spans="1:23" ht="16.5" x14ac:dyDescent="0.3">
      <c r="B2" s="2749" t="str">
        <f>+Index!$A$2</f>
        <v>2022 ACFR Worksheets</v>
      </c>
      <c r="C2" s="2749"/>
      <c r="D2" s="2749"/>
      <c r="E2" s="2749"/>
      <c r="F2" s="2749"/>
      <c r="G2" s="2749"/>
      <c r="H2" s="2749"/>
      <c r="I2" s="2749"/>
      <c r="J2" s="2749"/>
      <c r="K2" s="2749"/>
      <c r="L2" s="2768"/>
      <c r="M2" s="281"/>
      <c r="O2" s="632"/>
      <c r="P2" s="632"/>
      <c r="Q2" s="632"/>
      <c r="R2" s="632"/>
      <c r="S2" s="632"/>
      <c r="T2" s="632"/>
      <c r="U2" s="632"/>
      <c r="V2" s="632"/>
    </row>
    <row r="3" spans="1:23" ht="16.5" customHeight="1" x14ac:dyDescent="0.3">
      <c r="B3" s="3327" t="s">
        <v>3820</v>
      </c>
      <c r="C3" s="3327"/>
      <c r="D3" s="3327"/>
      <c r="E3" s="3327"/>
      <c r="F3" s="3327"/>
      <c r="G3" s="3327"/>
      <c r="H3" s="3327"/>
      <c r="I3" s="3327"/>
      <c r="J3" s="3327"/>
      <c r="K3" s="3327"/>
      <c r="L3" s="2768"/>
      <c r="M3" s="637"/>
      <c r="O3" s="632"/>
      <c r="P3" s="632"/>
      <c r="Q3" s="632"/>
      <c r="R3" s="632"/>
      <c r="S3" s="632"/>
      <c r="T3" s="632"/>
      <c r="U3" s="632"/>
      <c r="V3" s="632"/>
    </row>
    <row r="4" spans="1:23" x14ac:dyDescent="0.2">
      <c r="A4" s="1367" t="s">
        <v>3491</v>
      </c>
      <c r="B4" s="1305"/>
      <c r="C4" s="1305"/>
      <c r="D4" s="1305"/>
      <c r="F4"/>
      <c r="J4" s="393"/>
    </row>
    <row r="5" spans="1:23" s="200" customFormat="1" ht="15" customHeight="1" x14ac:dyDescent="0.2">
      <c r="B5" s="200" t="s">
        <v>327</v>
      </c>
      <c r="C5" s="639" t="s">
        <v>1093</v>
      </c>
      <c r="F5" s="806" t="s">
        <v>972</v>
      </c>
      <c r="G5" s="3320" t="str">
        <f>+CONCATENATE(Index!$E$12," ",Index!$E$14)</f>
        <v xml:space="preserve"> </v>
      </c>
      <c r="H5" s="3320"/>
      <c r="I5" s="3320"/>
      <c r="J5" s="3320"/>
      <c r="K5"/>
      <c r="L5"/>
      <c r="M5"/>
      <c r="O5" s="633"/>
      <c r="W5" s="199"/>
    </row>
    <row r="6" spans="1:23" s="200" customFormat="1" ht="15" customHeight="1" x14ac:dyDescent="0.2">
      <c r="B6" s="200" t="s">
        <v>1154</v>
      </c>
      <c r="C6" s="3358" t="s">
        <v>1938</v>
      </c>
      <c r="D6" s="3358"/>
      <c r="F6" s="633"/>
      <c r="G6" s="633"/>
      <c r="O6" s="634"/>
      <c r="P6" s="634"/>
      <c r="Q6" s="634"/>
      <c r="R6" s="634"/>
      <c r="S6" s="634"/>
      <c r="T6" s="634"/>
      <c r="U6" s="634"/>
      <c r="V6" s="201"/>
      <c r="W6" s="199"/>
    </row>
    <row r="7" spans="1:23" s="200" customFormat="1" ht="15" customHeight="1" x14ac:dyDescent="0.2">
      <c r="B7" s="200" t="s">
        <v>477</v>
      </c>
      <c r="C7" s="1066" t="s">
        <v>3490</v>
      </c>
      <c r="E7" s="633"/>
      <c r="F7" s="806" t="s">
        <v>348</v>
      </c>
      <c r="H7" s="3320">
        <f>+Index!$E$13</f>
        <v>0</v>
      </c>
      <c r="I7" s="3320"/>
      <c r="J7" s="3320"/>
      <c r="W7" s="199"/>
    </row>
    <row r="8" spans="1:23" s="38" customFormat="1" ht="12" customHeight="1" thickBot="1" x14ac:dyDescent="0.25">
      <c r="B8" s="129"/>
      <c r="C8" s="129"/>
      <c r="D8" s="129"/>
      <c r="E8" s="129"/>
      <c r="F8" s="129"/>
      <c r="G8" s="129"/>
      <c r="H8" s="129"/>
      <c r="I8" s="129"/>
      <c r="J8" s="129"/>
      <c r="K8" s="129"/>
      <c r="L8" s="122"/>
      <c r="M8" s="122"/>
    </row>
    <row r="9" spans="1:23" x14ac:dyDescent="0.2">
      <c r="D9" s="1231" t="s">
        <v>3484</v>
      </c>
      <c r="F9" s="1231" t="s">
        <v>1747</v>
      </c>
    </row>
    <row r="10" spans="1:23" ht="12.75" customHeight="1" x14ac:dyDescent="0.25">
      <c r="B10" s="392"/>
      <c r="C10" s="392"/>
      <c r="D10" s="408" t="str">
        <f>CONCATENATE("FY",YEAR(Data!$A$3),"-",YEAR(Data!$A$2))</f>
        <v>FY2021-2022</v>
      </c>
      <c r="E10" s="409"/>
      <c r="F10" s="408" t="str">
        <f>CONCATENATE("FY",YEAR(Data!$A$3)-1,"-",YEAR(Data!$A$2)-1)</f>
        <v>FY2020-2021</v>
      </c>
      <c r="G10" s="410"/>
      <c r="H10" s="408" t="s">
        <v>478</v>
      </c>
      <c r="I10" s="411"/>
      <c r="J10" s="412" t="s">
        <v>1012</v>
      </c>
      <c r="K10" s="411"/>
    </row>
    <row r="12" spans="1:23" x14ac:dyDescent="0.2">
      <c r="B12" s="648" t="s">
        <v>303</v>
      </c>
      <c r="C12" s="394"/>
    </row>
    <row r="13" spans="1:23" ht="13.5" x14ac:dyDescent="0.25">
      <c r="B13" s="3357" t="s">
        <v>630</v>
      </c>
      <c r="C13" s="3357"/>
      <c r="D13" s="650">
        <f>'906-6B'!J11</f>
        <v>0</v>
      </c>
      <c r="F13" s="842">
        <f>HLOOKUP($C$5,PriorYr906!$J$9:$K$87,3,FALSE)</f>
        <v>0</v>
      </c>
      <c r="H13" s="413">
        <f>D13-F13</f>
        <v>0</v>
      </c>
      <c r="J13" s="414">
        <f>IF(F13=0,0,H13/F13)</f>
        <v>0</v>
      </c>
    </row>
    <row r="14" spans="1:23" ht="13.5" x14ac:dyDescent="0.25">
      <c r="B14" s="567" t="s">
        <v>483</v>
      </c>
      <c r="C14" s="643"/>
      <c r="D14" s="650"/>
      <c r="F14" s="690"/>
      <c r="H14" s="413"/>
      <c r="J14" s="414"/>
    </row>
    <row r="15" spans="1:23" ht="13.5" x14ac:dyDescent="0.25">
      <c r="B15" s="3206" t="s">
        <v>1219</v>
      </c>
      <c r="C15" s="3357"/>
      <c r="D15" s="649">
        <f>'906-6B'!J13</f>
        <v>0</v>
      </c>
      <c r="F15" s="393">
        <f>HLOOKUP($C$5,PriorYr906!$J$9:$K$87,5,FALSE)</f>
        <v>0</v>
      </c>
      <c r="H15" s="413">
        <f>D15-F15</f>
        <v>0</v>
      </c>
      <c r="J15" s="414">
        <f>IF(F15=0,0,H15/F15)</f>
        <v>0</v>
      </c>
    </row>
    <row r="16" spans="1:23" ht="13.5" x14ac:dyDescent="0.25">
      <c r="B16" s="3206" t="s">
        <v>1221</v>
      </c>
      <c r="C16" s="3357"/>
      <c r="D16" s="649">
        <f>'906-6B'!J14</f>
        <v>0</v>
      </c>
      <c r="F16" s="393">
        <f>HLOOKUP($C$5,PriorYr906!$J$9:$K$87,6,FALSE)</f>
        <v>0</v>
      </c>
      <c r="H16" s="413">
        <f t="shared" ref="H16:H40" si="0">D16-F16</f>
        <v>0</v>
      </c>
      <c r="J16" s="414">
        <f t="shared" ref="J16:J40" si="1">IF(F16=0,0,H16/F16)</f>
        <v>0</v>
      </c>
    </row>
    <row r="17" spans="2:10" ht="13.5" x14ac:dyDescent="0.25">
      <c r="B17" s="3206" t="s">
        <v>1222</v>
      </c>
      <c r="C17" s="3357"/>
      <c r="D17" s="649">
        <f>'906-6B'!J15</f>
        <v>0</v>
      </c>
      <c r="F17" s="393">
        <f>HLOOKUP($C$5,PriorYr906!$J$9:$K$87,7,FALSE)</f>
        <v>0</v>
      </c>
      <c r="H17" s="413">
        <f t="shared" si="0"/>
        <v>0</v>
      </c>
      <c r="J17" s="414">
        <f t="shared" si="1"/>
        <v>0</v>
      </c>
    </row>
    <row r="18" spans="2:10" ht="13.5" x14ac:dyDescent="0.25">
      <c r="B18" s="3206" t="s">
        <v>1220</v>
      </c>
      <c r="C18" s="3206"/>
      <c r="D18" s="649">
        <f>'906-6B'!J16</f>
        <v>0</v>
      </c>
      <c r="F18" s="393">
        <f>HLOOKUP($C$5,PriorYr906!$J$9:$K$87,8,FALSE)</f>
        <v>0</v>
      </c>
      <c r="H18" s="413">
        <f t="shared" si="0"/>
        <v>0</v>
      </c>
      <c r="J18" s="414">
        <f t="shared" si="1"/>
        <v>0</v>
      </c>
    </row>
    <row r="19" spans="2:10" ht="13.5" x14ac:dyDescent="0.25">
      <c r="B19" s="3206" t="s">
        <v>1215</v>
      </c>
      <c r="C19" s="3206"/>
      <c r="D19" s="649">
        <f>'906-6B'!J17</f>
        <v>0</v>
      </c>
      <c r="F19" s="393">
        <f>HLOOKUP($C$5,PriorYr906!$J$9:$K$87,9,FALSE)</f>
        <v>0</v>
      </c>
      <c r="H19" s="413">
        <f t="shared" si="0"/>
        <v>0</v>
      </c>
      <c r="J19" s="414">
        <f t="shared" si="1"/>
        <v>0</v>
      </c>
    </row>
    <row r="20" spans="2:10" ht="13.5" x14ac:dyDescent="0.25">
      <c r="B20" s="3206" t="s">
        <v>1566</v>
      </c>
      <c r="C20" s="3206"/>
      <c r="D20" s="649">
        <f>'906-6B'!J18</f>
        <v>0</v>
      </c>
      <c r="F20" s="393">
        <f>HLOOKUP($C$5,PriorYr906!$J$9:$K$87,10,FALSE)</f>
        <v>0</v>
      </c>
      <c r="H20" s="413">
        <f>D20-F20</f>
        <v>0</v>
      </c>
      <c r="J20" s="414">
        <f>IF(F20=0,0,H20/F20)</f>
        <v>0</v>
      </c>
    </row>
    <row r="21" spans="2:10" ht="13.5" x14ac:dyDescent="0.25">
      <c r="B21" s="3206" t="s">
        <v>1216</v>
      </c>
      <c r="C21" s="3206"/>
      <c r="D21" s="649">
        <f>'906-6B'!J19</f>
        <v>0</v>
      </c>
      <c r="F21" s="393">
        <f>HLOOKUP($C$5,PriorYr906!$J$9:$K$87,11,FALSE)</f>
        <v>0</v>
      </c>
      <c r="H21" s="413">
        <f t="shared" si="0"/>
        <v>0</v>
      </c>
      <c r="J21" s="414">
        <f t="shared" si="1"/>
        <v>0</v>
      </c>
    </row>
    <row r="22" spans="2:10" ht="13.5" x14ac:dyDescent="0.25">
      <c r="B22" s="3206" t="s">
        <v>492</v>
      </c>
      <c r="C22" s="3206"/>
      <c r="D22" s="649">
        <f>'906-6B'!J20</f>
        <v>0</v>
      </c>
      <c r="F22" s="393">
        <f>HLOOKUP($C$5,PriorYr906!$J$9:$K$87,12,FALSE)</f>
        <v>0</v>
      </c>
      <c r="H22" s="413">
        <f t="shared" si="0"/>
        <v>0</v>
      </c>
      <c r="J22" s="414">
        <f t="shared" si="1"/>
        <v>0</v>
      </c>
    </row>
    <row r="23" spans="2:10" ht="13.5" x14ac:dyDescent="0.25">
      <c r="B23" s="3206" t="s">
        <v>487</v>
      </c>
      <c r="C23" s="3206"/>
      <c r="D23" s="649">
        <f>'906-6B'!J21</f>
        <v>0</v>
      </c>
      <c r="F23" s="393">
        <f>HLOOKUP($C$5,PriorYr906!$J$9:$K$87,13,FALSE)</f>
        <v>0</v>
      </c>
      <c r="H23" s="413">
        <f t="shared" si="0"/>
        <v>0</v>
      </c>
      <c r="J23" s="414">
        <f t="shared" si="1"/>
        <v>0</v>
      </c>
    </row>
    <row r="24" spans="2:10" ht="13.5" x14ac:dyDescent="0.25">
      <c r="B24" s="3206" t="s">
        <v>491</v>
      </c>
      <c r="C24" s="3206"/>
      <c r="D24" s="649">
        <f>'906-6B'!J22</f>
        <v>0</v>
      </c>
      <c r="F24" s="393">
        <f>HLOOKUP($C$5,PriorYr906!$J$9:$K$87,14,FALSE)</f>
        <v>0</v>
      </c>
      <c r="H24" s="413">
        <f t="shared" si="0"/>
        <v>0</v>
      </c>
      <c r="J24" s="414">
        <f t="shared" si="1"/>
        <v>0</v>
      </c>
    </row>
    <row r="25" spans="2:10" ht="13.5" x14ac:dyDescent="0.25">
      <c r="B25" s="3206" t="s">
        <v>495</v>
      </c>
      <c r="C25" s="3206"/>
      <c r="D25" s="649">
        <f>'906-6B'!J23</f>
        <v>0</v>
      </c>
      <c r="F25" s="393">
        <f>HLOOKUP($C$5,PriorYr906!$J$9:$K$87,15,FALSE)</f>
        <v>0</v>
      </c>
      <c r="H25" s="413">
        <f t="shared" si="0"/>
        <v>0</v>
      </c>
      <c r="J25" s="414">
        <f t="shared" si="1"/>
        <v>0</v>
      </c>
    </row>
    <row r="26" spans="2:10" ht="13.5" x14ac:dyDescent="0.25">
      <c r="B26" s="3206" t="s">
        <v>1845</v>
      </c>
      <c r="C26" s="3206"/>
      <c r="D26" s="649">
        <f>'906-6B'!J24</f>
        <v>0</v>
      </c>
      <c r="F26" s="393">
        <f>HLOOKUP($C$5,PriorYr906!$J$9:$K$87,16,FALSE)</f>
        <v>7988892.4299999997</v>
      </c>
      <c r="H26" s="413">
        <f t="shared" si="0"/>
        <v>-7988892.4299999997</v>
      </c>
      <c r="J26" s="414">
        <f t="shared" si="1"/>
        <v>-1</v>
      </c>
    </row>
    <row r="27" spans="2:10" ht="13.5" x14ac:dyDescent="0.25">
      <c r="B27" s="3206" t="s">
        <v>1681</v>
      </c>
      <c r="C27" s="3206"/>
      <c r="D27" s="649">
        <f>'906-6B'!J25</f>
        <v>0</v>
      </c>
      <c r="F27" s="393">
        <f>HLOOKUP($C$5,PriorYr906!$J$9:$K$87,17,FALSE)</f>
        <v>0</v>
      </c>
      <c r="H27" s="413">
        <f>D27-F27</f>
        <v>0</v>
      </c>
      <c r="J27" s="414">
        <f>IF(F27=0,0,H27/F27)</f>
        <v>0</v>
      </c>
    </row>
    <row r="28" spans="2:10" ht="13.5" x14ac:dyDescent="0.25">
      <c r="B28" s="3206" t="s">
        <v>1691</v>
      </c>
      <c r="C28" s="3206"/>
      <c r="D28" s="649">
        <f>'906-6B'!J26</f>
        <v>0</v>
      </c>
      <c r="F28" s="393">
        <f>HLOOKUP($C$5,PriorYr906!$J$9:$K$87,18,FALSE)</f>
        <v>40639376.659999996</v>
      </c>
      <c r="H28" s="413">
        <f>D28-F28</f>
        <v>-40639376.659999996</v>
      </c>
      <c r="J28" s="414">
        <f>IF(F28=0,0,H28/F28)</f>
        <v>-1</v>
      </c>
    </row>
    <row r="29" spans="2:10" ht="13.5" x14ac:dyDescent="0.25">
      <c r="B29" s="3206" t="s">
        <v>1692</v>
      </c>
      <c r="C29" s="3206"/>
      <c r="D29" s="649">
        <f>'906-6B'!J27</f>
        <v>0</v>
      </c>
      <c r="F29" s="393">
        <f>HLOOKUP($C$5,PriorYr906!$J$9:$K$87,19,FALSE)</f>
        <v>343463706.67000002</v>
      </c>
      <c r="H29" s="413">
        <f>D29-F29</f>
        <v>-343463706.67000002</v>
      </c>
      <c r="J29" s="414">
        <f>IF(F29=0,0,H29/F29)</f>
        <v>-1</v>
      </c>
    </row>
    <row r="30" spans="2:10" ht="13.5" x14ac:dyDescent="0.25">
      <c r="B30" s="3206" t="s">
        <v>1404</v>
      </c>
      <c r="C30" s="3206"/>
      <c r="D30" s="649">
        <f>'906-6B'!J28</f>
        <v>0</v>
      </c>
      <c r="F30" s="393">
        <f>HLOOKUP($C$5,PriorYr906!$J$9:$K$87,20,FALSE)</f>
        <v>1381533393.1400001</v>
      </c>
      <c r="H30" s="413">
        <f>D30-F30</f>
        <v>-1381533393.1400001</v>
      </c>
      <c r="J30" s="414">
        <f>IF(F30=0,0,H30/F30)</f>
        <v>-1</v>
      </c>
    </row>
    <row r="31" spans="2:10" ht="13.5" x14ac:dyDescent="0.25">
      <c r="B31" s="3206" t="s">
        <v>1403</v>
      </c>
      <c r="C31" s="3206"/>
      <c r="D31" s="649">
        <f>'906-6B'!J29</f>
        <v>0</v>
      </c>
      <c r="F31" s="393">
        <f>HLOOKUP($C$5,PriorYr906!$J$9:$K$87,21,FALSE)</f>
        <v>0</v>
      </c>
      <c r="H31" s="413">
        <f>D31-F31</f>
        <v>0</v>
      </c>
      <c r="J31" s="414">
        <f>IF(F31=0,0,H31/F31)</f>
        <v>0</v>
      </c>
    </row>
    <row r="32" spans="2:10" ht="13.5" x14ac:dyDescent="0.25">
      <c r="B32" s="567" t="s">
        <v>198</v>
      </c>
      <c r="C32" s="398"/>
      <c r="F32" s="393">
        <f>HLOOKUP($C$5,PriorYr906!$J$9:$K$87,22,FALSE)</f>
        <v>0</v>
      </c>
      <c r="H32" s="413"/>
      <c r="J32" s="414"/>
    </row>
    <row r="33" spans="2:10" ht="13.5" x14ac:dyDescent="0.25">
      <c r="B33" s="3362" t="s">
        <v>311</v>
      </c>
      <c r="C33" s="3362"/>
      <c r="D33" s="649">
        <f>'906-6B'!J31</f>
        <v>0</v>
      </c>
      <c r="F33" s="393">
        <f>HLOOKUP($C$5,PriorYr906!$J$9:$K$87,23,FALSE)</f>
        <v>86.19</v>
      </c>
      <c r="H33" s="413">
        <f t="shared" si="0"/>
        <v>-86.19</v>
      </c>
      <c r="J33" s="414">
        <f t="shared" si="1"/>
        <v>-1</v>
      </c>
    </row>
    <row r="34" spans="2:10" ht="13.5" x14ac:dyDescent="0.25">
      <c r="B34" s="3355" t="s">
        <v>200</v>
      </c>
      <c r="C34" s="3355"/>
      <c r="D34" s="649">
        <f>'906-6B'!J32</f>
        <v>0</v>
      </c>
      <c r="F34" s="393">
        <f>HLOOKUP($C$5,PriorYr906!$J$9:$K$87,24,FALSE)</f>
        <v>0</v>
      </c>
      <c r="H34" s="413">
        <f t="shared" si="0"/>
        <v>0</v>
      </c>
      <c r="J34" s="414">
        <f t="shared" si="1"/>
        <v>0</v>
      </c>
    </row>
    <row r="35" spans="2:10" ht="13.5" x14ac:dyDescent="0.25">
      <c r="B35" s="3355" t="s">
        <v>313</v>
      </c>
      <c r="C35" s="3355"/>
      <c r="D35" s="649">
        <f>'906-6B'!J33</f>
        <v>0</v>
      </c>
      <c r="F35" s="393">
        <f>HLOOKUP($C$5,PriorYr906!$J$9:$K$87,25,FALSE)</f>
        <v>1061351.3999999999</v>
      </c>
      <c r="H35" s="413">
        <f t="shared" si="0"/>
        <v>-1061351.3999999999</v>
      </c>
      <c r="J35" s="414">
        <f t="shared" si="1"/>
        <v>-1</v>
      </c>
    </row>
    <row r="36" spans="2:10" ht="13.5" x14ac:dyDescent="0.25">
      <c r="B36" s="3206" t="s">
        <v>549</v>
      </c>
      <c r="C36" s="3206"/>
      <c r="D36" s="649">
        <f>'906-6B'!J34</f>
        <v>0</v>
      </c>
      <c r="F36" s="393">
        <f>HLOOKUP($C$5,PriorYr906!$J$9:$K$87,26,FALSE)</f>
        <v>21588810.329999998</v>
      </c>
      <c r="H36" s="413">
        <f t="shared" si="0"/>
        <v>-21588810.329999998</v>
      </c>
      <c r="J36" s="414">
        <f t="shared" si="1"/>
        <v>-1</v>
      </c>
    </row>
    <row r="37" spans="2:10" ht="13.5" x14ac:dyDescent="0.25">
      <c r="B37" s="3206" t="s">
        <v>931</v>
      </c>
      <c r="C37" s="3206"/>
      <c r="D37" s="649">
        <f>'906-6B'!J35</f>
        <v>0</v>
      </c>
      <c r="F37" s="393">
        <f>HLOOKUP($C$5,PriorYr906!$J$9:$K$87,27,FALSE)</f>
        <v>0</v>
      </c>
      <c r="H37" s="413">
        <f t="shared" si="0"/>
        <v>0</v>
      </c>
      <c r="J37" s="414">
        <f t="shared" si="1"/>
        <v>0</v>
      </c>
    </row>
    <row r="38" spans="2:10" ht="13.5" x14ac:dyDescent="0.25">
      <c r="B38" s="3206" t="s">
        <v>1095</v>
      </c>
      <c r="C38" s="3206"/>
      <c r="D38" s="649">
        <f>'906-6B'!J36</f>
        <v>0</v>
      </c>
      <c r="F38" s="393">
        <f>HLOOKUP($C$5,PriorYr906!$J$9:$K$87,28,FALSE)</f>
        <v>0</v>
      </c>
      <c r="H38" s="413">
        <f t="shared" si="0"/>
        <v>0</v>
      </c>
      <c r="J38" s="414">
        <f t="shared" si="1"/>
        <v>0</v>
      </c>
    </row>
    <row r="39" spans="2:10" ht="13.5" x14ac:dyDescent="0.25">
      <c r="B39" s="3206" t="s">
        <v>590</v>
      </c>
      <c r="C39" s="3206"/>
      <c r="D39" s="649">
        <f>'906-6B'!J37</f>
        <v>0</v>
      </c>
      <c r="F39" s="393">
        <f>HLOOKUP($C$5,PriorYr906!$J$9:$K$87,29,FALSE)</f>
        <v>0</v>
      </c>
      <c r="H39" s="413">
        <f t="shared" si="0"/>
        <v>0</v>
      </c>
      <c r="J39" s="414">
        <f t="shared" si="1"/>
        <v>0</v>
      </c>
    </row>
    <row r="40" spans="2:10" ht="13.5" x14ac:dyDescent="0.25">
      <c r="B40" s="3206" t="s">
        <v>358</v>
      </c>
      <c r="C40" s="3206"/>
      <c r="D40" s="649">
        <f>'906-6B'!J38</f>
        <v>0</v>
      </c>
      <c r="F40" s="393">
        <f>HLOOKUP($C$5,PriorYr906!$J$9:$K$87,30,FALSE)</f>
        <v>0</v>
      </c>
      <c r="H40" s="413">
        <f t="shared" si="0"/>
        <v>0</v>
      </c>
      <c r="J40" s="414">
        <f t="shared" si="1"/>
        <v>0</v>
      </c>
    </row>
    <row r="41" spans="2:10" ht="13.5" x14ac:dyDescent="0.25">
      <c r="B41" s="3206" t="s">
        <v>272</v>
      </c>
      <c r="C41" s="3206"/>
      <c r="D41" s="652">
        <f>SUM(D13:D40)</f>
        <v>0</v>
      </c>
      <c r="F41" s="706">
        <f>SUM(F12:F40)</f>
        <v>1796275616.8199999</v>
      </c>
      <c r="H41" s="413"/>
      <c r="J41" s="414"/>
    </row>
    <row r="42" spans="2:10" x14ac:dyDescent="0.2">
      <c r="B42" s="394"/>
      <c r="C42" s="394"/>
      <c r="F42" s="643"/>
    </row>
    <row r="43" spans="2:10" x14ac:dyDescent="0.2">
      <c r="B43" s="394" t="s">
        <v>273</v>
      </c>
      <c r="C43" s="394"/>
      <c r="F43" s="643"/>
    </row>
    <row r="44" spans="2:10" x14ac:dyDescent="0.2">
      <c r="B44" s="335" t="s">
        <v>275</v>
      </c>
      <c r="C44" s="335"/>
      <c r="F44" s="643"/>
    </row>
    <row r="45" spans="2:10" ht="13.5" x14ac:dyDescent="0.25">
      <c r="B45" s="3355" t="s">
        <v>1060</v>
      </c>
      <c r="C45" s="3355"/>
      <c r="D45" s="649">
        <f>'906-6B'!J43</f>
        <v>0</v>
      </c>
      <c r="F45" s="393">
        <f>HLOOKUP($C$5,PriorYr906!$J$9:$K$87,35,FALSE)</f>
        <v>248343.51</v>
      </c>
      <c r="H45" s="413">
        <f t="shared" ref="H45:H53" si="2">D45-F45</f>
        <v>-248343.51</v>
      </c>
      <c r="J45" s="414">
        <f t="shared" ref="J45:J53" si="3">IF(F45=0,0,H45/F45)</f>
        <v>-1</v>
      </c>
    </row>
    <row r="46" spans="2:10" ht="13.5" x14ac:dyDescent="0.25">
      <c r="B46" s="3355" t="s">
        <v>816</v>
      </c>
      <c r="C46" s="3355"/>
      <c r="D46" s="649">
        <f>'906-6B'!J44</f>
        <v>0</v>
      </c>
      <c r="F46" s="393">
        <f>HLOOKUP($C$5,PriorYr906!$J$9:$K$87,36,FALSE)</f>
        <v>0</v>
      </c>
      <c r="H46" s="413">
        <f t="shared" si="2"/>
        <v>0</v>
      </c>
      <c r="J46" s="414">
        <f t="shared" si="3"/>
        <v>0</v>
      </c>
    </row>
    <row r="47" spans="2:10" ht="13.5" x14ac:dyDescent="0.25">
      <c r="B47" s="3355" t="s">
        <v>1078</v>
      </c>
      <c r="C47" s="3355"/>
      <c r="D47" s="649">
        <f>'906-6B'!J45</f>
        <v>0</v>
      </c>
      <c r="F47" s="393">
        <f>HLOOKUP($C$5,PriorYr906!$J$9:$K$87,37,FALSE)</f>
        <v>0</v>
      </c>
      <c r="H47" s="413">
        <f t="shared" si="2"/>
        <v>0</v>
      </c>
      <c r="J47" s="414">
        <f t="shared" si="3"/>
        <v>0</v>
      </c>
    </row>
    <row r="48" spans="2:10" ht="13.5" x14ac:dyDescent="0.25">
      <c r="B48" s="3206" t="s">
        <v>1402</v>
      </c>
      <c r="C48" s="3206"/>
      <c r="D48" s="649">
        <f>'906-6B'!J46</f>
        <v>0</v>
      </c>
      <c r="F48" s="393">
        <f>HLOOKUP($C$5,PriorYr906!$J$9:$K$87,38,FALSE)</f>
        <v>0</v>
      </c>
      <c r="H48" s="413">
        <f>D48-F48</f>
        <v>0</v>
      </c>
      <c r="J48" s="414">
        <f>IF(F48=0,0,H48/F48)</f>
        <v>0</v>
      </c>
    </row>
    <row r="49" spans="2:10" ht="13.5" x14ac:dyDescent="0.25">
      <c r="B49" s="3206" t="s">
        <v>569</v>
      </c>
      <c r="C49" s="3206"/>
      <c r="D49" s="649">
        <f>'906-6B'!J47</f>
        <v>0</v>
      </c>
      <c r="F49" s="393">
        <f>HLOOKUP($C$5,PriorYr906!$J$9:$K$87,39,FALSE)</f>
        <v>0</v>
      </c>
      <c r="H49" s="413">
        <f t="shared" si="2"/>
        <v>0</v>
      </c>
      <c r="J49" s="414">
        <f t="shared" si="3"/>
        <v>0</v>
      </c>
    </row>
    <row r="50" spans="2:10" ht="13.5" x14ac:dyDescent="0.25">
      <c r="B50" s="3206" t="s">
        <v>739</v>
      </c>
      <c r="C50" s="3206"/>
      <c r="D50" s="649">
        <f>'906-6B'!J48</f>
        <v>0</v>
      </c>
      <c r="F50" s="393">
        <f>HLOOKUP($C$5,PriorYr906!$J$9:$K$87,40,FALSE)</f>
        <v>0</v>
      </c>
      <c r="H50" s="413">
        <f t="shared" si="2"/>
        <v>0</v>
      </c>
      <c r="J50" s="414">
        <f t="shared" si="3"/>
        <v>0</v>
      </c>
    </row>
    <row r="51" spans="2:10" ht="13.5" x14ac:dyDescent="0.25">
      <c r="B51" s="3206" t="s">
        <v>701</v>
      </c>
      <c r="C51" s="3206"/>
      <c r="D51" s="649">
        <f>'906-6B'!J49</f>
        <v>0</v>
      </c>
      <c r="F51" s="393">
        <f>HLOOKUP($C$5,PriorYr906!$J$9:$K$87,41,FALSE)</f>
        <v>0</v>
      </c>
      <c r="H51" s="413">
        <f t="shared" si="2"/>
        <v>0</v>
      </c>
      <c r="J51" s="414">
        <f t="shared" si="3"/>
        <v>0</v>
      </c>
    </row>
    <row r="52" spans="2:10" ht="13.5" x14ac:dyDescent="0.25">
      <c r="B52" s="3206" t="s">
        <v>80</v>
      </c>
      <c r="C52" s="3206"/>
      <c r="D52" s="649">
        <f>'906-6B'!J50</f>
        <v>0</v>
      </c>
      <c r="F52" s="393">
        <f>HLOOKUP($C$5,PriorYr906!$J$9:$K$87,42,FALSE)</f>
        <v>0</v>
      </c>
      <c r="H52" s="413">
        <f t="shared" si="2"/>
        <v>0</v>
      </c>
      <c r="J52" s="414">
        <f t="shared" si="3"/>
        <v>0</v>
      </c>
    </row>
    <row r="53" spans="2:10" ht="13.5" x14ac:dyDescent="0.25">
      <c r="B53" s="3206" t="s">
        <v>791</v>
      </c>
      <c r="C53" s="3206"/>
      <c r="D53" s="402">
        <f>SUM(D45:D52)</f>
        <v>0</v>
      </c>
      <c r="F53" s="706">
        <f>SUM(F44:F52)</f>
        <v>248343.51</v>
      </c>
      <c r="H53" s="413">
        <f t="shared" si="2"/>
        <v>-248343.51</v>
      </c>
      <c r="J53" s="414">
        <f t="shared" si="3"/>
        <v>-1</v>
      </c>
    </row>
    <row r="54" spans="2:10" ht="13.5" x14ac:dyDescent="0.25">
      <c r="B54" s="398"/>
      <c r="C54" s="398"/>
      <c r="F54" s="399"/>
      <c r="H54" s="413"/>
      <c r="J54" s="414"/>
    </row>
    <row r="55" spans="2:10" ht="13.5" x14ac:dyDescent="0.25">
      <c r="B55" s="395" t="s">
        <v>1905</v>
      </c>
      <c r="C55" s="395"/>
      <c r="D55" s="645"/>
      <c r="E55" s="409"/>
      <c r="F55" s="399"/>
      <c r="G55" s="410"/>
      <c r="H55" s="645"/>
      <c r="I55" s="411"/>
      <c r="J55" s="646"/>
    </row>
    <row r="56" spans="2:10" ht="13.5" x14ac:dyDescent="0.25">
      <c r="B56" s="335" t="s">
        <v>1079</v>
      </c>
      <c r="C56" s="335"/>
      <c r="H56" s="413"/>
      <c r="J56" s="414"/>
    </row>
    <row r="57" spans="2:10" ht="13.5" x14ac:dyDescent="0.25">
      <c r="B57" s="3355" t="s">
        <v>709</v>
      </c>
      <c r="C57" s="3355"/>
      <c r="D57" s="649">
        <f>'906-6B'!J55</f>
        <v>0</v>
      </c>
      <c r="F57" s="393">
        <f>HLOOKUP($C$5,PriorYr906!$J$9:$K$87,47,FALSE)</f>
        <v>1796027273.3099999</v>
      </c>
      <c r="H57" s="413">
        <f>D57-F57</f>
        <v>-1796027273.3099999</v>
      </c>
      <c r="J57" s="414">
        <f>IF(F57=0,0,H57/F57)</f>
        <v>-1</v>
      </c>
    </row>
    <row r="58" spans="2:10" ht="14.25" thickBot="1" x14ac:dyDescent="0.3">
      <c r="B58" s="3206" t="s">
        <v>1889</v>
      </c>
      <c r="C58" s="3206"/>
      <c r="D58" s="405">
        <f>SUM(D56:D57)</f>
        <v>0</v>
      </c>
      <c r="F58" s="707">
        <f>SUM(F55:F57)</f>
        <v>1796027273.3099999</v>
      </c>
      <c r="H58" s="413"/>
      <c r="J58" s="414"/>
    </row>
    <row r="59" spans="2:10" ht="14.25" thickTop="1" x14ac:dyDescent="0.25">
      <c r="B59" s="398"/>
      <c r="C59" s="398"/>
      <c r="F59" s="398"/>
      <c r="H59" s="413"/>
      <c r="J59" s="414"/>
    </row>
    <row r="60" spans="2:10" x14ac:dyDescent="0.2">
      <c r="B60" s="335" t="s">
        <v>3480</v>
      </c>
      <c r="C60" s="44"/>
      <c r="D60" s="406" t="str">
        <f>IF(D41-D53=D58,"In Bal.","NOT BALANCED")</f>
        <v>In Bal.</v>
      </c>
      <c r="F60" s="406" t="str">
        <f>IF(F41-F53=F58,"In Bal.","NOT BALANCED")</f>
        <v>In Bal.</v>
      </c>
    </row>
    <row r="61" spans="2:10" x14ac:dyDescent="0.2">
      <c r="B61" s="653"/>
      <c r="C61" s="653"/>
      <c r="D61" s="654"/>
    </row>
    <row r="62" spans="2:10" x14ac:dyDescent="0.2">
      <c r="B62" s="407" t="s">
        <v>986</v>
      </c>
      <c r="C62" s="407"/>
      <c r="D62" s="1248" t="str">
        <f>CONCATENATE("FYE ",+TEXT(Data!$A$2,"mmmm d,yyyy"))</f>
        <v>FYE June 30,2022</v>
      </c>
      <c r="F62" s="792" t="str">
        <f>CONCATENATE("FYE ",+TEXT(Data!$A$4,"mmmm d,yyyy"))</f>
        <v>FYE June 30,2021</v>
      </c>
    </row>
    <row r="63" spans="2:10" x14ac:dyDescent="0.2">
      <c r="B63" s="647" t="s">
        <v>463</v>
      </c>
      <c r="C63" s="407"/>
      <c r="F63" s="398"/>
    </row>
    <row r="64" spans="2:10" ht="13.5" x14ac:dyDescent="0.25">
      <c r="B64" s="3206" t="s">
        <v>710</v>
      </c>
      <c r="C64" s="3206"/>
      <c r="D64" s="650">
        <f>'906-6B'!J62</f>
        <v>0</v>
      </c>
      <c r="F64" s="842">
        <f>HLOOKUP($C$5,PriorYr906!$J$9:$K$87,54,FALSE)</f>
        <v>4301073.83</v>
      </c>
      <c r="H64" s="413">
        <f>D64-F64</f>
        <v>-4301073.83</v>
      </c>
      <c r="J64" s="414">
        <f>IF(F64=0,0,H64/F64)</f>
        <v>-1</v>
      </c>
    </row>
    <row r="65" spans="2:10" ht="13.5" x14ac:dyDescent="0.25">
      <c r="B65" s="3206" t="s">
        <v>711</v>
      </c>
      <c r="C65" s="3206"/>
      <c r="D65" s="649">
        <f>'906-6B'!J63</f>
        <v>0</v>
      </c>
      <c r="F65" s="393">
        <f>HLOOKUP($C$5,PriorYr906!$J$9:$K$87,55,FALSE)</f>
        <v>79969153.569999993</v>
      </c>
      <c r="H65" s="413">
        <f>D65-F65</f>
        <v>-79969153.569999993</v>
      </c>
      <c r="J65" s="414">
        <f>IF(F65=0,0,H65/F65)</f>
        <v>-1</v>
      </c>
    </row>
    <row r="66" spans="2:10" ht="13.5" x14ac:dyDescent="0.25">
      <c r="B66" s="3206" t="s">
        <v>712</v>
      </c>
      <c r="C66" s="3206"/>
      <c r="D66" s="649">
        <f>'906-6B'!J64</f>
        <v>0</v>
      </c>
      <c r="F66" s="393">
        <f>HLOOKUP($C$5,PriorYr906!$J$9:$K$87,56,FALSE)</f>
        <v>0</v>
      </c>
      <c r="H66" s="413">
        <f>D66-F66</f>
        <v>0</v>
      </c>
      <c r="J66" s="414">
        <f>IF(F66=0,0,H66/F66)</f>
        <v>0</v>
      </c>
    </row>
    <row r="67" spans="2:10" ht="13.5" x14ac:dyDescent="0.25">
      <c r="B67" s="3206" t="s">
        <v>713</v>
      </c>
      <c r="C67" s="3206"/>
      <c r="D67" s="651">
        <f>'906-6B'!J65</f>
        <v>0</v>
      </c>
      <c r="F67" s="393">
        <f>HLOOKUP($C$5,PriorYr906!$J$9:$K$87,57,FALSE)</f>
        <v>0</v>
      </c>
      <c r="H67" s="413">
        <f>D67-F67</f>
        <v>0</v>
      </c>
      <c r="J67" s="414">
        <f>IF(F67=0,0,H67/F67)</f>
        <v>0</v>
      </c>
    </row>
    <row r="68" spans="2:10" ht="13.5" x14ac:dyDescent="0.25">
      <c r="B68" s="3206" t="s">
        <v>714</v>
      </c>
      <c r="C68" s="3206"/>
      <c r="D68" s="652">
        <f>SUM(D64:D67)</f>
        <v>0</v>
      </c>
      <c r="F68" s="706">
        <f>SUM(F64:F67)</f>
        <v>84270227.400000006</v>
      </c>
      <c r="H68" s="413">
        <f>D68-F68</f>
        <v>-84270227.400000006</v>
      </c>
      <c r="J68" s="414">
        <f>IF(F68=0,0,H68/F68)</f>
        <v>-1</v>
      </c>
    </row>
    <row r="69" spans="2:10" ht="13.5" x14ac:dyDescent="0.25">
      <c r="B69" s="647" t="s">
        <v>464</v>
      </c>
      <c r="C69" s="398"/>
      <c r="F69" s="643"/>
      <c r="H69" s="413"/>
      <c r="J69" s="414"/>
    </row>
    <row r="70" spans="2:10" ht="13.5" x14ac:dyDescent="0.25">
      <c r="B70" s="3206" t="s">
        <v>715</v>
      </c>
      <c r="C70" s="3206"/>
      <c r="D70" s="649">
        <f>'906-6B'!J68</f>
        <v>0</v>
      </c>
      <c r="F70" s="393">
        <f>HLOOKUP($C$5,PriorYr906!$J$9:$K$87,60,FALSE)</f>
        <v>207403402.94999999</v>
      </c>
      <c r="H70" s="413">
        <f>D70-F70</f>
        <v>-207403402.94999999</v>
      </c>
      <c r="J70" s="414">
        <f>IF(F70=0,0,H70/F70)</f>
        <v>-1</v>
      </c>
    </row>
    <row r="71" spans="2:10" ht="13.5" x14ac:dyDescent="0.25">
      <c r="B71" s="3206" t="s">
        <v>987</v>
      </c>
      <c r="C71" s="3206"/>
      <c r="D71" s="651">
        <f>'906-6B'!J69</f>
        <v>0</v>
      </c>
      <c r="F71" s="393">
        <f>HLOOKUP($C$5,PriorYr906!$J$9:$K$87,61,FALSE)</f>
        <v>0</v>
      </c>
      <c r="H71" s="413">
        <f>D71-F71</f>
        <v>0</v>
      </c>
      <c r="J71" s="414">
        <f>IF(F71=0,0,H71/F71)</f>
        <v>0</v>
      </c>
    </row>
    <row r="72" spans="2:10" ht="13.5" x14ac:dyDescent="0.25">
      <c r="B72" s="3206" t="s">
        <v>988</v>
      </c>
      <c r="C72" s="3206"/>
      <c r="D72" s="652">
        <f>SUM(D70:D71)</f>
        <v>0</v>
      </c>
      <c r="F72" s="706">
        <f>SUM(F70:F71)</f>
        <v>207403402.94999999</v>
      </c>
      <c r="H72" s="413">
        <f>D72-F72</f>
        <v>-207403402.94999999</v>
      </c>
      <c r="J72" s="414">
        <f>IF(F72=0,0,H72/F72)</f>
        <v>-1</v>
      </c>
    </row>
    <row r="73" spans="2:10" ht="13.5" x14ac:dyDescent="0.25">
      <c r="B73" s="647" t="s">
        <v>465</v>
      </c>
      <c r="C73" s="398"/>
      <c r="F73" s="399"/>
      <c r="H73" s="413"/>
      <c r="J73" s="414"/>
    </row>
    <row r="74" spans="2:10" ht="13.5" x14ac:dyDescent="0.25">
      <c r="B74" s="3206" t="s">
        <v>989</v>
      </c>
      <c r="C74" s="3206"/>
      <c r="D74" s="649">
        <f>'906-6B'!J72</f>
        <v>0</v>
      </c>
      <c r="F74" s="393">
        <f>HLOOKUP($C$5,PriorYr906!$J$9:$K$87,64,FALSE)</f>
        <v>0</v>
      </c>
      <c r="H74" s="413">
        <f>D74-F74</f>
        <v>0</v>
      </c>
      <c r="J74" s="414">
        <f>IF(F74=0,0,H74/F74)</f>
        <v>0</v>
      </c>
    </row>
    <row r="75" spans="2:10" ht="13.5" x14ac:dyDescent="0.25">
      <c r="B75" s="3206" t="s">
        <v>990</v>
      </c>
      <c r="C75" s="3206"/>
      <c r="D75" s="649">
        <f>'906-6B'!J73</f>
        <v>0</v>
      </c>
      <c r="F75" s="393">
        <f>HLOOKUP($C$5,PriorYr906!$J$9:$K$87,65,FALSE)</f>
        <v>1247575.3400000001</v>
      </c>
      <c r="H75" s="413">
        <f>D75-F75</f>
        <v>-1247575.3400000001</v>
      </c>
      <c r="J75" s="414">
        <f>IF(F75=0,0,H75/F75)</f>
        <v>-1</v>
      </c>
    </row>
    <row r="76" spans="2:10" ht="13.5" x14ac:dyDescent="0.25">
      <c r="B76" s="3206" t="s">
        <v>991</v>
      </c>
      <c r="C76" s="3206"/>
      <c r="D76" s="651">
        <f>'906-6B'!J74</f>
        <v>0</v>
      </c>
      <c r="F76" s="393">
        <f>HLOOKUP($C$5,PriorYr906!$J$9:$K$87,66,FALSE)</f>
        <v>24399.67</v>
      </c>
      <c r="H76" s="413">
        <f>D76-F76</f>
        <v>-24399.67</v>
      </c>
      <c r="J76" s="414">
        <f>IF(F76=0,0,H76/F76)</f>
        <v>-1</v>
      </c>
    </row>
    <row r="77" spans="2:10" ht="13.5" x14ac:dyDescent="0.25">
      <c r="B77" s="3206" t="s">
        <v>992</v>
      </c>
      <c r="C77" s="3206"/>
      <c r="D77" s="655">
        <f>SUM(D74:D76)</f>
        <v>0</v>
      </c>
      <c r="F77" s="706">
        <f>SUM(F74:F76)</f>
        <v>1271975.01</v>
      </c>
      <c r="H77" s="413"/>
      <c r="J77" s="414"/>
    </row>
    <row r="78" spans="2:10" ht="13.5" x14ac:dyDescent="0.25">
      <c r="B78" s="3206" t="s">
        <v>466</v>
      </c>
      <c r="C78" s="3206"/>
      <c r="D78" s="402">
        <f>D68+D72+D77</f>
        <v>0</v>
      </c>
      <c r="F78" s="706">
        <f>F68+F72+F77</f>
        <v>292945605.36000001</v>
      </c>
      <c r="H78" s="413">
        <f>D78-F78</f>
        <v>-292945605.36000001</v>
      </c>
      <c r="J78" s="414">
        <f>IF(F78=0,0,H78/F78)</f>
        <v>-1</v>
      </c>
    </row>
    <row r="79" spans="2:10" ht="13.5" x14ac:dyDescent="0.25">
      <c r="B79" s="398"/>
      <c r="C79" s="398"/>
      <c r="D79" s="656"/>
      <c r="F79" s="398"/>
      <c r="H79" s="413"/>
      <c r="J79" s="414"/>
    </row>
    <row r="80" spans="2:10" ht="13.5" x14ac:dyDescent="0.25">
      <c r="B80" s="407" t="s">
        <v>467</v>
      </c>
      <c r="C80" s="407"/>
      <c r="F80" s="398"/>
      <c r="H80" s="413"/>
      <c r="J80" s="414"/>
    </row>
    <row r="81" spans="2:10" ht="13.5" x14ac:dyDescent="0.25">
      <c r="B81" s="3206" t="s">
        <v>1171</v>
      </c>
      <c r="C81" s="3206"/>
      <c r="D81" s="649">
        <f>'906-6B'!J79</f>
        <v>0</v>
      </c>
      <c r="F81" s="393">
        <f>HLOOKUP($C$5,PriorYr906!$J$9:$K$87,71,FALSE)</f>
        <v>81117303.370000005</v>
      </c>
      <c r="H81" s="413">
        <f t="shared" ref="H81:H88" si="4">D81-F81</f>
        <v>-81117303.370000005</v>
      </c>
      <c r="J81" s="414">
        <f>IF(F81=0,0,H81/F81)</f>
        <v>-1</v>
      </c>
    </row>
    <row r="82" spans="2:10" ht="13.5" x14ac:dyDescent="0.25">
      <c r="B82" s="3206" t="s">
        <v>468</v>
      </c>
      <c r="C82" s="3206"/>
      <c r="D82" s="649">
        <f>'906-6B'!J80</f>
        <v>0</v>
      </c>
      <c r="F82" s="393">
        <f>HLOOKUP($C$5,PriorYr906!$J$9:$K$87,72,FALSE)</f>
        <v>0</v>
      </c>
      <c r="H82" s="413">
        <f t="shared" si="4"/>
        <v>0</v>
      </c>
      <c r="J82" s="414">
        <f t="shared" ref="J82:J88" si="5">IF(F82=0,0,H82/F82)</f>
        <v>0</v>
      </c>
    </row>
    <row r="83" spans="2:10" ht="13.5" x14ac:dyDescent="0.25">
      <c r="B83" s="3206" t="s">
        <v>469</v>
      </c>
      <c r="C83" s="3206"/>
      <c r="D83" s="649">
        <f>'906-6B'!J81</f>
        <v>0</v>
      </c>
      <c r="F83" s="393">
        <f>HLOOKUP($C$5,PriorYr906!$J$9:$K$87,73,FALSE)</f>
        <v>2119514.67</v>
      </c>
      <c r="H83" s="413">
        <f t="shared" si="4"/>
        <v>-2119514.67</v>
      </c>
      <c r="J83" s="414">
        <f t="shared" si="5"/>
        <v>-1</v>
      </c>
    </row>
    <row r="84" spans="2:10" ht="13.5" x14ac:dyDescent="0.25">
      <c r="B84" s="3206" t="s">
        <v>470</v>
      </c>
      <c r="C84" s="3206"/>
      <c r="D84" s="651">
        <f>'906-6B'!J82</f>
        <v>0</v>
      </c>
      <c r="F84" s="393">
        <f>HLOOKUP($C$5,PriorYr906!$J$9:$K$87,74,FALSE)</f>
        <v>0</v>
      </c>
      <c r="H84" s="413">
        <f t="shared" si="4"/>
        <v>0</v>
      </c>
      <c r="J84" s="414">
        <f t="shared" si="5"/>
        <v>0</v>
      </c>
    </row>
    <row r="85" spans="2:10" ht="13.5" x14ac:dyDescent="0.25">
      <c r="B85" s="3206" t="s">
        <v>504</v>
      </c>
      <c r="C85" s="3206"/>
      <c r="D85" s="404">
        <f>SUM(D81:D84)</f>
        <v>0</v>
      </c>
      <c r="F85" s="706">
        <f>SUM(F81:F84)</f>
        <v>83236818.040000007</v>
      </c>
      <c r="H85" s="413">
        <f t="shared" si="4"/>
        <v>-83236818.040000007</v>
      </c>
      <c r="J85" s="414">
        <f t="shared" si="5"/>
        <v>-1</v>
      </c>
    </row>
    <row r="86" spans="2:10" ht="13.5" x14ac:dyDescent="0.25">
      <c r="B86" s="3206" t="s">
        <v>993</v>
      </c>
      <c r="C86" s="3206"/>
      <c r="D86" s="1252">
        <f>D78-D85</f>
        <v>0</v>
      </c>
      <c r="F86" s="1252">
        <f>F78-F85</f>
        <v>209708787.31999999</v>
      </c>
      <c r="H86" s="413">
        <f t="shared" si="4"/>
        <v>-209708787.31999999</v>
      </c>
      <c r="J86" s="414">
        <f t="shared" si="5"/>
        <v>-1</v>
      </c>
    </row>
    <row r="87" spans="2:10" ht="13.5" x14ac:dyDescent="0.25">
      <c r="B87" s="3206" t="s">
        <v>3485</v>
      </c>
      <c r="C87" s="3206"/>
      <c r="D87" s="1065">
        <f>'906-6B'!J85</f>
        <v>1796027273.3099999</v>
      </c>
      <c r="F87" s="1065">
        <f>HLOOKUP($C$5,PriorYr906!$J$9:$K$87,77,FALSE)</f>
        <v>1586318485.99</v>
      </c>
      <c r="H87" s="413">
        <f t="shared" si="4"/>
        <v>209708787.31999999</v>
      </c>
      <c r="J87" s="414">
        <f t="shared" si="5"/>
        <v>0.13220000000000001</v>
      </c>
    </row>
    <row r="88" spans="2:10" ht="13.5" x14ac:dyDescent="0.25">
      <c r="B88" s="3206" t="s">
        <v>1054</v>
      </c>
      <c r="C88" s="3206"/>
      <c r="D88" s="649">
        <f>'906-6B'!J86</f>
        <v>0</v>
      </c>
      <c r="F88" s="393">
        <f>HLOOKUP($C$5,PriorYr906!$J$9:$K$87,78,FALSE)</f>
        <v>0</v>
      </c>
      <c r="H88" s="413">
        <f t="shared" si="4"/>
        <v>0</v>
      </c>
      <c r="J88" s="414">
        <f t="shared" si="5"/>
        <v>0</v>
      </c>
    </row>
    <row r="89" spans="2:10" ht="13.5" thickBot="1" x14ac:dyDescent="0.25">
      <c r="B89" s="3206" t="s">
        <v>3486</v>
      </c>
      <c r="C89" s="3206"/>
      <c r="D89" s="405">
        <f>SUM(D86:D88)</f>
        <v>1796027273.3099999</v>
      </c>
      <c r="F89" s="708">
        <f>SUM(F86:F88)</f>
        <v>1796027273.3099999</v>
      </c>
    </row>
    <row r="90" spans="2:10" ht="13.5" thickTop="1" x14ac:dyDescent="0.2">
      <c r="F90" s="403"/>
    </row>
    <row r="91" spans="2:10" x14ac:dyDescent="0.2">
      <c r="B91" s="349" t="s">
        <v>3487</v>
      </c>
      <c r="C91" s="657"/>
      <c r="D91" s="406" t="str">
        <f>IF(D58=D89,"In Bal.","NOT")</f>
        <v>NOT</v>
      </c>
      <c r="F91" s="406" t="str">
        <f>IF(F58=F89,"In Bal.","NOT")</f>
        <v>In Bal.</v>
      </c>
    </row>
    <row r="92" spans="2:10" x14ac:dyDescent="0.2">
      <c r="B92" s="398"/>
      <c r="C92" s="398"/>
    </row>
    <row r="93" spans="2:10" x14ac:dyDescent="0.2">
      <c r="B93" s="2261" t="s">
        <v>4960</v>
      </c>
      <c r="C93" s="2259"/>
      <c r="D93" s="2259"/>
      <c r="E93" s="2259"/>
      <c r="F93" s="2259"/>
      <c r="G93" s="2259"/>
      <c r="H93" s="2259"/>
      <c r="I93" s="2259"/>
      <c r="J93" s="2259"/>
    </row>
    <row r="94" spans="2:10" x14ac:dyDescent="0.2">
      <c r="B94" s="339" t="s">
        <v>4961</v>
      </c>
    </row>
  </sheetData>
  <sheetProtection algorithmName="SHA-512" hashValue="JiAUrjH6ObGSRSpblxuuBORJ29QGJMSy27e1ua0ESI+NxSaHmP0YFKXSFPUAMEgEAWZx4PjE2s61vi8jJF2l0g==" saltValue="D1r6XiyJmb0OGKxcG1Pv+A==" spinCount="100000" sheet="1" objects="1" scenarios="1" autoFilter="0"/>
  <customSheetViews>
    <customSheetView guid="{B08879A4-635B-4C39-9937-AC7883D562FC}" showGridLines="0" fitToPage="1">
      <selection activeCell="F9" sqref="F9"/>
      <pageMargins left="0.75" right="0.5" top="0.5" bottom="0.5" header="0.5" footer="0.25"/>
      <pageSetup scale="86" fitToHeight="2" orientation="portrait" r:id="rId1"/>
      <headerFooter alignWithMargins="0">
        <oddFooter>&amp;R&amp;A (&amp;P of &amp;N)</oddFooter>
      </headerFooter>
    </customSheetView>
    <customSheetView guid="{9FCFC836-1CA5-48BF-958D-24D2EA94B219}" showGridLines="0" fitToPage="1">
      <selection activeCell="F9" sqref="F9"/>
      <pageMargins left="0.75" right="0.5" top="0.5" bottom="0.5" header="0.5" footer="0.25"/>
      <pageSetup scale="86" fitToHeight="2" orientation="portrait" r:id="rId2"/>
      <headerFooter alignWithMargins="0">
        <oddFooter>&amp;R&amp;A (&amp;P of &amp;N)</oddFooter>
      </headerFooter>
    </customSheetView>
  </customSheetViews>
  <mergeCells count="67">
    <mergeCell ref="B89:C89"/>
    <mergeCell ref="B65:C65"/>
    <mergeCell ref="B77:C77"/>
    <mergeCell ref="B74:C74"/>
    <mergeCell ref="B72:C72"/>
    <mergeCell ref="B75:C75"/>
    <mergeCell ref="B76:C76"/>
    <mergeCell ref="B67:C67"/>
    <mergeCell ref="B68:C68"/>
    <mergeCell ref="B70:C70"/>
    <mergeCell ref="B71:C71"/>
    <mergeCell ref="B88:C88"/>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38:C38"/>
    <mergeCell ref="B36:C36"/>
    <mergeCell ref="B39:C39"/>
    <mergeCell ref="B37:C37"/>
    <mergeCell ref="B48:C48"/>
    <mergeCell ref="B47:C47"/>
    <mergeCell ref="B53:C53"/>
    <mergeCell ref="B57:C57"/>
    <mergeCell ref="B64:C64"/>
    <mergeCell ref="B49:C49"/>
    <mergeCell ref="B50:C50"/>
    <mergeCell ref="B51:C51"/>
    <mergeCell ref="B52:C52"/>
    <mergeCell ref="B58:C58"/>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15:C15"/>
    <mergeCell ref="L1:L3"/>
    <mergeCell ref="B13:C13"/>
    <mergeCell ref="C6:D6"/>
    <mergeCell ref="G5:J5"/>
    <mergeCell ref="B1:K1"/>
    <mergeCell ref="B2:K2"/>
    <mergeCell ref="B3:K3"/>
    <mergeCell ref="H7:J7"/>
  </mergeCells>
  <phoneticPr fontId="15" type="noConversion"/>
  <conditionalFormatting sqref="L1:L3">
    <cfRule type="cellIs" dxfId="4"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4" fitToHeight="2" orientation="portrait" r:id="rId3"/>
  <headerFooter alignWithMargins="0">
    <oddFooter>&amp;R&amp;A (&amp;P of &amp;N)</oddFooter>
  </headerFooter>
  <rowBreaks count="1" manualBreakCount="1">
    <brk id="61" max="1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workbookViewId="0">
      <selection sqref="A1:K1"/>
    </sheetView>
  </sheetViews>
  <sheetFormatPr defaultColWidth="9.42578125" defaultRowHeight="12.75" x14ac:dyDescent="0.2"/>
  <cols>
    <col min="1" max="1" width="4.42578125" customWidth="1"/>
    <col min="2" max="2" width="15.42578125" customWidth="1"/>
    <col min="3" max="3" width="21.42578125" customWidth="1"/>
    <col min="4" max="4" width="19.42578125" style="649" customWidth="1"/>
    <col min="5" max="5" width="1.5703125" customWidth="1"/>
    <col min="6" max="6" width="17.5703125" style="649"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767" t="str">
        <f>+Index!$A$1</f>
        <v xml:space="preserve">                                                               Office of the State Controller                                                                </v>
      </c>
      <c r="C1" s="2767"/>
      <c r="D1" s="2767"/>
      <c r="E1" s="2767"/>
      <c r="F1" s="2767"/>
      <c r="G1" s="2767"/>
      <c r="H1" s="2767"/>
      <c r="I1" s="2767"/>
      <c r="J1" s="2767"/>
      <c r="K1" s="2767"/>
      <c r="L1" s="2768" t="str">
        <f>IF(Index!$B$111="na","NA","")</f>
        <v/>
      </c>
      <c r="M1" s="622"/>
      <c r="O1" s="622"/>
      <c r="P1" s="622"/>
      <c r="Q1" s="622"/>
      <c r="R1" s="622"/>
      <c r="S1" s="622"/>
      <c r="T1" s="622"/>
      <c r="U1" s="622"/>
      <c r="V1" s="622"/>
    </row>
    <row r="2" spans="1:23" ht="16.5" x14ac:dyDescent="0.3">
      <c r="B2" s="2749" t="str">
        <f>+Index!$A$2</f>
        <v>2022 ACFR Worksheets</v>
      </c>
      <c r="C2" s="2749"/>
      <c r="D2" s="2749"/>
      <c r="E2" s="2749"/>
      <c r="F2" s="2749"/>
      <c r="G2" s="2749"/>
      <c r="H2" s="2749"/>
      <c r="I2" s="2749"/>
      <c r="J2" s="2749"/>
      <c r="K2" s="2749"/>
      <c r="L2" s="2768"/>
      <c r="M2" s="281"/>
      <c r="O2" s="632"/>
      <c r="P2" s="632"/>
      <c r="Q2" s="632"/>
      <c r="R2" s="632"/>
      <c r="S2" s="632"/>
      <c r="T2" s="632"/>
      <c r="U2" s="632"/>
      <c r="V2" s="632"/>
    </row>
    <row r="3" spans="1:23" ht="16.5" x14ac:dyDescent="0.3">
      <c r="B3" s="3327" t="s">
        <v>3819</v>
      </c>
      <c r="C3" s="3327"/>
      <c r="D3" s="3327"/>
      <c r="E3" s="3327"/>
      <c r="F3" s="3327"/>
      <c r="G3" s="3327"/>
      <c r="H3" s="3327"/>
      <c r="I3" s="3327"/>
      <c r="J3" s="3327"/>
      <c r="K3" s="3327"/>
      <c r="L3" s="2768"/>
      <c r="M3" s="637"/>
      <c r="O3" s="632"/>
      <c r="P3" s="632"/>
      <c r="Q3" s="632"/>
      <c r="R3" s="632"/>
      <c r="S3" s="632"/>
      <c r="T3" s="632"/>
      <c r="U3" s="632"/>
      <c r="V3" s="632"/>
    </row>
    <row r="4" spans="1:23" x14ac:dyDescent="0.2">
      <c r="A4" s="1367" t="s">
        <v>3492</v>
      </c>
      <c r="B4" s="1305"/>
      <c r="C4" s="1305"/>
      <c r="D4" s="1305"/>
      <c r="F4"/>
      <c r="J4" s="393"/>
    </row>
    <row r="5" spans="1:23" s="200" customFormat="1" ht="15" customHeight="1" x14ac:dyDescent="0.2">
      <c r="B5" s="200" t="s">
        <v>327</v>
      </c>
      <c r="C5" s="639" t="s">
        <v>149</v>
      </c>
      <c r="F5" s="806" t="s">
        <v>972</v>
      </c>
      <c r="G5" s="3320" t="str">
        <f>+CONCATENATE(Index!$E$12," ",Index!$E$14)</f>
        <v xml:space="preserve"> </v>
      </c>
      <c r="H5" s="3320"/>
      <c r="I5" s="3320"/>
      <c r="J5" s="3320"/>
      <c r="K5"/>
      <c r="L5"/>
      <c r="M5"/>
      <c r="O5" s="633"/>
      <c r="W5" s="199"/>
    </row>
    <row r="6" spans="1:23" s="200" customFormat="1" ht="15" customHeight="1" x14ac:dyDescent="0.2">
      <c r="B6" s="200" t="s">
        <v>1154</v>
      </c>
      <c r="C6" s="3358" t="s">
        <v>1020</v>
      </c>
      <c r="D6" s="3358"/>
      <c r="F6" s="633"/>
      <c r="G6" s="633"/>
      <c r="O6" s="634"/>
      <c r="P6" s="634"/>
      <c r="Q6" s="634"/>
      <c r="R6" s="634"/>
      <c r="S6" s="634"/>
      <c r="T6" s="634"/>
      <c r="U6" s="634"/>
      <c r="V6" s="201"/>
      <c r="W6" s="199"/>
    </row>
    <row r="7" spans="1:23" s="200" customFormat="1" ht="15" customHeight="1" x14ac:dyDescent="0.2">
      <c r="B7" s="200" t="s">
        <v>477</v>
      </c>
      <c r="C7" s="1066" t="s">
        <v>3489</v>
      </c>
      <c r="E7" s="633"/>
      <c r="F7" s="806" t="s">
        <v>348</v>
      </c>
      <c r="H7" s="3320">
        <f>+Index!$E$13</f>
        <v>0</v>
      </c>
      <c r="I7" s="3320"/>
      <c r="J7" s="3320"/>
      <c r="W7" s="199"/>
    </row>
    <row r="8" spans="1:23" s="38" customFormat="1" ht="12" customHeight="1" thickBot="1" x14ac:dyDescent="0.25">
      <c r="B8" s="129"/>
      <c r="C8" s="129"/>
      <c r="D8" s="129"/>
      <c r="E8" s="129"/>
      <c r="F8" s="129"/>
      <c r="G8" s="129"/>
      <c r="H8" s="129"/>
      <c r="I8" s="129"/>
      <c r="J8" s="129"/>
      <c r="K8" s="129"/>
      <c r="L8" s="122"/>
      <c r="M8" s="122"/>
    </row>
    <row r="9" spans="1:23" x14ac:dyDescent="0.2">
      <c r="D9" s="1231" t="s">
        <v>3488</v>
      </c>
      <c r="F9" s="1231" t="s">
        <v>1747</v>
      </c>
    </row>
    <row r="10" spans="1:23" ht="12.75" customHeight="1" x14ac:dyDescent="0.25">
      <c r="B10" s="392"/>
      <c r="C10" s="392"/>
      <c r="D10" s="408" t="str">
        <f>CONCATENATE("FY",YEAR(Data!$A$3),"-",YEAR(Data!$A$2))</f>
        <v>FY2021-2022</v>
      </c>
      <c r="E10" s="409"/>
      <c r="F10" s="408" t="str">
        <f>CONCATENATE("FY",YEAR(Data!$A$3)-1,"-",YEAR(Data!$A$2)-1)</f>
        <v>FY2020-2021</v>
      </c>
      <c r="G10" s="410"/>
      <c r="H10" s="408" t="s">
        <v>478</v>
      </c>
      <c r="I10" s="411"/>
      <c r="J10" s="412" t="s">
        <v>1012</v>
      </c>
      <c r="K10" s="411"/>
    </row>
    <row r="12" spans="1:23" x14ac:dyDescent="0.2">
      <c r="B12" s="648" t="s">
        <v>303</v>
      </c>
      <c r="C12" s="394"/>
    </row>
    <row r="13" spans="1:23" ht="13.5" x14ac:dyDescent="0.25">
      <c r="B13" s="3357" t="s">
        <v>630</v>
      </c>
      <c r="C13" s="3357"/>
      <c r="D13" s="650">
        <f>'906-6C'!J11</f>
        <v>0</v>
      </c>
      <c r="F13" s="842">
        <f>HLOOKUP($C$5,PriorYr906!$J$9:$K$87,3,FALSE)</f>
        <v>0</v>
      </c>
      <c r="H13" s="413">
        <f>D13-F13</f>
        <v>0</v>
      </c>
      <c r="J13" s="414">
        <f>IF(F13=0,0,H13/F13)</f>
        <v>0</v>
      </c>
    </row>
    <row r="14" spans="1:23" ht="13.5" x14ac:dyDescent="0.25">
      <c r="B14" s="567" t="s">
        <v>483</v>
      </c>
      <c r="C14" s="643"/>
      <c r="D14" s="650"/>
      <c r="F14" s="690"/>
      <c r="H14" s="413"/>
      <c r="J14" s="414"/>
    </row>
    <row r="15" spans="1:23" ht="13.5" x14ac:dyDescent="0.25">
      <c r="B15" s="3206" t="s">
        <v>1219</v>
      </c>
      <c r="C15" s="3357"/>
      <c r="D15" s="649">
        <f>'906-6C'!J13</f>
        <v>0</v>
      </c>
      <c r="F15" s="393">
        <f>HLOOKUP($C$5,PriorYr906!$J$9:$K$87,5,FALSE)</f>
        <v>0</v>
      </c>
      <c r="H15" s="413">
        <f>D15-F15</f>
        <v>0</v>
      </c>
      <c r="J15" s="414">
        <f>IF(F15=0,0,H15/F15)</f>
        <v>0</v>
      </c>
    </row>
    <row r="16" spans="1:23" ht="13.5" x14ac:dyDescent="0.25">
      <c r="B16" s="3206" t="s">
        <v>1221</v>
      </c>
      <c r="C16" s="3357"/>
      <c r="D16" s="649">
        <f>'906-6C'!J14</f>
        <v>0</v>
      </c>
      <c r="F16" s="393">
        <f>HLOOKUP($C$5,PriorYr906!$J$9:$K$87,6,FALSE)</f>
        <v>0</v>
      </c>
      <c r="H16" s="413">
        <f t="shared" ref="H16:H40" si="0">D16-F16</f>
        <v>0</v>
      </c>
      <c r="J16" s="414">
        <f t="shared" ref="J16:J40" si="1">IF(F16=0,0,H16/F16)</f>
        <v>0</v>
      </c>
    </row>
    <row r="17" spans="2:10" ht="13.5" x14ac:dyDescent="0.25">
      <c r="B17" s="3206" t="s">
        <v>1222</v>
      </c>
      <c r="C17" s="3357"/>
      <c r="D17" s="649">
        <f>'906-6C'!J15</f>
        <v>0</v>
      </c>
      <c r="F17" s="393">
        <f>HLOOKUP($C$5,PriorYr906!$J$9:$K$87,7,FALSE)</f>
        <v>0</v>
      </c>
      <c r="H17" s="413">
        <f t="shared" si="0"/>
        <v>0</v>
      </c>
      <c r="J17" s="414">
        <f t="shared" si="1"/>
        <v>0</v>
      </c>
    </row>
    <row r="18" spans="2:10" ht="13.5" x14ac:dyDescent="0.25">
      <c r="B18" s="3206" t="s">
        <v>1220</v>
      </c>
      <c r="C18" s="3206"/>
      <c r="D18" s="649">
        <f>'906-6C'!J16</f>
        <v>0</v>
      </c>
      <c r="F18" s="393">
        <f>HLOOKUP($C$5,PriorYr906!$J$9:$K$87,8,FALSE)</f>
        <v>0</v>
      </c>
      <c r="H18" s="413">
        <f t="shared" si="0"/>
        <v>0</v>
      </c>
      <c r="J18" s="414">
        <f t="shared" si="1"/>
        <v>0</v>
      </c>
    </row>
    <row r="19" spans="2:10" ht="13.5" x14ac:dyDescent="0.25">
      <c r="B19" s="3206" t="s">
        <v>1215</v>
      </c>
      <c r="C19" s="3206"/>
      <c r="D19" s="649">
        <f>'906-6C'!J17</f>
        <v>0</v>
      </c>
      <c r="F19" s="393">
        <f>HLOOKUP($C$5,PriorYr906!$J$9:$K$87,9,FALSE)</f>
        <v>0</v>
      </c>
      <c r="H19" s="413">
        <f t="shared" si="0"/>
        <v>0</v>
      </c>
      <c r="J19" s="414">
        <f t="shared" si="1"/>
        <v>0</v>
      </c>
    </row>
    <row r="20" spans="2:10" ht="13.5" x14ac:dyDescent="0.25">
      <c r="B20" s="3206" t="s">
        <v>1566</v>
      </c>
      <c r="C20" s="3206"/>
      <c r="D20" s="649">
        <f>'906-6C'!J18</f>
        <v>0</v>
      </c>
      <c r="F20" s="393">
        <f>HLOOKUP($C$5,PriorYr906!$J$9:$K$87,10,FALSE)</f>
        <v>0</v>
      </c>
      <c r="H20" s="413">
        <f>D20-F20</f>
        <v>0</v>
      </c>
      <c r="J20" s="414">
        <f>IF(F20=0,0,H20/F20)</f>
        <v>0</v>
      </c>
    </row>
    <row r="21" spans="2:10" ht="13.5" x14ac:dyDescent="0.25">
      <c r="B21" s="3206" t="s">
        <v>1216</v>
      </c>
      <c r="C21" s="3206"/>
      <c r="D21" s="649">
        <f>'906-6C'!J19</f>
        <v>0</v>
      </c>
      <c r="F21" s="393">
        <f>HLOOKUP($C$5,PriorYr906!$J$9:$K$87,11,FALSE)</f>
        <v>0</v>
      </c>
      <c r="H21" s="413">
        <f t="shared" si="0"/>
        <v>0</v>
      </c>
      <c r="J21" s="414">
        <f t="shared" si="1"/>
        <v>0</v>
      </c>
    </row>
    <row r="22" spans="2:10" ht="13.5" x14ac:dyDescent="0.25">
      <c r="B22" s="3206" t="s">
        <v>492</v>
      </c>
      <c r="C22" s="3206"/>
      <c r="D22" s="649">
        <f>'906-6C'!J20</f>
        <v>0</v>
      </c>
      <c r="F22" s="393">
        <f>HLOOKUP($C$5,PriorYr906!$J$9:$K$87,12,FALSE)</f>
        <v>0</v>
      </c>
      <c r="H22" s="413">
        <f t="shared" si="0"/>
        <v>0</v>
      </c>
      <c r="J22" s="414">
        <f t="shared" si="1"/>
        <v>0</v>
      </c>
    </row>
    <row r="23" spans="2:10" ht="13.5" x14ac:dyDescent="0.25">
      <c r="B23" s="3206" t="s">
        <v>487</v>
      </c>
      <c r="C23" s="3206"/>
      <c r="D23" s="649">
        <f>'906-6C'!J21</f>
        <v>0</v>
      </c>
      <c r="F23" s="393">
        <f>HLOOKUP($C$5,PriorYr906!$J$9:$K$87,13,FALSE)</f>
        <v>0</v>
      </c>
      <c r="H23" s="413">
        <f t="shared" si="0"/>
        <v>0</v>
      </c>
      <c r="J23" s="414">
        <f t="shared" si="1"/>
        <v>0</v>
      </c>
    </row>
    <row r="24" spans="2:10" ht="13.5" x14ac:dyDescent="0.25">
      <c r="B24" s="3206" t="s">
        <v>491</v>
      </c>
      <c r="C24" s="3206"/>
      <c r="D24" s="649">
        <f>'906-6C'!J22</f>
        <v>0</v>
      </c>
      <c r="F24" s="393">
        <f>HLOOKUP($C$5,PriorYr906!$J$9:$K$87,14,FALSE)</f>
        <v>0</v>
      </c>
      <c r="H24" s="413">
        <f t="shared" si="0"/>
        <v>0</v>
      </c>
      <c r="J24" s="414">
        <f t="shared" si="1"/>
        <v>0</v>
      </c>
    </row>
    <row r="25" spans="2:10" ht="13.5" x14ac:dyDescent="0.25">
      <c r="B25" s="3206" t="s">
        <v>495</v>
      </c>
      <c r="C25" s="3206"/>
      <c r="D25" s="649">
        <f>'906-6C'!J23</f>
        <v>0</v>
      </c>
      <c r="F25" s="393">
        <f>HLOOKUP($C$5,PriorYr906!$J$9:$K$87,15,FALSE)</f>
        <v>0</v>
      </c>
      <c r="H25" s="413">
        <f t="shared" si="0"/>
        <v>0</v>
      </c>
      <c r="J25" s="414">
        <f t="shared" si="1"/>
        <v>0</v>
      </c>
    </row>
    <row r="26" spans="2:10" ht="13.5" x14ac:dyDescent="0.25">
      <c r="B26" s="3206" t="s">
        <v>1845</v>
      </c>
      <c r="C26" s="3206"/>
      <c r="D26" s="649">
        <f>'906-6C'!J24</f>
        <v>0</v>
      </c>
      <c r="F26" s="393">
        <f>HLOOKUP($C$5,PriorYr906!$J$9:$K$87,16,FALSE)</f>
        <v>40136965.57</v>
      </c>
      <c r="H26" s="413">
        <f t="shared" si="0"/>
        <v>-40136965.57</v>
      </c>
      <c r="J26" s="414">
        <f t="shared" si="1"/>
        <v>-1</v>
      </c>
    </row>
    <row r="27" spans="2:10" ht="13.5" x14ac:dyDescent="0.25">
      <c r="B27" s="3206" t="s">
        <v>1681</v>
      </c>
      <c r="C27" s="3206"/>
      <c r="D27" s="649">
        <f>'906-6C'!J25</f>
        <v>0</v>
      </c>
      <c r="F27" s="393">
        <f>HLOOKUP($C$5,PriorYr906!$J$9:$K$87,17,FALSE)</f>
        <v>0</v>
      </c>
      <c r="H27" s="413">
        <f>D27-F27</f>
        <v>0</v>
      </c>
      <c r="J27" s="414">
        <f>IF(F27=0,0,H27/F27)</f>
        <v>0</v>
      </c>
    </row>
    <row r="28" spans="2:10" ht="13.5" x14ac:dyDescent="0.25">
      <c r="B28" s="3206" t="s">
        <v>1691</v>
      </c>
      <c r="C28" s="3206"/>
      <c r="D28" s="649">
        <f>'906-6C'!J26</f>
        <v>0</v>
      </c>
      <c r="F28" s="393">
        <f>HLOOKUP($C$5,PriorYr906!$J$9:$K$87,18,FALSE)</f>
        <v>204176145.34999999</v>
      </c>
      <c r="H28" s="413">
        <f>D28-F28</f>
        <v>-204176145.34999999</v>
      </c>
      <c r="J28" s="414">
        <f>IF(F28=0,0,H28/F28)</f>
        <v>-1</v>
      </c>
    </row>
    <row r="29" spans="2:10" ht="13.5" x14ac:dyDescent="0.25">
      <c r="B29" s="3206" t="s">
        <v>1692</v>
      </c>
      <c r="C29" s="3206"/>
      <c r="D29" s="649">
        <f>'906-6C'!J27</f>
        <v>0</v>
      </c>
      <c r="F29" s="393">
        <f>HLOOKUP($C$5,PriorYr906!$J$9:$K$87,19,FALSE)</f>
        <v>1725594767.3099999</v>
      </c>
      <c r="H29" s="413">
        <f>D29-F29</f>
        <v>-1725594767.3099999</v>
      </c>
      <c r="J29" s="414">
        <f>IF(F29=0,0,H29/F29)</f>
        <v>-1</v>
      </c>
    </row>
    <row r="30" spans="2:10" ht="13.5" x14ac:dyDescent="0.25">
      <c r="B30" s="3206" t="s">
        <v>1404</v>
      </c>
      <c r="C30" s="3206"/>
      <c r="D30" s="649">
        <f>'906-6C'!J28</f>
        <v>0</v>
      </c>
      <c r="F30" s="393">
        <f>HLOOKUP($C$5,PriorYr906!$J$9:$K$87,20,FALSE)</f>
        <v>10839205191.65</v>
      </c>
      <c r="H30" s="413">
        <f>D30-F30</f>
        <v>-10839205191.65</v>
      </c>
      <c r="J30" s="414">
        <f>IF(F30=0,0,H30/F30)</f>
        <v>-1</v>
      </c>
    </row>
    <row r="31" spans="2:10" ht="13.5" x14ac:dyDescent="0.25">
      <c r="B31" s="3206" t="s">
        <v>1403</v>
      </c>
      <c r="C31" s="3206"/>
      <c r="D31" s="649">
        <f>'906-6C'!J29</f>
        <v>0</v>
      </c>
      <c r="F31" s="393">
        <f>HLOOKUP($C$5,PriorYr906!$J$9:$K$87,21,FALSE)</f>
        <v>0</v>
      </c>
      <c r="H31" s="413">
        <f>D31-F31</f>
        <v>0</v>
      </c>
      <c r="J31" s="414">
        <f>IF(F31=0,0,H31/F31)</f>
        <v>0</v>
      </c>
    </row>
    <row r="32" spans="2:10" ht="13.5" x14ac:dyDescent="0.25">
      <c r="B32" s="567" t="s">
        <v>198</v>
      </c>
      <c r="C32" s="398"/>
      <c r="F32" s="393">
        <f>HLOOKUP($C$5,PriorYr906!$J$9:$K$87,22,FALSE)</f>
        <v>0</v>
      </c>
      <c r="H32" s="413"/>
      <c r="J32" s="414"/>
    </row>
    <row r="33" spans="2:10" ht="13.5" x14ac:dyDescent="0.25">
      <c r="B33" s="3362" t="s">
        <v>311</v>
      </c>
      <c r="C33" s="3362"/>
      <c r="D33" s="649">
        <f>'906-6C'!J31</f>
        <v>0</v>
      </c>
      <c r="F33" s="393">
        <f>HLOOKUP($C$5,PriorYr906!$J$9:$K$87,23,FALSE)</f>
        <v>3854.11</v>
      </c>
      <c r="H33" s="413">
        <f t="shared" si="0"/>
        <v>-3854.11</v>
      </c>
      <c r="J33" s="414">
        <f t="shared" si="1"/>
        <v>-1</v>
      </c>
    </row>
    <row r="34" spans="2:10" ht="13.5" x14ac:dyDescent="0.25">
      <c r="B34" s="3355" t="s">
        <v>200</v>
      </c>
      <c r="C34" s="3355"/>
      <c r="D34" s="649">
        <f>'906-6C'!J32</f>
        <v>0</v>
      </c>
      <c r="F34" s="393">
        <f>HLOOKUP($C$5,PriorYr906!$J$9:$K$87,24,FALSE)</f>
        <v>0</v>
      </c>
      <c r="H34" s="413">
        <f t="shared" si="0"/>
        <v>0</v>
      </c>
      <c r="J34" s="414">
        <f t="shared" si="1"/>
        <v>0</v>
      </c>
    </row>
    <row r="35" spans="2:10" ht="13.5" x14ac:dyDescent="0.25">
      <c r="B35" s="3355" t="s">
        <v>313</v>
      </c>
      <c r="C35" s="3355"/>
      <c r="D35" s="649">
        <f>'906-6C'!J33</f>
        <v>0</v>
      </c>
      <c r="F35" s="393">
        <f>HLOOKUP($C$5,PriorYr906!$J$9:$K$87,25,FALSE)</f>
        <v>9805776.3100000005</v>
      </c>
      <c r="H35" s="413">
        <f t="shared" si="0"/>
        <v>-9805776.3100000005</v>
      </c>
      <c r="J35" s="414">
        <f t="shared" si="1"/>
        <v>-1</v>
      </c>
    </row>
    <row r="36" spans="2:10" ht="13.5" x14ac:dyDescent="0.25">
      <c r="B36" s="3206" t="s">
        <v>549</v>
      </c>
      <c r="C36" s="3206"/>
      <c r="D36" s="649">
        <f>'906-6C'!J34</f>
        <v>0</v>
      </c>
      <c r="F36" s="393">
        <f>HLOOKUP($C$5,PriorYr906!$J$9:$K$87,26,FALSE)</f>
        <v>277902600.38999999</v>
      </c>
      <c r="H36" s="413">
        <f t="shared" si="0"/>
        <v>-277902600.38999999</v>
      </c>
      <c r="J36" s="414">
        <f t="shared" si="1"/>
        <v>-1</v>
      </c>
    </row>
    <row r="37" spans="2:10" ht="13.5" x14ac:dyDescent="0.25">
      <c r="B37" s="3206" t="s">
        <v>931</v>
      </c>
      <c r="C37" s="3206"/>
      <c r="D37" s="649">
        <f>'906-6C'!J35</f>
        <v>0</v>
      </c>
      <c r="F37" s="393">
        <f>HLOOKUP($C$5,PriorYr906!$J$9:$K$87,27,FALSE)</f>
        <v>0</v>
      </c>
      <c r="H37" s="413">
        <f t="shared" si="0"/>
        <v>0</v>
      </c>
      <c r="J37" s="414">
        <f t="shared" si="1"/>
        <v>0</v>
      </c>
    </row>
    <row r="38" spans="2:10" ht="13.5" x14ac:dyDescent="0.25">
      <c r="B38" s="3206" t="s">
        <v>1095</v>
      </c>
      <c r="C38" s="3206"/>
      <c r="D38" s="649">
        <f>'906-6C'!J36</f>
        <v>0</v>
      </c>
      <c r="F38" s="393">
        <f>HLOOKUP($C$5,PriorYr906!$J$9:$K$87,28,FALSE)</f>
        <v>0</v>
      </c>
      <c r="H38" s="413">
        <f t="shared" si="0"/>
        <v>0</v>
      </c>
      <c r="J38" s="414">
        <f t="shared" si="1"/>
        <v>0</v>
      </c>
    </row>
    <row r="39" spans="2:10" ht="13.5" x14ac:dyDescent="0.25">
      <c r="B39" s="3206" t="s">
        <v>590</v>
      </c>
      <c r="C39" s="3206"/>
      <c r="D39" s="649">
        <f>'906-6C'!J37</f>
        <v>0</v>
      </c>
      <c r="F39" s="393">
        <f>HLOOKUP($C$5,PriorYr906!$J$9:$K$87,29,FALSE)</f>
        <v>0</v>
      </c>
      <c r="H39" s="413">
        <f t="shared" si="0"/>
        <v>0</v>
      </c>
      <c r="J39" s="414">
        <f t="shared" si="1"/>
        <v>0</v>
      </c>
    </row>
    <row r="40" spans="2:10" ht="13.5" x14ac:dyDescent="0.25">
      <c r="B40" s="3206" t="s">
        <v>358</v>
      </c>
      <c r="C40" s="3206"/>
      <c r="D40" s="649">
        <f>'906-6C'!J38</f>
        <v>0</v>
      </c>
      <c r="F40" s="393">
        <f>HLOOKUP($C$5,PriorYr906!$J$9:$K$87,30,FALSE)</f>
        <v>0</v>
      </c>
      <c r="H40" s="413">
        <f t="shared" si="0"/>
        <v>0</v>
      </c>
      <c r="J40" s="414">
        <f t="shared" si="1"/>
        <v>0</v>
      </c>
    </row>
    <row r="41" spans="2:10" ht="13.5" x14ac:dyDescent="0.25">
      <c r="B41" s="3206" t="s">
        <v>272</v>
      </c>
      <c r="C41" s="3206"/>
      <c r="D41" s="652">
        <f>SUM(D13:D40)</f>
        <v>0</v>
      </c>
      <c r="F41" s="706">
        <f>SUM(F12:F40)</f>
        <v>13096825300.690001</v>
      </c>
      <c r="H41" s="413"/>
      <c r="J41" s="414"/>
    </row>
    <row r="42" spans="2:10" x14ac:dyDescent="0.2">
      <c r="B42" s="394"/>
      <c r="C42" s="394"/>
      <c r="F42" s="643"/>
    </row>
    <row r="43" spans="2:10" x14ac:dyDescent="0.2">
      <c r="B43" s="394" t="s">
        <v>273</v>
      </c>
      <c r="C43" s="394"/>
      <c r="F43" s="643"/>
    </row>
    <row r="44" spans="2:10" x14ac:dyDescent="0.2">
      <c r="B44" s="335" t="s">
        <v>275</v>
      </c>
      <c r="C44" s="335"/>
      <c r="F44" s="643"/>
    </row>
    <row r="45" spans="2:10" ht="13.5" x14ac:dyDescent="0.25">
      <c r="B45" s="3355" t="s">
        <v>1060</v>
      </c>
      <c r="C45" s="3355"/>
      <c r="D45" s="649">
        <f>'906-6C'!J43</f>
        <v>0</v>
      </c>
      <c r="F45" s="393">
        <f>HLOOKUP($C$5,PriorYr906!$J$9:$K$87,35,FALSE)</f>
        <v>1247701.68</v>
      </c>
      <c r="H45" s="413">
        <f t="shared" ref="H45:H53" si="2">D45-F45</f>
        <v>-1247701.68</v>
      </c>
      <c r="J45" s="414">
        <f t="shared" ref="J45:J53" si="3">IF(F45=0,0,H45/F45)</f>
        <v>-1</v>
      </c>
    </row>
    <row r="46" spans="2:10" ht="13.5" x14ac:dyDescent="0.25">
      <c r="B46" s="3355" t="s">
        <v>816</v>
      </c>
      <c r="C46" s="3355"/>
      <c r="D46" s="649">
        <f>'906-6C'!J44</f>
        <v>0</v>
      </c>
      <c r="F46" s="393">
        <f>HLOOKUP($C$5,PriorYr906!$J$9:$K$87,36,FALSE)</f>
        <v>0</v>
      </c>
      <c r="H46" s="413">
        <f t="shared" si="2"/>
        <v>0</v>
      </c>
      <c r="J46" s="414">
        <f t="shared" si="3"/>
        <v>0</v>
      </c>
    </row>
    <row r="47" spans="2:10" ht="13.5" x14ac:dyDescent="0.25">
      <c r="B47" s="3355" t="s">
        <v>1078</v>
      </c>
      <c r="C47" s="3355"/>
      <c r="D47" s="649">
        <f>'906-6C'!J45</f>
        <v>0</v>
      </c>
      <c r="F47" s="393">
        <f>HLOOKUP($C$5,PriorYr906!$J$9:$K$87,37,FALSE)</f>
        <v>0</v>
      </c>
      <c r="H47" s="413">
        <f t="shared" si="2"/>
        <v>0</v>
      </c>
      <c r="J47" s="414">
        <f t="shared" si="3"/>
        <v>0</v>
      </c>
    </row>
    <row r="48" spans="2:10" ht="13.5" x14ac:dyDescent="0.25">
      <c r="B48" s="3206" t="s">
        <v>1402</v>
      </c>
      <c r="C48" s="3206"/>
      <c r="D48" s="649">
        <f>'906-6C'!J46</f>
        <v>0</v>
      </c>
      <c r="F48" s="393">
        <f>HLOOKUP($C$5,PriorYr906!$J$9:$K$87,38,FALSE)</f>
        <v>0</v>
      </c>
      <c r="H48" s="413">
        <f>D48-F48</f>
        <v>0</v>
      </c>
      <c r="J48" s="414">
        <f>IF(F48=0,0,H48/F48)</f>
        <v>0</v>
      </c>
    </row>
    <row r="49" spans="2:10" ht="13.5" x14ac:dyDescent="0.25">
      <c r="B49" s="3206" t="s">
        <v>569</v>
      </c>
      <c r="C49" s="3206"/>
      <c r="D49" s="649">
        <f>'906-6C'!J47</f>
        <v>0</v>
      </c>
      <c r="F49" s="393">
        <f>HLOOKUP($C$5,PriorYr906!$J$9:$K$87,39,FALSE)</f>
        <v>0</v>
      </c>
      <c r="H49" s="413">
        <f t="shared" si="2"/>
        <v>0</v>
      </c>
      <c r="J49" s="414">
        <f t="shared" si="3"/>
        <v>0</v>
      </c>
    </row>
    <row r="50" spans="2:10" ht="13.5" x14ac:dyDescent="0.25">
      <c r="B50" s="3206" t="s">
        <v>739</v>
      </c>
      <c r="C50" s="3206"/>
      <c r="D50" s="649">
        <f>'906-6C'!J48</f>
        <v>0</v>
      </c>
      <c r="F50" s="393">
        <f>HLOOKUP($C$5,PriorYr906!$J$9:$K$87,40,FALSE)</f>
        <v>0</v>
      </c>
      <c r="H50" s="413">
        <f t="shared" si="2"/>
        <v>0</v>
      </c>
      <c r="J50" s="414">
        <f t="shared" si="3"/>
        <v>0</v>
      </c>
    </row>
    <row r="51" spans="2:10" ht="13.5" x14ac:dyDescent="0.25">
      <c r="B51" s="3206" t="s">
        <v>701</v>
      </c>
      <c r="C51" s="3206"/>
      <c r="D51" s="649">
        <f>'906-6C'!J49</f>
        <v>0</v>
      </c>
      <c r="F51" s="393">
        <f>HLOOKUP($C$5,PriorYr906!$J$9:$K$87,41,FALSE)</f>
        <v>0</v>
      </c>
      <c r="H51" s="413">
        <f t="shared" si="2"/>
        <v>0</v>
      </c>
      <c r="J51" s="414">
        <f t="shared" si="3"/>
        <v>0</v>
      </c>
    </row>
    <row r="52" spans="2:10" ht="13.5" x14ac:dyDescent="0.25">
      <c r="B52" s="3206" t="s">
        <v>80</v>
      </c>
      <c r="C52" s="3206"/>
      <c r="D52" s="649">
        <f>'906-6C'!J50</f>
        <v>0</v>
      </c>
      <c r="F52" s="393">
        <f>HLOOKUP($C$5,PriorYr906!$J$9:$K$87,42,FALSE)</f>
        <v>0</v>
      </c>
      <c r="H52" s="413">
        <f t="shared" si="2"/>
        <v>0</v>
      </c>
      <c r="J52" s="414">
        <f t="shared" si="3"/>
        <v>0</v>
      </c>
    </row>
    <row r="53" spans="2:10" ht="13.5" x14ac:dyDescent="0.25">
      <c r="B53" s="3206" t="s">
        <v>791</v>
      </c>
      <c r="C53" s="3206"/>
      <c r="D53" s="402">
        <f>SUM(D45:D52)</f>
        <v>0</v>
      </c>
      <c r="F53" s="706">
        <f>SUM(F44:F52)</f>
        <v>1247701.68</v>
      </c>
      <c r="H53" s="413">
        <f t="shared" si="2"/>
        <v>-1247701.68</v>
      </c>
      <c r="J53" s="414">
        <f t="shared" si="3"/>
        <v>-1</v>
      </c>
    </row>
    <row r="54" spans="2:10" ht="13.5" x14ac:dyDescent="0.25">
      <c r="B54" s="398"/>
      <c r="C54" s="398"/>
      <c r="F54" s="399"/>
      <c r="H54" s="413"/>
      <c r="J54" s="414"/>
    </row>
    <row r="55" spans="2:10" ht="13.5" x14ac:dyDescent="0.25">
      <c r="B55" s="395" t="s">
        <v>1905</v>
      </c>
      <c r="C55" s="395"/>
      <c r="D55" s="645"/>
      <c r="E55" s="409"/>
      <c r="F55" s="399"/>
      <c r="G55" s="410"/>
      <c r="H55" s="645"/>
      <c r="I55" s="411"/>
      <c r="J55" s="646"/>
    </row>
    <row r="56" spans="2:10" ht="13.5" x14ac:dyDescent="0.25">
      <c r="B56" s="335" t="s">
        <v>1079</v>
      </c>
      <c r="C56" s="335"/>
      <c r="H56" s="413"/>
      <c r="J56" s="414"/>
    </row>
    <row r="57" spans="2:10" ht="13.5" x14ac:dyDescent="0.25">
      <c r="B57" s="3355" t="s">
        <v>709</v>
      </c>
      <c r="C57" s="3355"/>
      <c r="D57" s="649">
        <f>'906-6C'!J55</f>
        <v>0</v>
      </c>
      <c r="F57" s="393">
        <f>HLOOKUP($C$5,PriorYr906!$J$9:$K$87,47,FALSE)</f>
        <v>13095577599.01</v>
      </c>
      <c r="H57" s="413">
        <f>D57-F57</f>
        <v>-13095577599.01</v>
      </c>
      <c r="J57" s="414">
        <f>IF(F57=0,0,H57/F57)</f>
        <v>-1</v>
      </c>
    </row>
    <row r="58" spans="2:10" ht="14.25" thickBot="1" x14ac:dyDescent="0.3">
      <c r="B58" s="3206" t="s">
        <v>1889</v>
      </c>
      <c r="C58" s="3206"/>
      <c r="D58" s="405">
        <f>SUM(D56:D57)</f>
        <v>0</v>
      </c>
      <c r="F58" s="707">
        <f>SUM(F55:F57)</f>
        <v>13095577599.01</v>
      </c>
      <c r="H58" s="413"/>
      <c r="J58" s="414"/>
    </row>
    <row r="59" spans="2:10" ht="14.25" thickTop="1" x14ac:dyDescent="0.25">
      <c r="B59" s="398"/>
      <c r="C59" s="398"/>
      <c r="F59" s="398"/>
      <c r="H59" s="413"/>
      <c r="J59" s="414"/>
    </row>
    <row r="60" spans="2:10" x14ac:dyDescent="0.2">
      <c r="B60" s="335" t="s">
        <v>3480</v>
      </c>
      <c r="C60" s="44"/>
      <c r="D60" s="406" t="str">
        <f>IF(D41-D53=D58,"In Bal.","NOT BALANCED")</f>
        <v>In Bal.</v>
      </c>
      <c r="F60" s="406" t="str">
        <f>IF(F41-F53=F58,"In Bal.","NOT BALANCED")</f>
        <v>In Bal.</v>
      </c>
    </row>
    <row r="61" spans="2:10" x14ac:dyDescent="0.2">
      <c r="B61" s="653"/>
      <c r="C61" s="653"/>
      <c r="D61" s="654"/>
    </row>
    <row r="62" spans="2:10" x14ac:dyDescent="0.2">
      <c r="B62" s="407" t="s">
        <v>986</v>
      </c>
      <c r="C62" s="407"/>
      <c r="D62" s="1248" t="str">
        <f>CONCATENATE("FYE ",+TEXT(Data!$A$2,"mmmm d,yyyy"))</f>
        <v>FYE June 30,2022</v>
      </c>
      <c r="F62" s="792" t="str">
        <f>CONCATENATE("FYE ",+TEXT(Data!$A$4,"mmmm d,yyyy"))</f>
        <v>FYE June 30,2021</v>
      </c>
    </row>
    <row r="63" spans="2:10" x14ac:dyDescent="0.2">
      <c r="B63" s="647" t="s">
        <v>463</v>
      </c>
      <c r="C63" s="407"/>
      <c r="F63" s="398"/>
    </row>
    <row r="64" spans="2:10" ht="13.5" x14ac:dyDescent="0.25">
      <c r="B64" s="3206" t="s">
        <v>710</v>
      </c>
      <c r="C64" s="3206"/>
      <c r="D64" s="650">
        <f>'906-6C'!J62</f>
        <v>0</v>
      </c>
      <c r="F64" s="842">
        <f>HLOOKUP($C$5,PriorYr906!$J$9:$K$87,54,FALSE)</f>
        <v>238387145.72999999</v>
      </c>
      <c r="H64" s="413">
        <f>D64-F64</f>
        <v>-238387145.72999999</v>
      </c>
      <c r="J64" s="414">
        <f>IF(F64=0,0,H64/F64)</f>
        <v>-1</v>
      </c>
    </row>
    <row r="65" spans="2:10" ht="13.5" x14ac:dyDescent="0.25">
      <c r="B65" s="3206" t="s">
        <v>711</v>
      </c>
      <c r="C65" s="3206"/>
      <c r="D65" s="649">
        <f>'906-6C'!J63</f>
        <v>0</v>
      </c>
      <c r="F65" s="393">
        <f>HLOOKUP($C$5,PriorYr906!$J$9:$K$87,55,FALSE)</f>
        <v>393663845.70999998</v>
      </c>
      <c r="H65" s="413">
        <f>D65-F65</f>
        <v>-393663845.70999998</v>
      </c>
      <c r="J65" s="414">
        <f>IF(F65=0,0,H65/F65)</f>
        <v>-1</v>
      </c>
    </row>
    <row r="66" spans="2:10" ht="13.5" x14ac:dyDescent="0.25">
      <c r="B66" s="3206" t="s">
        <v>712</v>
      </c>
      <c r="C66" s="3206"/>
      <c r="D66" s="649">
        <f>'906-6C'!J64</f>
        <v>0</v>
      </c>
      <c r="F66" s="393">
        <f>HLOOKUP($C$5,PriorYr906!$J$9:$K$87,56,FALSE)</f>
        <v>0</v>
      </c>
      <c r="H66" s="413">
        <f>D66-F66</f>
        <v>0</v>
      </c>
      <c r="J66" s="414">
        <f>IF(F66=0,0,H66/F66)</f>
        <v>0</v>
      </c>
    </row>
    <row r="67" spans="2:10" ht="13.5" x14ac:dyDescent="0.25">
      <c r="B67" s="3206" t="s">
        <v>713</v>
      </c>
      <c r="C67" s="3206"/>
      <c r="D67" s="651">
        <f>'906-6C'!J65</f>
        <v>0</v>
      </c>
      <c r="F67" s="393">
        <f>HLOOKUP($C$5,PriorYr906!$J$9:$K$87,57,FALSE)</f>
        <v>0</v>
      </c>
      <c r="H67" s="413">
        <f>D67-F67</f>
        <v>0</v>
      </c>
      <c r="J67" s="414">
        <f>IF(F67=0,0,H67/F67)</f>
        <v>0</v>
      </c>
    </row>
    <row r="68" spans="2:10" ht="13.5" x14ac:dyDescent="0.25">
      <c r="B68" s="3206" t="s">
        <v>714</v>
      </c>
      <c r="C68" s="3206"/>
      <c r="D68" s="652">
        <f>SUM(D64:D67)</f>
        <v>0</v>
      </c>
      <c r="F68" s="706">
        <f>SUM(F64:F67)</f>
        <v>632050991.44000006</v>
      </c>
      <c r="H68" s="413">
        <f>D68-F68</f>
        <v>-632050991.44000006</v>
      </c>
      <c r="J68" s="414">
        <f>IF(F68=0,0,H68/F68)</f>
        <v>-1</v>
      </c>
    </row>
    <row r="69" spans="2:10" ht="13.5" x14ac:dyDescent="0.25">
      <c r="B69" s="647" t="s">
        <v>464</v>
      </c>
      <c r="C69" s="398"/>
      <c r="F69" s="643"/>
      <c r="H69" s="413"/>
      <c r="J69" s="414"/>
    </row>
    <row r="70" spans="2:10" ht="13.5" x14ac:dyDescent="0.25">
      <c r="B70" s="3206" t="s">
        <v>715</v>
      </c>
      <c r="C70" s="3206"/>
      <c r="D70" s="649">
        <f>'906-6C'!J68</f>
        <v>0</v>
      </c>
      <c r="F70" s="393">
        <f>HLOOKUP($C$5,PriorYr906!$J$9:$K$87,60,FALSE)</f>
        <v>1557850091.25</v>
      </c>
      <c r="H70" s="413">
        <f>D70-F70</f>
        <v>-1557850091.25</v>
      </c>
      <c r="J70" s="414">
        <f>IF(F70=0,0,H70/F70)</f>
        <v>-1</v>
      </c>
    </row>
    <row r="71" spans="2:10" ht="13.5" x14ac:dyDescent="0.25">
      <c r="B71" s="3206" t="s">
        <v>987</v>
      </c>
      <c r="C71" s="3206"/>
      <c r="D71" s="651">
        <f>'906-6C'!J69</f>
        <v>0</v>
      </c>
      <c r="F71" s="393">
        <f>HLOOKUP($C$5,PriorYr906!$J$9:$K$87,61,FALSE)</f>
        <v>0</v>
      </c>
      <c r="H71" s="413">
        <f>D71-F71</f>
        <v>0</v>
      </c>
      <c r="J71" s="414">
        <f>IF(F71=0,0,H71/F71)</f>
        <v>0</v>
      </c>
    </row>
    <row r="72" spans="2:10" ht="13.5" x14ac:dyDescent="0.25">
      <c r="B72" s="3206" t="s">
        <v>988</v>
      </c>
      <c r="C72" s="3206"/>
      <c r="D72" s="652">
        <f>SUM(D70:D71)</f>
        <v>0</v>
      </c>
      <c r="F72" s="706">
        <f>SUM(F70:F71)</f>
        <v>1557850091.25</v>
      </c>
      <c r="H72" s="413">
        <f>D72-F72</f>
        <v>-1557850091.25</v>
      </c>
      <c r="J72" s="414">
        <f>IF(F72=0,0,H72/F72)</f>
        <v>-1</v>
      </c>
    </row>
    <row r="73" spans="2:10" ht="13.5" x14ac:dyDescent="0.25">
      <c r="B73" s="647" t="s">
        <v>465</v>
      </c>
      <c r="C73" s="398"/>
      <c r="F73" s="399"/>
      <c r="H73" s="413"/>
      <c r="J73" s="414"/>
    </row>
    <row r="74" spans="2:10" ht="13.5" x14ac:dyDescent="0.25">
      <c r="B74" s="3206" t="s">
        <v>989</v>
      </c>
      <c r="C74" s="3206"/>
      <c r="D74" s="649">
        <f>'906-6C'!J72</f>
        <v>0</v>
      </c>
      <c r="F74" s="393">
        <f>HLOOKUP($C$5,PriorYr906!$J$9:$K$87,64,FALSE)</f>
        <v>0</v>
      </c>
      <c r="H74" s="413">
        <f>D74-F74</f>
        <v>0</v>
      </c>
      <c r="J74" s="414">
        <f>IF(F74=0,0,H74/F74)</f>
        <v>0</v>
      </c>
    </row>
    <row r="75" spans="2:10" ht="13.5" x14ac:dyDescent="0.25">
      <c r="B75" s="3206" t="s">
        <v>990</v>
      </c>
      <c r="C75" s="3206"/>
      <c r="D75" s="649">
        <f>'906-6C'!J73</f>
        <v>0</v>
      </c>
      <c r="F75" s="393">
        <f>HLOOKUP($C$5,PriorYr906!$J$9:$K$87,65,FALSE)</f>
        <v>16099508.27</v>
      </c>
      <c r="H75" s="413">
        <f>D75-F75</f>
        <v>-16099508.27</v>
      </c>
      <c r="J75" s="414">
        <f>IF(F75=0,0,H75/F75)</f>
        <v>-1</v>
      </c>
    </row>
    <row r="76" spans="2:10" ht="13.5" x14ac:dyDescent="0.25">
      <c r="B76" s="3206" t="s">
        <v>991</v>
      </c>
      <c r="C76" s="3206"/>
      <c r="D76" s="651">
        <f>'906-6C'!J74</f>
        <v>0</v>
      </c>
      <c r="F76" s="393">
        <f>HLOOKUP($C$5,PriorYr906!$J$9:$K$87,66,FALSE)</f>
        <v>159235.10999999999</v>
      </c>
      <c r="H76" s="413">
        <f>D76-F76</f>
        <v>-159235.10999999999</v>
      </c>
      <c r="J76" s="414">
        <f>IF(F76=0,0,H76/F76)</f>
        <v>-1</v>
      </c>
    </row>
    <row r="77" spans="2:10" ht="13.5" x14ac:dyDescent="0.25">
      <c r="B77" s="3206" t="s">
        <v>992</v>
      </c>
      <c r="C77" s="3206"/>
      <c r="D77" s="655">
        <f>SUM(D74:D76)</f>
        <v>0</v>
      </c>
      <c r="F77" s="706">
        <f>SUM(F74:F76)</f>
        <v>16258743.380000001</v>
      </c>
      <c r="H77" s="413"/>
      <c r="J77" s="414"/>
    </row>
    <row r="78" spans="2:10" ht="13.5" x14ac:dyDescent="0.25">
      <c r="B78" s="3206" t="s">
        <v>466</v>
      </c>
      <c r="C78" s="3206"/>
      <c r="D78" s="402">
        <f>D68+D72+D77</f>
        <v>0</v>
      </c>
      <c r="F78" s="706">
        <f>F68+F72+F77</f>
        <v>2206159826.0700002</v>
      </c>
      <c r="H78" s="413">
        <f>D78-F78</f>
        <v>-2206159826.0700002</v>
      </c>
      <c r="J78" s="414">
        <f>IF(F78=0,0,H78/F78)</f>
        <v>-1</v>
      </c>
    </row>
    <row r="79" spans="2:10" ht="13.5" x14ac:dyDescent="0.25">
      <c r="B79" s="398"/>
      <c r="C79" s="398"/>
      <c r="D79" s="656"/>
      <c r="F79" s="398"/>
      <c r="H79" s="413"/>
      <c r="J79" s="414"/>
    </row>
    <row r="80" spans="2:10" ht="13.5" x14ac:dyDescent="0.25">
      <c r="B80" s="407" t="s">
        <v>467</v>
      </c>
      <c r="C80" s="407"/>
      <c r="F80" s="398"/>
      <c r="H80" s="413"/>
      <c r="J80" s="414"/>
    </row>
    <row r="81" spans="2:10" ht="13.5" x14ac:dyDescent="0.25">
      <c r="B81" s="3206" t="s">
        <v>1171</v>
      </c>
      <c r="C81" s="3206"/>
      <c r="D81" s="649">
        <f>'906-6C'!J79</f>
        <v>0</v>
      </c>
      <c r="F81" s="393">
        <f>HLOOKUP($C$5,PriorYr906!$J$9:$K$87,71,FALSE)</f>
        <v>803787462.57000005</v>
      </c>
      <c r="H81" s="413">
        <f t="shared" ref="H81:H88" si="4">D81-F81</f>
        <v>-803787462.57000005</v>
      </c>
      <c r="J81" s="414">
        <f>IF(F81=0,0,H81/F81)</f>
        <v>-1</v>
      </c>
    </row>
    <row r="82" spans="2:10" ht="13.5" x14ac:dyDescent="0.25">
      <c r="B82" s="3206" t="s">
        <v>468</v>
      </c>
      <c r="C82" s="3206"/>
      <c r="D82" s="649">
        <f>'906-6C'!J80</f>
        <v>0</v>
      </c>
      <c r="F82" s="393">
        <f>HLOOKUP($C$5,PriorYr906!$J$9:$K$87,72,FALSE)</f>
        <v>0</v>
      </c>
      <c r="H82" s="413">
        <f t="shared" si="4"/>
        <v>0</v>
      </c>
      <c r="J82" s="414">
        <f t="shared" ref="J82:J88" si="5">IF(F82=0,0,H82/F82)</f>
        <v>0</v>
      </c>
    </row>
    <row r="83" spans="2:10" ht="13.5" x14ac:dyDescent="0.25">
      <c r="B83" s="3206" t="s">
        <v>469</v>
      </c>
      <c r="C83" s="3206"/>
      <c r="D83" s="649">
        <f>'906-6C'!J81</f>
        <v>0</v>
      </c>
      <c r="F83" s="393">
        <f>HLOOKUP($C$5,PriorYr906!$J$9:$K$87,73,FALSE)</f>
        <v>10336964.42</v>
      </c>
      <c r="H83" s="413">
        <f t="shared" si="4"/>
        <v>-10336964.42</v>
      </c>
      <c r="J83" s="414">
        <f t="shared" si="5"/>
        <v>-1</v>
      </c>
    </row>
    <row r="84" spans="2:10" ht="13.5" x14ac:dyDescent="0.25">
      <c r="B84" s="3206" t="s">
        <v>470</v>
      </c>
      <c r="C84" s="3206"/>
      <c r="D84" s="651">
        <f>'906-6C'!J82</f>
        <v>0</v>
      </c>
      <c r="F84" s="393">
        <f>HLOOKUP($C$5,PriorYr906!$J$9:$K$87,74,FALSE)</f>
        <v>0</v>
      </c>
      <c r="H84" s="413">
        <f t="shared" si="4"/>
        <v>0</v>
      </c>
      <c r="J84" s="414">
        <f t="shared" si="5"/>
        <v>0</v>
      </c>
    </row>
    <row r="85" spans="2:10" ht="13.5" x14ac:dyDescent="0.25">
      <c r="B85" s="3206" t="s">
        <v>504</v>
      </c>
      <c r="C85" s="3206"/>
      <c r="D85" s="404">
        <f>SUM(D81:D84)</f>
        <v>0</v>
      </c>
      <c r="F85" s="706">
        <f>SUM(F81:F84)</f>
        <v>814124426.99000001</v>
      </c>
      <c r="H85" s="413">
        <f t="shared" si="4"/>
        <v>-814124426.99000001</v>
      </c>
      <c r="J85" s="414">
        <f t="shared" si="5"/>
        <v>-1</v>
      </c>
    </row>
    <row r="86" spans="2:10" ht="13.5" x14ac:dyDescent="0.25">
      <c r="B86" s="3206" t="s">
        <v>3694</v>
      </c>
      <c r="C86" s="3206"/>
      <c r="D86" s="1252">
        <f>D78-D85</f>
        <v>0</v>
      </c>
      <c r="F86" s="1252">
        <f>F78-F85</f>
        <v>1392035399.0799999</v>
      </c>
      <c r="H86" s="413">
        <f t="shared" si="4"/>
        <v>-1392035399.0799999</v>
      </c>
      <c r="J86" s="414">
        <f t="shared" si="5"/>
        <v>-1</v>
      </c>
    </row>
    <row r="87" spans="2:10" ht="13.5" x14ac:dyDescent="0.25">
      <c r="B87" s="3206" t="s">
        <v>3485</v>
      </c>
      <c r="C87" s="3206"/>
      <c r="D87" s="1065">
        <f>'906-6C'!J85</f>
        <v>13095577599.01</v>
      </c>
      <c r="F87" s="1065">
        <f>HLOOKUP($C$5,PriorYr906!$J$9:$K$87,77,FALSE)</f>
        <v>11703542199.93</v>
      </c>
      <c r="H87" s="413">
        <f t="shared" si="4"/>
        <v>1392035399.0799999</v>
      </c>
      <c r="J87" s="414">
        <f t="shared" si="5"/>
        <v>0.11890000000000001</v>
      </c>
    </row>
    <row r="88" spans="2:10" ht="13.5" x14ac:dyDescent="0.25">
      <c r="B88" s="3206" t="s">
        <v>1054</v>
      </c>
      <c r="C88" s="3206"/>
      <c r="D88" s="649">
        <f>'906-6C'!J86</f>
        <v>0</v>
      </c>
      <c r="F88" s="393">
        <f>HLOOKUP($C$5,PriorYr906!$J$9:$K$87,78,FALSE)</f>
        <v>0</v>
      </c>
      <c r="H88" s="413">
        <f t="shared" si="4"/>
        <v>0</v>
      </c>
      <c r="J88" s="414">
        <f t="shared" si="5"/>
        <v>0</v>
      </c>
    </row>
    <row r="89" spans="2:10" ht="13.5" thickBot="1" x14ac:dyDescent="0.25">
      <c r="B89" s="3206" t="s">
        <v>3486</v>
      </c>
      <c r="C89" s="3206"/>
      <c r="D89" s="405">
        <f>SUM(D86:D88)</f>
        <v>13095577599.01</v>
      </c>
      <c r="F89" s="708">
        <f>SUM(F86:F88)</f>
        <v>13095577599.01</v>
      </c>
    </row>
    <row r="90" spans="2:10" ht="13.5" thickTop="1" x14ac:dyDescent="0.2">
      <c r="F90" s="403"/>
    </row>
    <row r="91" spans="2:10" x14ac:dyDescent="0.2">
      <c r="B91" s="349" t="s">
        <v>3487</v>
      </c>
      <c r="C91" s="657"/>
      <c r="D91" s="406" t="str">
        <f>IF(D58=D89,"In Bal.","NOT")</f>
        <v>NOT</v>
      </c>
      <c r="F91" s="406" t="str">
        <f>IF(F58=F89,"In Bal.","NOT")</f>
        <v>In Bal.</v>
      </c>
    </row>
    <row r="92" spans="2:10" x14ac:dyDescent="0.2">
      <c r="B92" s="398"/>
      <c r="C92" s="398"/>
    </row>
    <row r="93" spans="2:10" x14ac:dyDescent="0.2">
      <c r="B93" s="2261" t="s">
        <v>4960</v>
      </c>
      <c r="C93" s="2261"/>
      <c r="D93" s="2261"/>
      <c r="E93" s="2261"/>
      <c r="F93" s="2261"/>
      <c r="G93" s="2261"/>
      <c r="H93" s="2261"/>
      <c r="I93" s="2261"/>
      <c r="J93" s="2261"/>
    </row>
    <row r="94" spans="2:10" x14ac:dyDescent="0.2">
      <c r="B94" s="339" t="s">
        <v>4961</v>
      </c>
      <c r="C94" s="339"/>
      <c r="D94" s="339"/>
      <c r="E94" s="339"/>
      <c r="F94" s="339"/>
      <c r="G94" s="339"/>
      <c r="H94" s="339"/>
      <c r="I94" s="339"/>
      <c r="J94" s="339"/>
    </row>
  </sheetData>
  <sheetProtection algorithmName="SHA-512" hashValue="kcXKQ/jAZFGhc2oqxes6P9fn6sL/CDQyeIKFSG9iBCDeFAT4V/VnNamEpMc9yfMFG5rEeHWNmmcz1b3DCfh5CA==" saltValue="zOi0DoVFx0f3YXY/C9h2cg==" spinCount="100000" sheet="1" objects="1" scenarios="1" autoFilter="0"/>
  <mergeCells count="67">
    <mergeCell ref="B1:K1"/>
    <mergeCell ref="L1:L3"/>
    <mergeCell ref="B2:K2"/>
    <mergeCell ref="B3:K3"/>
    <mergeCell ref="G5:J5"/>
    <mergeCell ref="C6:D6"/>
    <mergeCell ref="H7:J7"/>
    <mergeCell ref="B13:C1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0:C40"/>
    <mergeCell ref="B41:C41"/>
    <mergeCell ref="B45:C45"/>
    <mergeCell ref="B46:C46"/>
    <mergeCell ref="B47:C47"/>
    <mergeCell ref="B48:C48"/>
    <mergeCell ref="B49:C49"/>
    <mergeCell ref="B50:C50"/>
    <mergeCell ref="B51:C51"/>
    <mergeCell ref="B52:C52"/>
    <mergeCell ref="B53:C53"/>
    <mergeCell ref="B57:C57"/>
    <mergeCell ref="B58:C58"/>
    <mergeCell ref="B64:C64"/>
    <mergeCell ref="B65:C65"/>
    <mergeCell ref="B66:C66"/>
    <mergeCell ref="B67:C67"/>
    <mergeCell ref="B68:C68"/>
    <mergeCell ref="B70:C70"/>
    <mergeCell ref="B71:C71"/>
    <mergeCell ref="B72:C72"/>
    <mergeCell ref="B74:C74"/>
    <mergeCell ref="B75:C75"/>
    <mergeCell ref="B76:C76"/>
    <mergeCell ref="B77:C77"/>
    <mergeCell ref="B78:C78"/>
    <mergeCell ref="B81:C81"/>
    <mergeCell ref="B82:C82"/>
    <mergeCell ref="B89:C89"/>
    <mergeCell ref="B83:C83"/>
    <mergeCell ref="B84:C84"/>
    <mergeCell ref="B85:C85"/>
    <mergeCell ref="B86:C86"/>
    <mergeCell ref="B87:C87"/>
    <mergeCell ref="B88:C88"/>
  </mergeCells>
  <conditionalFormatting sqref="L1:L3">
    <cfRule type="cellIs" dxfId="3"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activeCell="C21" sqref="C21:M21"/>
    </sheetView>
  </sheetViews>
  <sheetFormatPr defaultColWidth="9.42578125" defaultRowHeight="11.25" x14ac:dyDescent="0.2"/>
  <cols>
    <col min="1" max="1" width="8" style="40" customWidth="1"/>
    <col min="2" max="2" width="0.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13.42578125" style="40" customWidth="1"/>
    <col min="12" max="12" width="2.42578125" style="40" customWidth="1"/>
    <col min="13" max="13" width="14.5703125" style="40" customWidth="1"/>
    <col min="14" max="14" width="4.5703125" style="40" customWidth="1"/>
    <col min="15" max="16384" width="9.42578125" style="40"/>
  </cols>
  <sheetData>
    <row r="1" spans="1:27"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8" t="str">
        <f>IF(Index!$B$112="na","NA","")</f>
        <v/>
      </c>
      <c r="AA1" s="42"/>
    </row>
    <row r="2" spans="1:27" s="41" customFormat="1" ht="15" customHeight="1" x14ac:dyDescent="0.25">
      <c r="A2" s="2808" t="str">
        <f>Index!A2</f>
        <v>2022 ACFR Worksheets</v>
      </c>
      <c r="B2" s="2808"/>
      <c r="C2" s="2808"/>
      <c r="D2" s="2808"/>
      <c r="E2" s="2808"/>
      <c r="F2" s="2808"/>
      <c r="G2" s="2808"/>
      <c r="H2" s="2808"/>
      <c r="I2" s="2808"/>
      <c r="J2" s="2808"/>
      <c r="K2" s="2808"/>
      <c r="L2" s="2808"/>
      <c r="M2" s="2808"/>
      <c r="N2" s="2768"/>
    </row>
    <row r="3" spans="1:27" s="41" customFormat="1" ht="15" customHeight="1" x14ac:dyDescent="0.25">
      <c r="A3" s="2808" t="s">
        <v>438</v>
      </c>
      <c r="B3" s="2808"/>
      <c r="C3" s="2808"/>
      <c r="D3" s="2808"/>
      <c r="E3" s="2808"/>
      <c r="F3" s="2808"/>
      <c r="G3" s="2808"/>
      <c r="H3" s="2808"/>
      <c r="I3" s="2808"/>
      <c r="J3" s="2808"/>
      <c r="K3" s="2808"/>
      <c r="L3" s="2808"/>
      <c r="M3" s="2808"/>
      <c r="N3" s="2768"/>
    </row>
    <row r="4" spans="1:27" s="132" customFormat="1" ht="15" customHeight="1" x14ac:dyDescent="0.2">
      <c r="H4" s="137"/>
    </row>
    <row r="5" spans="1:27" s="132" customFormat="1" ht="15" customHeight="1" x14ac:dyDescent="0.2">
      <c r="D5" s="137"/>
      <c r="I5" s="134" t="s">
        <v>327</v>
      </c>
      <c r="J5" s="3364" t="str">
        <f>+Index!$E$10</f>
        <v>01</v>
      </c>
      <c r="K5" s="3364"/>
      <c r="L5" s="3364"/>
      <c r="M5" s="3364"/>
    </row>
    <row r="6" spans="1:27" s="132" customFormat="1" ht="15" customHeight="1" x14ac:dyDescent="0.2">
      <c r="I6" s="134" t="s">
        <v>1154</v>
      </c>
      <c r="J6" s="3365" t="str">
        <f>+Index!$E$11</f>
        <v>North Carolina General Assembly</v>
      </c>
      <c r="K6" s="3365"/>
      <c r="L6" s="3365"/>
      <c r="M6" s="3365"/>
    </row>
    <row r="7" spans="1:27" s="132" customFormat="1" ht="15" customHeight="1" x14ac:dyDescent="0.2">
      <c r="A7" s="737" t="s">
        <v>440</v>
      </c>
      <c r="E7" s="137"/>
      <c r="I7" s="134" t="s">
        <v>972</v>
      </c>
      <c r="J7" s="3366" t="str">
        <f>CONCATENATE(Index!$E$12," ",Index!$E$14)</f>
        <v xml:space="preserve"> </v>
      </c>
      <c r="K7" s="3366"/>
      <c r="L7" s="3366"/>
      <c r="M7" s="3366"/>
    </row>
    <row r="8" spans="1:27" s="132" customFormat="1" ht="15" customHeight="1" thickBot="1" x14ac:dyDescent="0.25">
      <c r="A8" s="136"/>
      <c r="B8" s="136"/>
      <c r="C8" s="136"/>
      <c r="D8" s="136"/>
      <c r="E8" s="136"/>
      <c r="F8" s="136"/>
      <c r="G8" s="136"/>
      <c r="H8" s="136"/>
      <c r="I8" s="136"/>
      <c r="J8" s="136"/>
      <c r="K8" s="136"/>
      <c r="L8" s="136"/>
      <c r="M8" s="136"/>
    </row>
    <row r="9" spans="1:27" s="132" customFormat="1" ht="12.75" customHeight="1" x14ac:dyDescent="0.2">
      <c r="A9" s="738"/>
      <c r="B9" s="738"/>
      <c r="C9" s="738"/>
      <c r="D9" s="738"/>
      <c r="E9" s="738"/>
      <c r="F9" s="738"/>
      <c r="G9" s="738"/>
      <c r="H9" s="738"/>
      <c r="I9" s="738"/>
      <c r="J9" s="738"/>
      <c r="K9" s="738"/>
      <c r="L9" s="738"/>
      <c r="M9" s="738"/>
    </row>
    <row r="10" spans="1:27" ht="15" customHeight="1" x14ac:dyDescent="0.25">
      <c r="A10" s="739" t="s">
        <v>439</v>
      </c>
      <c r="B10" s="738"/>
      <c r="C10" s="3367" t="s">
        <v>810</v>
      </c>
      <c r="D10" s="3367"/>
      <c r="E10" s="3367"/>
      <c r="F10" s="3367"/>
      <c r="G10" s="3367"/>
      <c r="H10" s="3367"/>
      <c r="I10" s="3367"/>
      <c r="J10" s="3367"/>
      <c r="K10" s="3367"/>
      <c r="L10" s="3367"/>
      <c r="M10" s="3367"/>
    </row>
    <row r="11" spans="1:27" ht="15" customHeight="1" x14ac:dyDescent="0.2">
      <c r="A11" s="727"/>
      <c r="B11" s="738"/>
      <c r="C11" s="3363"/>
      <c r="D11" s="3363"/>
      <c r="E11" s="3363"/>
      <c r="F11" s="3363"/>
      <c r="G11" s="3363"/>
      <c r="H11" s="3363"/>
      <c r="I11" s="3363"/>
      <c r="J11" s="3363"/>
      <c r="K11" s="3363"/>
      <c r="L11" s="3363"/>
      <c r="M11" s="3363"/>
    </row>
    <row r="12" spans="1:27" ht="15" customHeight="1" x14ac:dyDescent="0.2">
      <c r="A12" s="727"/>
      <c r="B12" s="738"/>
      <c r="C12" s="3363"/>
      <c r="D12" s="3363"/>
      <c r="E12" s="3363"/>
      <c r="F12" s="3363"/>
      <c r="G12" s="3363"/>
      <c r="H12" s="3363"/>
      <c r="I12" s="3363"/>
      <c r="J12" s="3363"/>
      <c r="K12" s="3363"/>
      <c r="L12" s="3363"/>
      <c r="M12" s="3363"/>
    </row>
    <row r="13" spans="1:27" ht="15" customHeight="1" x14ac:dyDescent="0.2">
      <c r="A13" s="727"/>
      <c r="B13" s="738"/>
      <c r="C13" s="3363"/>
      <c r="D13" s="3363"/>
      <c r="E13" s="3363"/>
      <c r="F13" s="3363"/>
      <c r="G13" s="3363"/>
      <c r="H13" s="3363"/>
      <c r="I13" s="3363"/>
      <c r="J13" s="3363"/>
      <c r="K13" s="3363"/>
      <c r="L13" s="3363"/>
      <c r="M13" s="3363"/>
    </row>
    <row r="14" spans="1:27" ht="15" customHeight="1" x14ac:dyDescent="0.2">
      <c r="A14" s="727"/>
      <c r="B14" s="738"/>
      <c r="C14" s="3363"/>
      <c r="D14" s="3363"/>
      <c r="E14" s="3363"/>
      <c r="F14" s="3363"/>
      <c r="G14" s="3363"/>
      <c r="H14" s="3363"/>
      <c r="I14" s="3363"/>
      <c r="J14" s="3363"/>
      <c r="K14" s="3363"/>
      <c r="L14" s="3363"/>
      <c r="M14" s="3363"/>
    </row>
    <row r="15" spans="1:27" ht="15" customHeight="1" x14ac:dyDescent="0.2">
      <c r="A15" s="727"/>
      <c r="B15" s="738"/>
      <c r="C15" s="3363"/>
      <c r="D15" s="3363"/>
      <c r="E15" s="3363"/>
      <c r="F15" s="3363"/>
      <c r="G15" s="3363"/>
      <c r="H15" s="3363"/>
      <c r="I15" s="3363"/>
      <c r="J15" s="3363"/>
      <c r="K15" s="3363"/>
      <c r="L15" s="3363"/>
      <c r="M15" s="3363"/>
    </row>
    <row r="16" spans="1:27" ht="15" customHeight="1" x14ac:dyDescent="0.2">
      <c r="A16" s="727"/>
      <c r="B16" s="738"/>
      <c r="C16" s="3363"/>
      <c r="D16" s="3363"/>
      <c r="E16" s="3363"/>
      <c r="F16" s="3363"/>
      <c r="G16" s="3363"/>
      <c r="H16" s="3363"/>
      <c r="I16" s="3363"/>
      <c r="J16" s="3363"/>
      <c r="K16" s="3363"/>
      <c r="L16" s="3363"/>
      <c r="M16" s="3363"/>
    </row>
    <row r="17" spans="1:13" ht="15" customHeight="1" x14ac:dyDescent="0.2">
      <c r="A17" s="727"/>
      <c r="B17" s="738"/>
      <c r="C17" s="3363"/>
      <c r="D17" s="3363"/>
      <c r="E17" s="3363"/>
      <c r="F17" s="3363"/>
      <c r="G17" s="3363"/>
      <c r="H17" s="3363"/>
      <c r="I17" s="3363"/>
      <c r="J17" s="3363"/>
      <c r="K17" s="3363"/>
      <c r="L17" s="3363"/>
      <c r="M17" s="3363"/>
    </row>
    <row r="18" spans="1:13" ht="15" customHeight="1" x14ac:dyDescent="0.2">
      <c r="A18" s="727"/>
      <c r="B18" s="738"/>
      <c r="C18" s="3363"/>
      <c r="D18" s="3363"/>
      <c r="E18" s="3363"/>
      <c r="F18" s="3363"/>
      <c r="G18" s="3363"/>
      <c r="H18" s="3363"/>
      <c r="I18" s="3363"/>
      <c r="J18" s="3363"/>
      <c r="K18" s="3363"/>
      <c r="L18" s="3363"/>
      <c r="M18" s="3363"/>
    </row>
    <row r="19" spans="1:13" ht="15" customHeight="1" x14ac:dyDescent="0.2">
      <c r="A19" s="727"/>
      <c r="B19" s="738"/>
      <c r="C19" s="3363"/>
      <c r="D19" s="3363"/>
      <c r="E19" s="3363"/>
      <c r="F19" s="3363"/>
      <c r="G19" s="3363"/>
      <c r="H19" s="3363"/>
      <c r="I19" s="3363"/>
      <c r="J19" s="3363"/>
      <c r="K19" s="3363"/>
      <c r="L19" s="3363"/>
      <c r="M19" s="3363"/>
    </row>
    <row r="20" spans="1:13" ht="15" customHeight="1" x14ac:dyDescent="0.2">
      <c r="A20" s="727"/>
      <c r="B20" s="738"/>
      <c r="C20" s="3363"/>
      <c r="D20" s="3363"/>
      <c r="E20" s="3363"/>
      <c r="F20" s="3363"/>
      <c r="G20" s="3363"/>
      <c r="H20" s="3363"/>
      <c r="I20" s="3363"/>
      <c r="J20" s="3363"/>
      <c r="K20" s="3363"/>
      <c r="L20" s="3363"/>
      <c r="M20" s="3363"/>
    </row>
    <row r="21" spans="1:13" ht="15" customHeight="1" x14ac:dyDescent="0.2">
      <c r="A21" s="727"/>
      <c r="B21" s="738"/>
      <c r="C21" s="3363"/>
      <c r="D21" s="3363"/>
      <c r="E21" s="3363"/>
      <c r="F21" s="3363"/>
      <c r="G21" s="3363"/>
      <c r="H21" s="3363"/>
      <c r="I21" s="3363"/>
      <c r="J21" s="3363"/>
      <c r="K21" s="3363"/>
      <c r="L21" s="3363"/>
      <c r="M21" s="3363"/>
    </row>
    <row r="22" spans="1:13" ht="15" customHeight="1" x14ac:dyDescent="0.2">
      <c r="A22" s="727"/>
      <c r="B22" s="738"/>
      <c r="C22" s="3363"/>
      <c r="D22" s="3363"/>
      <c r="E22" s="3363"/>
      <c r="F22" s="3363"/>
      <c r="G22" s="3363"/>
      <c r="H22" s="3363"/>
      <c r="I22" s="3363"/>
      <c r="J22" s="3363"/>
      <c r="K22" s="3363"/>
      <c r="L22" s="3363"/>
      <c r="M22" s="3363"/>
    </row>
    <row r="23" spans="1:13" ht="15" customHeight="1" x14ac:dyDescent="0.2">
      <c r="A23" s="727"/>
      <c r="B23" s="738"/>
      <c r="C23" s="3363"/>
      <c r="D23" s="3363"/>
      <c r="E23" s="3363"/>
      <c r="F23" s="3363"/>
      <c r="G23" s="3363"/>
      <c r="H23" s="3363"/>
      <c r="I23" s="3363"/>
      <c r="J23" s="3363"/>
      <c r="K23" s="3363"/>
      <c r="L23" s="3363"/>
      <c r="M23" s="3363"/>
    </row>
    <row r="24" spans="1:13" ht="15" customHeight="1" x14ac:dyDescent="0.2">
      <c r="A24" s="727"/>
      <c r="B24" s="738"/>
      <c r="C24" s="3363"/>
      <c r="D24" s="3363"/>
      <c r="E24" s="3363"/>
      <c r="F24" s="3363"/>
      <c r="G24" s="3363"/>
      <c r="H24" s="3363"/>
      <c r="I24" s="3363"/>
      <c r="J24" s="3363"/>
      <c r="K24" s="3363"/>
      <c r="L24" s="3363"/>
      <c r="M24" s="3363"/>
    </row>
    <row r="25" spans="1:13" ht="15" customHeight="1" x14ac:dyDescent="0.2">
      <c r="A25" s="727"/>
      <c r="B25" s="738"/>
      <c r="C25" s="3363"/>
      <c r="D25" s="3363"/>
      <c r="E25" s="3363"/>
      <c r="F25" s="3363"/>
      <c r="G25" s="3363"/>
      <c r="H25" s="3363"/>
      <c r="I25" s="3363"/>
      <c r="J25" s="3363"/>
      <c r="K25" s="3363"/>
      <c r="L25" s="3363"/>
      <c r="M25" s="3363"/>
    </row>
    <row r="26" spans="1:13" ht="15" customHeight="1" x14ac:dyDescent="0.2">
      <c r="A26" s="727"/>
      <c r="B26" s="738"/>
      <c r="C26" s="3363"/>
      <c r="D26" s="3363"/>
      <c r="E26" s="3363"/>
      <c r="F26" s="3363"/>
      <c r="G26" s="3363"/>
      <c r="H26" s="3363"/>
      <c r="I26" s="3363"/>
      <c r="J26" s="3363"/>
      <c r="K26" s="3363"/>
      <c r="L26" s="3363"/>
      <c r="M26" s="3363"/>
    </row>
    <row r="27" spans="1:13" ht="15" customHeight="1" x14ac:dyDescent="0.2">
      <c r="A27" s="727"/>
      <c r="B27" s="738"/>
      <c r="C27" s="3363"/>
      <c r="D27" s="3363"/>
      <c r="E27" s="3363"/>
      <c r="F27" s="3363"/>
      <c r="G27" s="3363"/>
      <c r="H27" s="3363"/>
      <c r="I27" s="3363"/>
      <c r="J27" s="3363"/>
      <c r="K27" s="3363"/>
      <c r="L27" s="3363"/>
      <c r="M27" s="3363"/>
    </row>
    <row r="28" spans="1:13" ht="15" customHeight="1" x14ac:dyDescent="0.2">
      <c r="A28" s="727"/>
      <c r="B28" s="738"/>
      <c r="C28" s="3363"/>
      <c r="D28" s="3363"/>
      <c r="E28" s="3363"/>
      <c r="F28" s="3363"/>
      <c r="G28" s="3363"/>
      <c r="H28" s="3363"/>
      <c r="I28" s="3363"/>
      <c r="J28" s="3363"/>
      <c r="K28" s="3363"/>
      <c r="L28" s="3363"/>
      <c r="M28" s="3363"/>
    </row>
    <row r="29" spans="1:13" ht="15" customHeight="1" x14ac:dyDescent="0.2">
      <c r="A29" s="727"/>
      <c r="B29" s="738"/>
      <c r="C29" s="3363"/>
      <c r="D29" s="3363"/>
      <c r="E29" s="3363"/>
      <c r="F29" s="3363"/>
      <c r="G29" s="3363"/>
      <c r="H29" s="3363"/>
      <c r="I29" s="3363"/>
      <c r="J29" s="3363"/>
      <c r="K29" s="3363"/>
      <c r="L29" s="3363"/>
      <c r="M29" s="3363"/>
    </row>
    <row r="30" spans="1:13" ht="15" customHeight="1" x14ac:dyDescent="0.2">
      <c r="A30" s="727"/>
      <c r="B30" s="738"/>
      <c r="C30" s="3363"/>
      <c r="D30" s="3363"/>
      <c r="E30" s="3363"/>
      <c r="F30" s="3363"/>
      <c r="G30" s="3363"/>
      <c r="H30" s="3363"/>
      <c r="I30" s="3363"/>
      <c r="J30" s="3363"/>
      <c r="K30" s="3363"/>
      <c r="L30" s="3363"/>
      <c r="M30" s="3363"/>
    </row>
    <row r="31" spans="1:13" ht="15" customHeight="1" x14ac:dyDescent="0.2">
      <c r="A31" s="727"/>
      <c r="B31" s="738"/>
      <c r="C31" s="3363"/>
      <c r="D31" s="3363"/>
      <c r="E31" s="3363"/>
      <c r="F31" s="3363"/>
      <c r="G31" s="3363"/>
      <c r="H31" s="3363"/>
      <c r="I31" s="3363"/>
      <c r="J31" s="3363"/>
      <c r="K31" s="3363"/>
      <c r="L31" s="3363"/>
      <c r="M31" s="3363"/>
    </row>
    <row r="32" spans="1:13" ht="15" customHeight="1" x14ac:dyDescent="0.2">
      <c r="A32" s="727"/>
      <c r="B32" s="738"/>
      <c r="C32" s="3363"/>
      <c r="D32" s="3363"/>
      <c r="E32" s="3363"/>
      <c r="F32" s="3363"/>
      <c r="G32" s="3363"/>
      <c r="H32" s="3363"/>
      <c r="I32" s="3363"/>
      <c r="J32" s="3363"/>
      <c r="K32" s="3363"/>
      <c r="L32" s="3363"/>
      <c r="M32" s="3363"/>
    </row>
    <row r="33" spans="1:13" ht="15" customHeight="1" x14ac:dyDescent="0.2">
      <c r="A33" s="727"/>
      <c r="B33" s="738"/>
      <c r="C33" s="3363"/>
      <c r="D33" s="3363"/>
      <c r="E33" s="3363"/>
      <c r="F33" s="3363"/>
      <c r="G33" s="3363"/>
      <c r="H33" s="3363"/>
      <c r="I33" s="3363"/>
      <c r="J33" s="3363"/>
      <c r="K33" s="3363"/>
      <c r="L33" s="3363"/>
      <c r="M33" s="3363"/>
    </row>
    <row r="34" spans="1:13" ht="15" customHeight="1" x14ac:dyDescent="0.2">
      <c r="A34" s="727"/>
      <c r="B34" s="738"/>
      <c r="C34" s="3363"/>
      <c r="D34" s="3363"/>
      <c r="E34" s="3363"/>
      <c r="F34" s="3363"/>
      <c r="G34" s="3363"/>
      <c r="H34" s="3363"/>
      <c r="I34" s="3363"/>
      <c r="J34" s="3363"/>
      <c r="K34" s="3363"/>
      <c r="L34" s="3363"/>
      <c r="M34" s="3363"/>
    </row>
    <row r="35" spans="1:13" ht="15" customHeight="1" x14ac:dyDescent="0.2">
      <c r="A35" s="727"/>
      <c r="B35" s="738"/>
      <c r="C35" s="3363"/>
      <c r="D35" s="3363"/>
      <c r="E35" s="3363"/>
      <c r="F35" s="3363"/>
      <c r="G35" s="3363"/>
      <c r="H35" s="3363"/>
      <c r="I35" s="3363"/>
      <c r="J35" s="3363"/>
      <c r="K35" s="3363"/>
      <c r="L35" s="3363"/>
      <c r="M35" s="3363"/>
    </row>
    <row r="36" spans="1:13" ht="15" customHeight="1" x14ac:dyDescent="0.2">
      <c r="A36" s="727"/>
      <c r="B36" s="738"/>
      <c r="C36" s="3363"/>
      <c r="D36" s="3363"/>
      <c r="E36" s="3363"/>
      <c r="F36" s="3363"/>
      <c r="G36" s="3363"/>
      <c r="H36" s="3363"/>
      <c r="I36" s="3363"/>
      <c r="J36" s="3363"/>
      <c r="K36" s="3363"/>
      <c r="L36" s="3363"/>
      <c r="M36" s="3363"/>
    </row>
    <row r="37" spans="1:13" ht="15" customHeight="1" x14ac:dyDescent="0.2">
      <c r="A37" s="727"/>
      <c r="B37" s="738"/>
      <c r="C37" s="3363"/>
      <c r="D37" s="3363"/>
      <c r="E37" s="3363"/>
      <c r="F37" s="3363"/>
      <c r="G37" s="3363"/>
      <c r="H37" s="3363"/>
      <c r="I37" s="3363"/>
      <c r="J37" s="3363"/>
      <c r="K37" s="3363"/>
      <c r="L37" s="3363"/>
      <c r="M37" s="3363"/>
    </row>
    <row r="38" spans="1:13" ht="15" customHeight="1" x14ac:dyDescent="0.2">
      <c r="A38" s="727"/>
      <c r="B38" s="738"/>
      <c r="C38" s="3363"/>
      <c r="D38" s="3363"/>
      <c r="E38" s="3363"/>
      <c r="F38" s="3363"/>
      <c r="G38" s="3363"/>
      <c r="H38" s="3363"/>
      <c r="I38" s="3363"/>
      <c r="J38" s="3363"/>
      <c r="K38" s="3363"/>
      <c r="L38" s="3363"/>
      <c r="M38" s="3363"/>
    </row>
    <row r="39" spans="1:13" ht="15" customHeight="1" x14ac:dyDescent="0.2">
      <c r="A39" s="727"/>
      <c r="B39" s="738"/>
      <c r="C39" s="3363"/>
      <c r="D39" s="3363"/>
      <c r="E39" s="3363"/>
      <c r="F39" s="3363"/>
      <c r="G39" s="3363"/>
      <c r="H39" s="3363"/>
      <c r="I39" s="3363"/>
      <c r="J39" s="3363"/>
      <c r="K39" s="3363"/>
      <c r="L39" s="3363"/>
      <c r="M39" s="3363"/>
    </row>
    <row r="40" spans="1:13" ht="15" customHeight="1" x14ac:dyDescent="0.2">
      <c r="A40" s="727"/>
      <c r="B40" s="738"/>
      <c r="C40" s="3363"/>
      <c r="D40" s="3363"/>
      <c r="E40" s="3363"/>
      <c r="F40" s="3363"/>
      <c r="G40" s="3363"/>
      <c r="H40" s="3363"/>
      <c r="I40" s="3363"/>
      <c r="J40" s="3363"/>
      <c r="K40" s="3363"/>
      <c r="L40" s="3363"/>
      <c r="M40" s="3363"/>
    </row>
    <row r="41" spans="1:13" ht="15" customHeight="1" x14ac:dyDescent="0.2">
      <c r="A41" s="727"/>
      <c r="B41" s="738"/>
      <c r="C41" s="3363"/>
      <c r="D41" s="3363"/>
      <c r="E41" s="3363"/>
      <c r="F41" s="3363"/>
      <c r="G41" s="3363"/>
      <c r="H41" s="3363"/>
      <c r="I41" s="3363"/>
      <c r="J41" s="3363"/>
      <c r="K41" s="3363"/>
      <c r="L41" s="3363"/>
      <c r="M41" s="3363"/>
    </row>
    <row r="42" spans="1:13" ht="15" customHeight="1" x14ac:dyDescent="0.2">
      <c r="A42" s="727"/>
      <c r="B42" s="738"/>
      <c r="C42" s="3363"/>
      <c r="D42" s="3363"/>
      <c r="E42" s="3363"/>
      <c r="F42" s="3363"/>
      <c r="G42" s="3363"/>
      <c r="H42" s="3363"/>
      <c r="I42" s="3363"/>
      <c r="J42" s="3363"/>
      <c r="K42" s="3363"/>
      <c r="L42" s="3363"/>
      <c r="M42" s="3363"/>
    </row>
    <row r="43" spans="1:13" ht="15" customHeight="1" x14ac:dyDescent="0.2">
      <c r="A43" s="727"/>
      <c r="B43" s="738"/>
      <c r="C43" s="3363"/>
      <c r="D43" s="3363"/>
      <c r="E43" s="3363"/>
      <c r="F43" s="3363"/>
      <c r="G43" s="3363"/>
      <c r="H43" s="3363"/>
      <c r="I43" s="3363"/>
      <c r="J43" s="3363"/>
      <c r="K43" s="3363"/>
      <c r="L43" s="3363"/>
      <c r="M43" s="3363"/>
    </row>
    <row r="44" spans="1:13" ht="15" customHeight="1" x14ac:dyDescent="0.2">
      <c r="A44" s="727"/>
      <c r="B44" s="738"/>
      <c r="C44" s="3363"/>
      <c r="D44" s="3363"/>
      <c r="E44" s="3363"/>
      <c r="F44" s="3363"/>
      <c r="G44" s="3363"/>
      <c r="H44" s="3363"/>
      <c r="I44" s="3363"/>
      <c r="J44" s="3363"/>
      <c r="K44" s="3363"/>
      <c r="L44" s="3363"/>
      <c r="M44" s="3363"/>
    </row>
    <row r="45" spans="1:13" ht="15" customHeight="1" x14ac:dyDescent="0.2">
      <c r="A45" s="727"/>
      <c r="B45" s="738"/>
      <c r="C45" s="3363"/>
      <c r="D45" s="3363"/>
      <c r="E45" s="3363"/>
      <c r="F45" s="3363"/>
      <c r="G45" s="3363"/>
      <c r="H45" s="3363"/>
      <c r="I45" s="3363"/>
      <c r="J45" s="3363"/>
      <c r="K45" s="3363"/>
      <c r="L45" s="3363"/>
      <c r="M45" s="3363"/>
    </row>
    <row r="46" spans="1:13" ht="15" customHeight="1" x14ac:dyDescent="0.2">
      <c r="A46" s="727"/>
      <c r="B46" s="738"/>
      <c r="C46" s="3363"/>
      <c r="D46" s="3363"/>
      <c r="E46" s="3363"/>
      <c r="F46" s="3363"/>
      <c r="G46" s="3363"/>
      <c r="H46" s="3363"/>
      <c r="I46" s="3363"/>
      <c r="J46" s="3363"/>
      <c r="K46" s="3363"/>
      <c r="L46" s="3363"/>
      <c r="M46" s="3363"/>
    </row>
    <row r="47" spans="1:13" ht="15" customHeight="1" x14ac:dyDescent="0.2">
      <c r="A47" s="727"/>
      <c r="B47" s="738"/>
      <c r="C47" s="3363"/>
      <c r="D47" s="3363"/>
      <c r="E47" s="3363"/>
      <c r="F47" s="3363"/>
      <c r="G47" s="3363"/>
      <c r="H47" s="3363"/>
      <c r="I47" s="3363"/>
      <c r="J47" s="3363"/>
      <c r="K47" s="3363"/>
      <c r="L47" s="3363"/>
      <c r="M47" s="3363"/>
    </row>
    <row r="48" spans="1:13" ht="15" customHeight="1" x14ac:dyDescent="0.2">
      <c r="A48" s="727"/>
      <c r="B48" s="738"/>
      <c r="C48" s="3363"/>
      <c r="D48" s="3363"/>
      <c r="E48" s="3363"/>
      <c r="F48" s="3363"/>
      <c r="G48" s="3363"/>
      <c r="H48" s="3363"/>
      <c r="I48" s="3363"/>
      <c r="J48" s="3363"/>
      <c r="K48" s="3363"/>
      <c r="L48" s="3363"/>
      <c r="M48" s="3363"/>
    </row>
    <row r="49" spans="1:13" ht="15" customHeight="1" x14ac:dyDescent="0.2">
      <c r="A49" s="727"/>
      <c r="B49" s="738"/>
      <c r="C49" s="3363"/>
      <c r="D49" s="3363"/>
      <c r="E49" s="3363"/>
      <c r="F49" s="3363"/>
      <c r="G49" s="3363"/>
      <c r="H49" s="3363"/>
      <c r="I49" s="3363"/>
      <c r="J49" s="3363"/>
      <c r="K49" s="3363"/>
      <c r="L49" s="3363"/>
      <c r="M49" s="3363"/>
    </row>
    <row r="50" spans="1:13" ht="15" customHeight="1" x14ac:dyDescent="0.2">
      <c r="A50" s="738"/>
      <c r="B50" s="738"/>
      <c r="C50" s="738"/>
      <c r="D50" s="738"/>
      <c r="E50" s="738"/>
      <c r="F50" s="738"/>
      <c r="G50" s="738"/>
      <c r="H50" s="738"/>
      <c r="I50" s="738"/>
      <c r="J50" s="738"/>
      <c r="K50" s="738"/>
      <c r="L50" s="738"/>
      <c r="M50" s="738"/>
    </row>
    <row r="51" spans="1:13" ht="15" customHeight="1" x14ac:dyDescent="0.2">
      <c r="A51" s="738"/>
      <c r="B51" s="738"/>
      <c r="C51" s="738"/>
      <c r="D51" s="738"/>
      <c r="E51" s="738"/>
      <c r="F51" s="738"/>
      <c r="G51" s="738"/>
      <c r="H51" s="738"/>
      <c r="I51" s="738"/>
      <c r="J51" s="738"/>
      <c r="K51" s="738"/>
      <c r="L51" s="738"/>
      <c r="M51" s="738"/>
    </row>
    <row r="52" spans="1:13" ht="15" customHeight="1" x14ac:dyDescent="0.2">
      <c r="A52" s="738"/>
      <c r="B52" s="738"/>
      <c r="C52" s="738"/>
      <c r="D52" s="738"/>
      <c r="E52" s="738"/>
      <c r="F52" s="738"/>
      <c r="G52" s="738"/>
      <c r="H52" s="738"/>
      <c r="I52" s="738"/>
      <c r="J52" s="738"/>
      <c r="K52" s="738"/>
      <c r="L52" s="738"/>
      <c r="M52" s="738"/>
    </row>
    <row r="53" spans="1:13" ht="15" customHeight="1" x14ac:dyDescent="0.2">
      <c r="A53" s="738"/>
      <c r="B53" s="738"/>
      <c r="C53" s="738"/>
      <c r="D53" s="738"/>
      <c r="E53" s="738"/>
      <c r="F53" s="738"/>
      <c r="G53" s="738"/>
      <c r="H53" s="738"/>
      <c r="I53" s="738"/>
      <c r="J53" s="738"/>
      <c r="K53" s="738"/>
      <c r="L53" s="738"/>
      <c r="M53" s="738"/>
    </row>
    <row r="54" spans="1:13" ht="15" customHeight="1" x14ac:dyDescent="0.2">
      <c r="A54" s="738"/>
      <c r="B54" s="738"/>
      <c r="C54" s="738"/>
      <c r="D54" s="738"/>
      <c r="E54" s="738"/>
      <c r="F54" s="738"/>
      <c r="G54" s="738"/>
      <c r="H54" s="738"/>
      <c r="I54" s="738"/>
      <c r="J54" s="738"/>
      <c r="K54" s="738"/>
      <c r="L54" s="738"/>
      <c r="M54" s="738"/>
    </row>
    <row r="55" spans="1:13" ht="15" customHeight="1" x14ac:dyDescent="0.2">
      <c r="A55" s="738"/>
      <c r="B55" s="738"/>
      <c r="C55" s="738"/>
      <c r="D55" s="738"/>
      <c r="E55" s="738"/>
      <c r="F55" s="738"/>
      <c r="G55" s="738"/>
      <c r="H55" s="738"/>
      <c r="I55" s="738"/>
      <c r="J55" s="738"/>
      <c r="K55" s="738"/>
      <c r="L55" s="738"/>
      <c r="M55" s="738"/>
    </row>
    <row r="56" spans="1:13" ht="15" customHeight="1" x14ac:dyDescent="0.2">
      <c r="A56" s="738"/>
      <c r="B56" s="738"/>
      <c r="C56" s="738"/>
      <c r="D56" s="738"/>
      <c r="E56" s="738"/>
      <c r="F56" s="738"/>
      <c r="G56" s="738"/>
      <c r="H56" s="738"/>
      <c r="I56" s="738"/>
      <c r="J56" s="738"/>
      <c r="K56" s="738"/>
      <c r="L56" s="738"/>
      <c r="M56" s="738"/>
    </row>
    <row r="57" spans="1:13" ht="15" customHeight="1" x14ac:dyDescent="0.2">
      <c r="A57" s="738"/>
      <c r="B57" s="738"/>
      <c r="C57" s="738"/>
      <c r="D57" s="738"/>
      <c r="E57" s="738"/>
      <c r="F57" s="738"/>
      <c r="G57" s="738"/>
      <c r="H57" s="738"/>
      <c r="I57" s="738"/>
      <c r="J57" s="738"/>
      <c r="K57" s="738"/>
      <c r="L57" s="738"/>
      <c r="M57" s="738"/>
    </row>
    <row r="58" spans="1:13" ht="15" customHeight="1" x14ac:dyDescent="0.2">
      <c r="A58" s="738"/>
      <c r="B58" s="738"/>
      <c r="C58" s="738"/>
      <c r="D58" s="738"/>
      <c r="E58" s="738"/>
      <c r="F58" s="738"/>
      <c r="G58" s="738"/>
      <c r="H58" s="738"/>
      <c r="I58" s="738"/>
      <c r="J58" s="738"/>
      <c r="K58" s="738"/>
      <c r="L58" s="738"/>
      <c r="M58" s="738"/>
    </row>
    <row r="59" spans="1:13" ht="15" customHeight="1" x14ac:dyDescent="0.2">
      <c r="A59" s="738"/>
      <c r="B59" s="738"/>
      <c r="C59" s="738"/>
      <c r="D59" s="738"/>
      <c r="E59" s="738"/>
      <c r="F59" s="738"/>
      <c r="G59" s="738"/>
      <c r="H59" s="738"/>
      <c r="I59" s="738"/>
      <c r="J59" s="738"/>
      <c r="K59" s="738"/>
      <c r="L59" s="738"/>
      <c r="M59" s="738"/>
    </row>
    <row r="60" spans="1:13" ht="15" customHeight="1" x14ac:dyDescent="0.2">
      <c r="A60" s="738"/>
      <c r="B60" s="738"/>
      <c r="C60" s="738"/>
      <c r="D60" s="738"/>
      <c r="E60" s="738"/>
      <c r="F60" s="738"/>
      <c r="G60" s="738"/>
      <c r="H60" s="738"/>
      <c r="I60" s="738"/>
      <c r="J60" s="738"/>
      <c r="K60" s="738"/>
      <c r="L60" s="738"/>
      <c r="M60" s="738"/>
    </row>
    <row r="61" spans="1:13" ht="15" customHeight="1" x14ac:dyDescent="0.2">
      <c r="A61" s="738"/>
      <c r="B61" s="738"/>
      <c r="C61" s="738"/>
      <c r="D61" s="738"/>
      <c r="E61" s="738"/>
      <c r="F61" s="738"/>
      <c r="G61" s="738"/>
      <c r="H61" s="738"/>
      <c r="I61" s="738"/>
      <c r="J61" s="738"/>
      <c r="K61" s="738"/>
      <c r="L61" s="738"/>
      <c r="M61" s="738"/>
    </row>
    <row r="62" spans="1:13" ht="15" customHeight="1" x14ac:dyDescent="0.2">
      <c r="A62" s="738"/>
      <c r="B62" s="738"/>
      <c r="C62" s="738"/>
      <c r="D62" s="738"/>
      <c r="E62" s="738"/>
      <c r="F62" s="738"/>
      <c r="G62" s="738"/>
      <c r="H62" s="738"/>
      <c r="I62" s="738"/>
      <c r="J62" s="738"/>
      <c r="K62" s="738"/>
      <c r="L62" s="738"/>
      <c r="M62" s="738"/>
    </row>
    <row r="63" spans="1:13" ht="15" customHeight="1" x14ac:dyDescent="0.2">
      <c r="A63" s="738"/>
      <c r="B63" s="738"/>
      <c r="C63" s="738"/>
      <c r="D63" s="738"/>
      <c r="E63" s="738"/>
      <c r="F63" s="738"/>
      <c r="G63" s="738"/>
      <c r="H63" s="738"/>
      <c r="I63" s="738"/>
      <c r="J63" s="738"/>
      <c r="K63" s="738"/>
      <c r="L63" s="738"/>
      <c r="M63" s="738"/>
    </row>
    <row r="64" spans="1:13" ht="15" customHeight="1" x14ac:dyDescent="0.2">
      <c r="A64" s="738"/>
      <c r="B64" s="738"/>
      <c r="C64" s="738"/>
      <c r="D64" s="738"/>
      <c r="E64" s="738"/>
      <c r="F64" s="738"/>
      <c r="G64" s="738"/>
      <c r="H64" s="738"/>
      <c r="I64" s="738"/>
      <c r="J64" s="738"/>
      <c r="K64" s="738"/>
      <c r="L64" s="738"/>
      <c r="M64" s="738"/>
    </row>
    <row r="65" spans="1:13" ht="15" customHeight="1" x14ac:dyDescent="0.2">
      <c r="A65" s="738"/>
      <c r="B65" s="738"/>
      <c r="C65" s="738"/>
      <c r="D65" s="738"/>
      <c r="E65" s="738"/>
      <c r="F65" s="738"/>
      <c r="G65" s="738"/>
      <c r="H65" s="738"/>
      <c r="I65" s="738"/>
      <c r="J65" s="738"/>
      <c r="K65" s="738"/>
      <c r="L65" s="738"/>
      <c r="M65" s="738"/>
    </row>
    <row r="66" spans="1:13" ht="15" customHeight="1" x14ac:dyDescent="0.2">
      <c r="A66" s="738"/>
      <c r="B66" s="738"/>
      <c r="C66" s="738"/>
      <c r="D66" s="738"/>
      <c r="E66" s="738"/>
      <c r="F66" s="738"/>
      <c r="G66" s="738"/>
      <c r="H66" s="738"/>
      <c r="I66" s="738"/>
      <c r="J66" s="738"/>
      <c r="K66" s="738"/>
      <c r="L66" s="738"/>
      <c r="M66" s="738"/>
    </row>
    <row r="67" spans="1:13" ht="15" customHeight="1" x14ac:dyDescent="0.2">
      <c r="A67" s="738"/>
      <c r="B67" s="738"/>
      <c r="C67" s="738"/>
      <c r="D67" s="738"/>
      <c r="E67" s="738"/>
      <c r="F67" s="738"/>
      <c r="G67" s="738"/>
      <c r="H67" s="738"/>
      <c r="I67" s="738"/>
      <c r="J67" s="738"/>
      <c r="K67" s="738"/>
      <c r="L67" s="738"/>
      <c r="M67" s="738"/>
    </row>
    <row r="68" spans="1:13" ht="15" customHeight="1" x14ac:dyDescent="0.2">
      <c r="A68" s="738"/>
      <c r="B68" s="738"/>
      <c r="C68" s="738"/>
      <c r="D68" s="738"/>
      <c r="E68" s="738"/>
      <c r="F68" s="738"/>
      <c r="G68" s="738"/>
      <c r="H68" s="738"/>
      <c r="I68" s="738"/>
      <c r="J68" s="738"/>
      <c r="K68" s="738"/>
      <c r="L68" s="738"/>
      <c r="M68" s="738"/>
    </row>
    <row r="69" spans="1:13" ht="15" customHeight="1" x14ac:dyDescent="0.2">
      <c r="A69" s="738"/>
      <c r="B69" s="738"/>
      <c r="C69" s="738"/>
      <c r="D69" s="738"/>
      <c r="E69" s="738"/>
      <c r="F69" s="738"/>
      <c r="G69" s="738"/>
      <c r="H69" s="738"/>
      <c r="I69" s="738"/>
      <c r="J69" s="738"/>
      <c r="K69" s="738"/>
      <c r="L69" s="738"/>
      <c r="M69" s="738"/>
    </row>
    <row r="70" spans="1:13" ht="15" customHeight="1" x14ac:dyDescent="0.2">
      <c r="A70" s="738"/>
      <c r="B70" s="738"/>
      <c r="C70" s="738"/>
      <c r="D70" s="738"/>
      <c r="E70" s="738"/>
      <c r="F70" s="738"/>
      <c r="G70" s="738"/>
      <c r="H70" s="738"/>
      <c r="I70" s="738"/>
      <c r="J70" s="738"/>
      <c r="K70" s="738"/>
      <c r="L70" s="738"/>
      <c r="M70" s="738"/>
    </row>
    <row r="71" spans="1:13" ht="15" customHeight="1" x14ac:dyDescent="0.2">
      <c r="A71" s="738"/>
      <c r="B71" s="738"/>
      <c r="C71" s="738"/>
      <c r="D71" s="738"/>
      <c r="E71" s="738"/>
      <c r="F71" s="738"/>
      <c r="G71" s="738"/>
      <c r="H71" s="738"/>
      <c r="I71" s="738"/>
      <c r="J71" s="738"/>
      <c r="K71" s="738"/>
      <c r="L71" s="738"/>
      <c r="M71" s="738"/>
    </row>
    <row r="72" spans="1:13" ht="15" customHeight="1" x14ac:dyDescent="0.2">
      <c r="A72" s="738"/>
      <c r="B72" s="738"/>
      <c r="C72" s="738"/>
      <c r="D72" s="738"/>
      <c r="E72" s="738"/>
      <c r="F72" s="738"/>
      <c r="G72" s="738"/>
      <c r="H72" s="738"/>
      <c r="I72" s="738"/>
      <c r="J72" s="738"/>
      <c r="K72" s="738"/>
      <c r="L72" s="738"/>
      <c r="M72" s="738"/>
    </row>
    <row r="73" spans="1:13" ht="15" customHeight="1" x14ac:dyDescent="0.2">
      <c r="A73" s="738"/>
      <c r="B73" s="738"/>
      <c r="C73" s="738"/>
      <c r="D73" s="738"/>
      <c r="E73" s="738"/>
      <c r="F73" s="738"/>
      <c r="G73" s="738"/>
      <c r="H73" s="738"/>
      <c r="I73" s="738"/>
      <c r="J73" s="738"/>
      <c r="K73" s="738"/>
      <c r="L73" s="738"/>
      <c r="M73" s="738"/>
    </row>
    <row r="74" spans="1:13" ht="15" customHeight="1" x14ac:dyDescent="0.2">
      <c r="A74" s="738"/>
      <c r="B74" s="738"/>
      <c r="C74" s="738"/>
      <c r="D74" s="738"/>
      <c r="E74" s="738"/>
      <c r="F74" s="738"/>
      <c r="G74" s="738"/>
      <c r="H74" s="738"/>
      <c r="I74" s="738"/>
      <c r="J74" s="738"/>
      <c r="K74" s="738"/>
      <c r="L74" s="738"/>
      <c r="M74" s="738"/>
    </row>
    <row r="75" spans="1:13" ht="15" customHeight="1" x14ac:dyDescent="0.2">
      <c r="A75" s="738"/>
      <c r="B75" s="738"/>
      <c r="C75" s="738"/>
      <c r="D75" s="738"/>
      <c r="E75" s="738"/>
      <c r="F75" s="738"/>
      <c r="G75" s="738"/>
      <c r="H75" s="738"/>
      <c r="I75" s="738"/>
      <c r="J75" s="738"/>
      <c r="K75" s="738"/>
      <c r="L75" s="738"/>
      <c r="M75" s="738"/>
    </row>
    <row r="76" spans="1:13" ht="15" customHeight="1" x14ac:dyDescent="0.2">
      <c r="A76" s="738"/>
      <c r="B76" s="738"/>
      <c r="C76" s="738"/>
      <c r="D76" s="738"/>
      <c r="E76" s="738"/>
      <c r="F76" s="738"/>
      <c r="G76" s="738"/>
      <c r="H76" s="738"/>
      <c r="I76" s="738"/>
      <c r="J76" s="738"/>
      <c r="K76" s="738"/>
      <c r="L76" s="738"/>
      <c r="M76" s="738"/>
    </row>
    <row r="77" spans="1:13" ht="15" customHeight="1" x14ac:dyDescent="0.2">
      <c r="A77" s="738"/>
      <c r="B77" s="738"/>
      <c r="C77" s="738"/>
      <c r="D77" s="738"/>
      <c r="E77" s="738"/>
      <c r="F77" s="738"/>
      <c r="G77" s="738"/>
      <c r="H77" s="738"/>
      <c r="I77" s="738"/>
      <c r="J77" s="738"/>
      <c r="K77" s="738"/>
      <c r="L77" s="738"/>
      <c r="M77" s="738"/>
    </row>
    <row r="78" spans="1:13" ht="15" customHeight="1" x14ac:dyDescent="0.2">
      <c r="A78" s="738"/>
      <c r="B78" s="738"/>
      <c r="C78" s="738"/>
      <c r="D78" s="738"/>
      <c r="E78" s="738"/>
      <c r="F78" s="738"/>
      <c r="G78" s="738"/>
      <c r="H78" s="738"/>
      <c r="I78" s="738"/>
      <c r="J78" s="738"/>
      <c r="K78" s="738"/>
      <c r="L78" s="738"/>
      <c r="M78" s="738"/>
    </row>
    <row r="79" spans="1:13" ht="15" customHeight="1" x14ac:dyDescent="0.2">
      <c r="A79" s="738"/>
      <c r="B79" s="738"/>
      <c r="C79" s="738"/>
      <c r="D79" s="738"/>
      <c r="E79" s="738"/>
      <c r="F79" s="738"/>
      <c r="G79" s="738"/>
      <c r="H79" s="738"/>
      <c r="I79" s="738"/>
      <c r="J79" s="738"/>
      <c r="K79" s="738"/>
      <c r="L79" s="738"/>
      <c r="M79" s="738"/>
    </row>
    <row r="80" spans="1:13" ht="15" customHeight="1" x14ac:dyDescent="0.2">
      <c r="A80" s="738"/>
      <c r="B80" s="738"/>
      <c r="C80" s="738"/>
      <c r="D80" s="738"/>
      <c r="E80" s="738"/>
      <c r="F80" s="738"/>
      <c r="G80" s="738"/>
      <c r="H80" s="738"/>
      <c r="I80" s="738"/>
      <c r="J80" s="738"/>
      <c r="K80" s="738"/>
      <c r="L80" s="738"/>
      <c r="M80" s="738"/>
    </row>
    <row r="81" spans="1:13" ht="15" customHeight="1" x14ac:dyDescent="0.2">
      <c r="A81" s="738"/>
      <c r="B81" s="738"/>
      <c r="C81" s="738"/>
      <c r="D81" s="738"/>
      <c r="E81" s="738"/>
      <c r="F81" s="738"/>
      <c r="G81" s="738"/>
      <c r="H81" s="738"/>
      <c r="I81" s="738"/>
      <c r="J81" s="738"/>
      <c r="K81" s="738"/>
      <c r="L81" s="738"/>
      <c r="M81" s="738"/>
    </row>
    <row r="82" spans="1:13" ht="15" customHeight="1" x14ac:dyDescent="0.2">
      <c r="A82" s="738"/>
      <c r="B82" s="738"/>
      <c r="C82" s="738"/>
      <c r="D82" s="738"/>
      <c r="E82" s="738"/>
      <c r="F82" s="738"/>
      <c r="G82" s="738"/>
      <c r="H82" s="738"/>
      <c r="I82" s="738"/>
      <c r="J82" s="738"/>
      <c r="K82" s="738"/>
      <c r="L82" s="738"/>
      <c r="M82" s="738"/>
    </row>
    <row r="83" spans="1:13" ht="15" customHeight="1" x14ac:dyDescent="0.2">
      <c r="A83" s="738"/>
      <c r="B83" s="738"/>
      <c r="C83" s="738"/>
      <c r="D83" s="738"/>
      <c r="E83" s="738"/>
      <c r="F83" s="738"/>
      <c r="G83" s="738"/>
      <c r="H83" s="738"/>
      <c r="I83" s="738"/>
      <c r="J83" s="738"/>
      <c r="K83" s="738"/>
      <c r="L83" s="738"/>
      <c r="M83" s="738"/>
    </row>
    <row r="84" spans="1:13" ht="15" customHeight="1" x14ac:dyDescent="0.2">
      <c r="A84" s="738"/>
      <c r="B84" s="738"/>
      <c r="C84" s="738"/>
      <c r="D84" s="738"/>
      <c r="E84" s="738"/>
      <c r="F84" s="738"/>
      <c r="G84" s="738"/>
      <c r="H84" s="738"/>
      <c r="I84" s="738"/>
      <c r="J84" s="738"/>
      <c r="K84" s="738"/>
      <c r="L84" s="738"/>
      <c r="M84" s="738"/>
    </row>
    <row r="85" spans="1:13" ht="15" customHeight="1" x14ac:dyDescent="0.2">
      <c r="A85" s="738"/>
      <c r="B85" s="738"/>
      <c r="C85" s="738"/>
      <c r="D85" s="738"/>
      <c r="E85" s="738"/>
      <c r="F85" s="738"/>
      <c r="G85" s="738"/>
      <c r="H85" s="738"/>
      <c r="I85" s="738"/>
      <c r="J85" s="738"/>
      <c r="K85" s="738"/>
      <c r="L85" s="738"/>
      <c r="M85" s="738"/>
    </row>
    <row r="86" spans="1:13" ht="15" customHeight="1" x14ac:dyDescent="0.2">
      <c r="A86" s="738"/>
      <c r="B86" s="738"/>
      <c r="C86" s="738"/>
      <c r="D86" s="738"/>
      <c r="E86" s="738"/>
      <c r="F86" s="738"/>
      <c r="G86" s="738"/>
      <c r="H86" s="738"/>
      <c r="I86" s="738"/>
      <c r="J86" s="738"/>
      <c r="K86" s="738"/>
      <c r="L86" s="738"/>
      <c r="M86" s="738"/>
    </row>
    <row r="87" spans="1:13" ht="15" customHeight="1" x14ac:dyDescent="0.2">
      <c r="A87" s="738"/>
      <c r="B87" s="738"/>
      <c r="C87" s="738"/>
      <c r="D87" s="738"/>
      <c r="E87" s="738"/>
      <c r="F87" s="738"/>
      <c r="G87" s="738"/>
      <c r="H87" s="738"/>
      <c r="I87" s="738"/>
      <c r="J87" s="738"/>
      <c r="K87" s="738"/>
      <c r="L87" s="738"/>
      <c r="M87" s="738"/>
    </row>
    <row r="88" spans="1:13" ht="15" customHeight="1" x14ac:dyDescent="0.2">
      <c r="A88" s="738"/>
      <c r="B88" s="738"/>
      <c r="C88" s="738"/>
      <c r="D88" s="738"/>
      <c r="E88" s="738"/>
      <c r="F88" s="738"/>
      <c r="G88" s="738"/>
      <c r="H88" s="738"/>
      <c r="I88" s="738"/>
      <c r="J88" s="738"/>
      <c r="K88" s="738"/>
      <c r="L88" s="738"/>
      <c r="M88" s="738"/>
    </row>
    <row r="89" spans="1:13" ht="15" customHeight="1" x14ac:dyDescent="0.2">
      <c r="A89" s="738"/>
      <c r="B89" s="738"/>
      <c r="C89" s="738"/>
      <c r="D89" s="738"/>
      <c r="E89" s="738"/>
      <c r="F89" s="738"/>
      <c r="G89" s="738"/>
      <c r="H89" s="738"/>
      <c r="I89" s="738"/>
      <c r="J89" s="738"/>
      <c r="K89" s="738"/>
      <c r="L89" s="738"/>
      <c r="M89" s="738"/>
    </row>
    <row r="90" spans="1:13" ht="15" customHeight="1" x14ac:dyDescent="0.2">
      <c r="A90" s="738"/>
      <c r="B90" s="738"/>
      <c r="C90" s="738"/>
      <c r="D90" s="738"/>
      <c r="E90" s="738"/>
      <c r="F90" s="738"/>
      <c r="G90" s="738"/>
      <c r="H90" s="738"/>
      <c r="I90" s="738"/>
      <c r="J90" s="738"/>
      <c r="K90" s="738"/>
      <c r="L90" s="738"/>
      <c r="M90" s="738"/>
    </row>
    <row r="91" spans="1:13" ht="15" customHeight="1" x14ac:dyDescent="0.2">
      <c r="A91" s="738"/>
      <c r="B91" s="738"/>
      <c r="C91" s="738"/>
      <c r="D91" s="738"/>
      <c r="E91" s="738"/>
      <c r="F91" s="738"/>
      <c r="G91" s="738"/>
      <c r="H91" s="738"/>
      <c r="I91" s="738"/>
      <c r="J91" s="738"/>
      <c r="K91" s="738"/>
      <c r="L91" s="738"/>
      <c r="M91" s="738"/>
    </row>
    <row r="92" spans="1:13" ht="15" customHeight="1" x14ac:dyDescent="0.2">
      <c r="A92" s="738"/>
      <c r="B92" s="738"/>
      <c r="C92" s="738"/>
      <c r="D92" s="738"/>
      <c r="E92" s="738"/>
      <c r="F92" s="738"/>
      <c r="G92" s="738"/>
      <c r="H92" s="738"/>
      <c r="I92" s="738"/>
      <c r="J92" s="738"/>
      <c r="K92" s="738"/>
      <c r="L92" s="738"/>
      <c r="M92" s="738"/>
    </row>
    <row r="93" spans="1:13" ht="15" customHeight="1" x14ac:dyDescent="0.2">
      <c r="A93" s="738"/>
      <c r="B93" s="738"/>
      <c r="C93" s="738"/>
      <c r="D93" s="738"/>
      <c r="E93" s="738"/>
      <c r="F93" s="738"/>
      <c r="G93" s="738"/>
      <c r="H93" s="738"/>
      <c r="I93" s="738"/>
      <c r="J93" s="738"/>
      <c r="K93" s="738"/>
      <c r="L93" s="738"/>
      <c r="M93" s="738"/>
    </row>
    <row r="94" spans="1:13" ht="15" customHeight="1" x14ac:dyDescent="0.2">
      <c r="A94" s="738"/>
      <c r="B94" s="738"/>
      <c r="C94" s="738"/>
      <c r="D94" s="738"/>
      <c r="E94" s="738"/>
      <c r="F94" s="738"/>
      <c r="G94" s="738"/>
      <c r="H94" s="738"/>
      <c r="I94" s="738"/>
      <c r="J94" s="738"/>
      <c r="K94" s="738"/>
      <c r="L94" s="738"/>
      <c r="M94" s="738"/>
    </row>
    <row r="95" spans="1:13" ht="15" customHeight="1" x14ac:dyDescent="0.2">
      <c r="A95" s="738"/>
      <c r="B95" s="738"/>
      <c r="C95" s="738"/>
      <c r="D95" s="738"/>
      <c r="E95" s="738"/>
      <c r="F95" s="738"/>
      <c r="G95" s="738"/>
      <c r="H95" s="738"/>
      <c r="I95" s="738"/>
      <c r="J95" s="738"/>
      <c r="K95" s="738"/>
      <c r="L95" s="738"/>
      <c r="M95" s="738"/>
    </row>
    <row r="96" spans="1:13" ht="15" customHeight="1" x14ac:dyDescent="0.2">
      <c r="A96" s="738"/>
      <c r="B96" s="738"/>
      <c r="C96" s="738"/>
      <c r="D96" s="738"/>
      <c r="E96" s="738"/>
      <c r="F96" s="738"/>
      <c r="G96" s="738"/>
      <c r="H96" s="738"/>
      <c r="I96" s="738"/>
      <c r="J96" s="738"/>
      <c r="K96" s="738"/>
      <c r="L96" s="738"/>
      <c r="M96" s="738"/>
    </row>
    <row r="97" spans="1:13" ht="15" customHeight="1" x14ac:dyDescent="0.2">
      <c r="A97" s="738"/>
      <c r="B97" s="738"/>
      <c r="C97" s="738"/>
      <c r="D97" s="738"/>
      <c r="E97" s="738"/>
      <c r="F97" s="738"/>
      <c r="G97" s="738"/>
      <c r="H97" s="738"/>
      <c r="I97" s="738"/>
      <c r="J97" s="738"/>
      <c r="K97" s="738"/>
      <c r="L97" s="738"/>
      <c r="M97" s="738"/>
    </row>
    <row r="98" spans="1:13" ht="15" customHeight="1" x14ac:dyDescent="0.2">
      <c r="A98" s="738"/>
      <c r="B98" s="738"/>
      <c r="C98" s="738"/>
      <c r="D98" s="738"/>
      <c r="E98" s="738"/>
      <c r="F98" s="738"/>
      <c r="G98" s="738"/>
      <c r="H98" s="738"/>
      <c r="I98" s="738"/>
      <c r="J98" s="738"/>
      <c r="K98" s="738"/>
      <c r="L98" s="738"/>
      <c r="M98" s="738"/>
    </row>
    <row r="99" spans="1:13" ht="15" customHeight="1" x14ac:dyDescent="0.2">
      <c r="A99" s="738"/>
      <c r="B99" s="738"/>
      <c r="C99" s="738"/>
      <c r="D99" s="738"/>
      <c r="E99" s="738"/>
      <c r="F99" s="738"/>
      <c r="G99" s="738"/>
      <c r="H99" s="738"/>
      <c r="I99" s="738"/>
      <c r="J99" s="738"/>
      <c r="K99" s="738"/>
      <c r="L99" s="738"/>
      <c r="M99" s="738"/>
    </row>
    <row r="100" spans="1:13" ht="15" customHeight="1" x14ac:dyDescent="0.2">
      <c r="A100" s="738"/>
      <c r="B100" s="738"/>
      <c r="C100" s="738"/>
      <c r="D100" s="738"/>
      <c r="E100" s="738"/>
      <c r="F100" s="738"/>
      <c r="G100" s="738"/>
      <c r="H100" s="738"/>
      <c r="I100" s="738"/>
      <c r="J100" s="738"/>
      <c r="K100" s="738"/>
      <c r="L100" s="738"/>
      <c r="M100" s="738"/>
    </row>
    <row r="101" spans="1:13" ht="15" customHeight="1" x14ac:dyDescent="0.2">
      <c r="A101" s="738"/>
      <c r="B101" s="738"/>
      <c r="C101" s="738"/>
      <c r="D101" s="738"/>
      <c r="E101" s="738"/>
      <c r="F101" s="738"/>
      <c r="G101" s="738"/>
      <c r="H101" s="738"/>
      <c r="I101" s="738"/>
      <c r="J101" s="738"/>
      <c r="K101" s="738"/>
      <c r="L101" s="738"/>
      <c r="M101" s="738"/>
    </row>
    <row r="102" spans="1:13" ht="15" customHeight="1" x14ac:dyDescent="0.2">
      <c r="A102" s="738"/>
      <c r="B102" s="738"/>
      <c r="C102" s="738"/>
      <c r="D102" s="738"/>
      <c r="E102" s="738"/>
      <c r="F102" s="738"/>
      <c r="G102" s="738"/>
      <c r="H102" s="738"/>
      <c r="I102" s="738"/>
      <c r="J102" s="738"/>
      <c r="K102" s="738"/>
      <c r="L102" s="738"/>
      <c r="M102" s="738"/>
    </row>
    <row r="103" spans="1:13" ht="15" customHeight="1" x14ac:dyDescent="0.2">
      <c r="A103" s="738"/>
      <c r="B103" s="738"/>
      <c r="C103" s="738"/>
      <c r="D103" s="738"/>
      <c r="E103" s="738"/>
      <c r="F103" s="738"/>
      <c r="G103" s="738"/>
      <c r="H103" s="738"/>
      <c r="I103" s="738"/>
      <c r="J103" s="738"/>
      <c r="K103" s="738"/>
      <c r="L103" s="738"/>
      <c r="M103" s="738"/>
    </row>
    <row r="104" spans="1:13" ht="15" customHeight="1" x14ac:dyDescent="0.2">
      <c r="A104" s="738"/>
      <c r="B104" s="738"/>
      <c r="C104" s="738"/>
      <c r="D104" s="738"/>
      <c r="E104" s="738"/>
      <c r="F104" s="738"/>
      <c r="G104" s="738"/>
      <c r="H104" s="738"/>
      <c r="I104" s="738"/>
      <c r="J104" s="738"/>
      <c r="K104" s="738"/>
      <c r="L104" s="738"/>
      <c r="M104" s="738"/>
    </row>
    <row r="105" spans="1:13" ht="15" customHeight="1" x14ac:dyDescent="0.2">
      <c r="A105" s="738"/>
      <c r="B105" s="738"/>
      <c r="C105" s="738"/>
      <c r="D105" s="738"/>
      <c r="E105" s="738"/>
      <c r="F105" s="738"/>
      <c r="G105" s="738"/>
      <c r="H105" s="738"/>
      <c r="I105" s="738"/>
      <c r="J105" s="738"/>
      <c r="K105" s="738"/>
      <c r="L105" s="738"/>
      <c r="M105" s="738"/>
    </row>
    <row r="106" spans="1:13" ht="15" customHeight="1" x14ac:dyDescent="0.2">
      <c r="A106" s="738"/>
      <c r="B106" s="738"/>
      <c r="C106" s="738"/>
      <c r="D106" s="738"/>
      <c r="E106" s="738"/>
      <c r="F106" s="738"/>
      <c r="G106" s="738"/>
      <c r="H106" s="738"/>
      <c r="I106" s="738"/>
      <c r="J106" s="738"/>
      <c r="K106" s="738"/>
      <c r="L106" s="738"/>
      <c r="M106" s="738"/>
    </row>
    <row r="107" spans="1:13" ht="15" customHeight="1" x14ac:dyDescent="0.2">
      <c r="A107" s="738"/>
      <c r="B107" s="738"/>
      <c r="C107" s="738"/>
      <c r="D107" s="738"/>
      <c r="E107" s="738"/>
      <c r="F107" s="738"/>
      <c r="G107" s="738"/>
      <c r="H107" s="738"/>
      <c r="I107" s="738"/>
      <c r="J107" s="738"/>
      <c r="K107" s="738"/>
      <c r="L107" s="738"/>
      <c r="M107" s="738"/>
    </row>
    <row r="108" spans="1:13" ht="15" customHeight="1" x14ac:dyDescent="0.2">
      <c r="A108" s="738"/>
      <c r="B108" s="738"/>
      <c r="C108" s="738"/>
      <c r="D108" s="738"/>
      <c r="E108" s="738"/>
      <c r="F108" s="738"/>
      <c r="G108" s="738"/>
      <c r="H108" s="738"/>
      <c r="I108" s="738"/>
      <c r="J108" s="738"/>
      <c r="K108" s="738"/>
      <c r="L108" s="738"/>
      <c r="M108" s="738"/>
    </row>
    <row r="109" spans="1:13" ht="15" customHeight="1" x14ac:dyDescent="0.2">
      <c r="A109" s="738"/>
      <c r="B109" s="738"/>
      <c r="C109" s="738"/>
      <c r="D109" s="738"/>
      <c r="E109" s="738"/>
      <c r="F109" s="738"/>
      <c r="G109" s="738"/>
      <c r="H109" s="738"/>
      <c r="I109" s="738"/>
      <c r="J109" s="738"/>
      <c r="K109" s="738"/>
      <c r="L109" s="738"/>
      <c r="M109" s="738"/>
    </row>
    <row r="110" spans="1:13" ht="15" customHeight="1" x14ac:dyDescent="0.2">
      <c r="A110" s="738"/>
      <c r="B110" s="738"/>
      <c r="C110" s="738"/>
      <c r="D110" s="738"/>
      <c r="E110" s="738"/>
      <c r="F110" s="738"/>
      <c r="G110" s="738"/>
      <c r="H110" s="738"/>
      <c r="I110" s="738"/>
      <c r="J110" s="738"/>
      <c r="K110" s="738"/>
      <c r="L110" s="738"/>
      <c r="M110" s="738"/>
    </row>
    <row r="111" spans="1:13" ht="15" customHeight="1" x14ac:dyDescent="0.2">
      <c r="A111" s="738"/>
      <c r="B111" s="738"/>
      <c r="C111" s="738"/>
      <c r="D111" s="738"/>
      <c r="E111" s="738"/>
      <c r="F111" s="738"/>
      <c r="G111" s="738"/>
      <c r="H111" s="738"/>
      <c r="I111" s="738"/>
      <c r="J111" s="738"/>
      <c r="K111" s="738"/>
      <c r="L111" s="738"/>
      <c r="M111" s="738"/>
    </row>
    <row r="112" spans="1:13" ht="15" customHeight="1" x14ac:dyDescent="0.2">
      <c r="A112" s="738"/>
      <c r="B112" s="738"/>
      <c r="C112" s="738"/>
      <c r="D112" s="738"/>
      <c r="E112" s="738"/>
      <c r="F112" s="738"/>
      <c r="G112" s="738"/>
      <c r="H112" s="738"/>
      <c r="I112" s="738"/>
      <c r="J112" s="738"/>
      <c r="K112" s="738"/>
      <c r="L112" s="738"/>
      <c r="M112" s="738"/>
    </row>
    <row r="113" spans="1:13" ht="15" customHeight="1" x14ac:dyDescent="0.2">
      <c r="A113" s="738"/>
      <c r="B113" s="738"/>
      <c r="C113" s="738"/>
      <c r="D113" s="738"/>
      <c r="E113" s="738"/>
      <c r="F113" s="738"/>
      <c r="G113" s="738"/>
      <c r="H113" s="738"/>
      <c r="I113" s="738"/>
      <c r="J113" s="738"/>
      <c r="K113" s="738"/>
      <c r="L113" s="738"/>
      <c r="M113" s="738"/>
    </row>
    <row r="114" spans="1:13" ht="15" customHeight="1" x14ac:dyDescent="0.2">
      <c r="A114" s="738"/>
      <c r="B114" s="738"/>
      <c r="C114" s="738"/>
      <c r="D114" s="738"/>
      <c r="E114" s="738"/>
      <c r="F114" s="738"/>
      <c r="G114" s="738"/>
      <c r="H114" s="738"/>
      <c r="I114" s="738"/>
      <c r="J114" s="738"/>
      <c r="K114" s="738"/>
      <c r="L114" s="738"/>
      <c r="M114" s="738"/>
    </row>
    <row r="115" spans="1:13" ht="15" customHeight="1" x14ac:dyDescent="0.2">
      <c r="A115" s="738"/>
      <c r="B115" s="738"/>
      <c r="C115" s="738"/>
      <c r="D115" s="738"/>
      <c r="E115" s="738"/>
      <c r="F115" s="738"/>
      <c r="G115" s="738"/>
      <c r="H115" s="738"/>
      <c r="I115" s="738"/>
      <c r="J115" s="738"/>
      <c r="K115" s="738"/>
      <c r="L115" s="738"/>
      <c r="M115" s="738"/>
    </row>
    <row r="116" spans="1:13" ht="15" customHeight="1" x14ac:dyDescent="0.2">
      <c r="A116" s="738"/>
      <c r="B116" s="738"/>
      <c r="C116" s="738"/>
      <c r="D116" s="738"/>
      <c r="E116" s="738"/>
      <c r="F116" s="738"/>
      <c r="G116" s="738"/>
      <c r="H116" s="738"/>
      <c r="I116" s="738"/>
      <c r="J116" s="738"/>
      <c r="K116" s="738"/>
      <c r="L116" s="738"/>
      <c r="M116" s="738"/>
    </row>
    <row r="117" spans="1:13" ht="15" customHeight="1" x14ac:dyDescent="0.2">
      <c r="A117" s="738"/>
      <c r="B117" s="738"/>
      <c r="C117" s="738"/>
      <c r="D117" s="738"/>
      <c r="E117" s="738"/>
      <c r="F117" s="738"/>
      <c r="G117" s="738"/>
      <c r="H117" s="738"/>
      <c r="I117" s="738"/>
      <c r="J117" s="738"/>
      <c r="K117" s="738"/>
      <c r="L117" s="738"/>
      <c r="M117" s="738"/>
    </row>
    <row r="118" spans="1:13" ht="15" customHeight="1" x14ac:dyDescent="0.2">
      <c r="A118" s="738"/>
      <c r="B118" s="738"/>
      <c r="C118" s="738"/>
      <c r="D118" s="738"/>
      <c r="E118" s="738"/>
      <c r="F118" s="738"/>
      <c r="G118" s="738"/>
      <c r="H118" s="738"/>
      <c r="I118" s="738"/>
      <c r="J118" s="738"/>
      <c r="K118" s="738"/>
      <c r="L118" s="738"/>
      <c r="M118" s="738"/>
    </row>
    <row r="119" spans="1:13" ht="15" customHeight="1" x14ac:dyDescent="0.2">
      <c r="A119" s="738"/>
      <c r="B119" s="738"/>
      <c r="C119" s="738"/>
      <c r="D119" s="738"/>
      <c r="E119" s="738"/>
      <c r="F119" s="738"/>
      <c r="G119" s="738"/>
      <c r="H119" s="738"/>
      <c r="I119" s="738"/>
      <c r="J119" s="738"/>
      <c r="K119" s="738"/>
      <c r="L119" s="738"/>
      <c r="M119" s="738"/>
    </row>
    <row r="120" spans="1:13" ht="15" customHeight="1" x14ac:dyDescent="0.2">
      <c r="A120" s="738"/>
      <c r="B120" s="738"/>
      <c r="C120" s="738"/>
      <c r="D120" s="738"/>
      <c r="E120" s="738"/>
      <c r="F120" s="738"/>
      <c r="G120" s="738"/>
      <c r="H120" s="738"/>
      <c r="I120" s="738"/>
      <c r="J120" s="738"/>
      <c r="K120" s="738"/>
      <c r="L120" s="738"/>
      <c r="M120" s="738"/>
    </row>
    <row r="121" spans="1:13" ht="15" customHeight="1" x14ac:dyDescent="0.2">
      <c r="A121" s="738"/>
      <c r="B121" s="738"/>
      <c r="C121" s="738"/>
      <c r="D121" s="738"/>
      <c r="E121" s="738"/>
      <c r="F121" s="738"/>
      <c r="G121" s="738"/>
      <c r="H121" s="738"/>
      <c r="I121" s="738"/>
      <c r="J121" s="738"/>
      <c r="K121" s="738"/>
      <c r="L121" s="738"/>
      <c r="M121" s="738"/>
    </row>
    <row r="122" spans="1:13" ht="15" customHeight="1" x14ac:dyDescent="0.2">
      <c r="A122" s="738"/>
      <c r="B122" s="738"/>
      <c r="C122" s="738"/>
      <c r="D122" s="738"/>
      <c r="E122" s="738"/>
      <c r="F122" s="738"/>
      <c r="G122" s="738"/>
      <c r="H122" s="738"/>
      <c r="I122" s="738"/>
      <c r="J122" s="738"/>
      <c r="K122" s="738"/>
      <c r="L122" s="738"/>
      <c r="M122" s="738"/>
    </row>
    <row r="123" spans="1:13" ht="15" customHeight="1" x14ac:dyDescent="0.2">
      <c r="A123" s="738"/>
      <c r="B123" s="738"/>
      <c r="C123" s="738"/>
      <c r="D123" s="738"/>
      <c r="E123" s="738"/>
      <c r="F123" s="738"/>
      <c r="G123" s="738"/>
      <c r="H123" s="738"/>
      <c r="I123" s="738"/>
      <c r="J123" s="738"/>
      <c r="K123" s="738"/>
      <c r="L123" s="738"/>
      <c r="M123" s="738"/>
    </row>
    <row r="124" spans="1:13" ht="15" customHeight="1" x14ac:dyDescent="0.2">
      <c r="A124" s="738"/>
      <c r="B124" s="738"/>
      <c r="C124" s="738"/>
      <c r="D124" s="738"/>
      <c r="E124" s="738"/>
      <c r="F124" s="738"/>
      <c r="G124" s="738"/>
      <c r="H124" s="738"/>
      <c r="I124" s="738"/>
      <c r="J124" s="738"/>
      <c r="K124" s="738"/>
      <c r="L124" s="738"/>
      <c r="M124" s="738"/>
    </row>
    <row r="125" spans="1:13" ht="15" customHeight="1" x14ac:dyDescent="0.2">
      <c r="A125" s="738"/>
      <c r="B125" s="738"/>
      <c r="C125" s="738"/>
      <c r="D125" s="738"/>
      <c r="E125" s="738"/>
      <c r="F125" s="738"/>
      <c r="G125" s="738"/>
      <c r="H125" s="738"/>
      <c r="I125" s="738"/>
      <c r="J125" s="738"/>
      <c r="K125" s="738"/>
      <c r="L125" s="738"/>
      <c r="M125" s="738"/>
    </row>
    <row r="126" spans="1:13" ht="15" customHeight="1" x14ac:dyDescent="0.2">
      <c r="A126" s="738"/>
      <c r="B126" s="738"/>
      <c r="C126" s="738"/>
      <c r="D126" s="738"/>
      <c r="E126" s="738"/>
      <c r="F126" s="738"/>
      <c r="G126" s="738"/>
      <c r="H126" s="738"/>
      <c r="I126" s="738"/>
      <c r="J126" s="738"/>
      <c r="K126" s="738"/>
      <c r="L126" s="738"/>
      <c r="M126" s="738"/>
    </row>
    <row r="127" spans="1:13" ht="15" customHeight="1" x14ac:dyDescent="0.2">
      <c r="A127" s="738"/>
      <c r="B127" s="738"/>
      <c r="C127" s="738"/>
      <c r="D127" s="738"/>
      <c r="E127" s="738"/>
      <c r="F127" s="738"/>
      <c r="G127" s="738"/>
      <c r="H127" s="738"/>
      <c r="I127" s="738"/>
      <c r="J127" s="738"/>
      <c r="K127" s="738"/>
      <c r="L127" s="738"/>
      <c r="M127" s="738"/>
    </row>
    <row r="128" spans="1:13" ht="15" customHeight="1" x14ac:dyDescent="0.2">
      <c r="A128" s="738"/>
      <c r="B128" s="738"/>
      <c r="C128" s="738"/>
      <c r="D128" s="738"/>
      <c r="E128" s="738"/>
      <c r="F128" s="738"/>
      <c r="G128" s="738"/>
      <c r="H128" s="738"/>
      <c r="I128" s="738"/>
      <c r="J128" s="738"/>
      <c r="K128" s="738"/>
      <c r="L128" s="738"/>
      <c r="M128" s="738"/>
    </row>
    <row r="129" spans="1:13" ht="15" customHeight="1" x14ac:dyDescent="0.2">
      <c r="A129" s="738"/>
      <c r="B129" s="738"/>
      <c r="C129" s="738"/>
      <c r="D129" s="738"/>
      <c r="E129" s="738"/>
      <c r="F129" s="738"/>
      <c r="G129" s="738"/>
      <c r="H129" s="738"/>
      <c r="I129" s="738"/>
      <c r="J129" s="738"/>
      <c r="K129" s="738"/>
      <c r="L129" s="738"/>
      <c r="M129" s="738"/>
    </row>
    <row r="130" spans="1:13" ht="15" customHeight="1" x14ac:dyDescent="0.2">
      <c r="A130" s="738"/>
      <c r="B130" s="738"/>
      <c r="C130" s="738"/>
      <c r="D130" s="738"/>
      <c r="E130" s="738"/>
      <c r="F130" s="738"/>
      <c r="G130" s="738"/>
      <c r="H130" s="738"/>
      <c r="I130" s="738"/>
      <c r="J130" s="738"/>
      <c r="K130" s="738"/>
      <c r="L130" s="738"/>
      <c r="M130" s="738"/>
    </row>
    <row r="131" spans="1:13" ht="15" customHeight="1" x14ac:dyDescent="0.2">
      <c r="A131" s="738"/>
      <c r="B131" s="738"/>
      <c r="C131" s="738"/>
      <c r="D131" s="738"/>
      <c r="E131" s="738"/>
      <c r="F131" s="738"/>
      <c r="G131" s="738"/>
      <c r="H131" s="738"/>
      <c r="I131" s="738"/>
      <c r="J131" s="738"/>
      <c r="K131" s="738"/>
      <c r="L131" s="738"/>
      <c r="M131" s="738"/>
    </row>
    <row r="132" spans="1:13" ht="15" customHeight="1" x14ac:dyDescent="0.2">
      <c r="A132" s="738"/>
      <c r="B132" s="738"/>
      <c r="C132" s="738"/>
      <c r="D132" s="738"/>
      <c r="E132" s="738"/>
      <c r="F132" s="738"/>
      <c r="G132" s="738"/>
      <c r="H132" s="738"/>
      <c r="I132" s="738"/>
      <c r="J132" s="738"/>
      <c r="K132" s="738"/>
      <c r="L132" s="738"/>
      <c r="M132" s="738"/>
    </row>
    <row r="133" spans="1:13" ht="15" customHeight="1" x14ac:dyDescent="0.2">
      <c r="A133" s="738"/>
      <c r="B133" s="738"/>
      <c r="C133" s="738"/>
      <c r="D133" s="738"/>
      <c r="E133" s="738"/>
      <c r="F133" s="738"/>
      <c r="G133" s="738"/>
      <c r="H133" s="738"/>
      <c r="I133" s="738"/>
      <c r="J133" s="738"/>
      <c r="K133" s="738"/>
      <c r="L133" s="738"/>
      <c r="M133" s="738"/>
    </row>
    <row r="134" spans="1:13" ht="15" customHeight="1" x14ac:dyDescent="0.2">
      <c r="A134" s="738"/>
      <c r="B134" s="738"/>
      <c r="C134" s="738"/>
      <c r="D134" s="738"/>
      <c r="E134" s="738"/>
      <c r="F134" s="738"/>
      <c r="G134" s="738"/>
      <c r="H134" s="738"/>
      <c r="I134" s="738"/>
      <c r="J134" s="738"/>
      <c r="K134" s="738"/>
      <c r="L134" s="738"/>
      <c r="M134" s="738"/>
    </row>
    <row r="135" spans="1:13" ht="15" customHeight="1" x14ac:dyDescent="0.2">
      <c r="A135" s="738"/>
      <c r="B135" s="738"/>
      <c r="C135" s="738"/>
      <c r="D135" s="738"/>
      <c r="E135" s="738"/>
      <c r="F135" s="738"/>
      <c r="G135" s="738"/>
      <c r="H135" s="738"/>
      <c r="I135" s="738"/>
      <c r="J135" s="738"/>
      <c r="K135" s="738"/>
      <c r="L135" s="738"/>
      <c r="M135" s="738"/>
    </row>
    <row r="136" spans="1:13" ht="15" customHeight="1" x14ac:dyDescent="0.2">
      <c r="A136" s="738"/>
      <c r="B136" s="738"/>
      <c r="C136" s="738"/>
      <c r="D136" s="738"/>
      <c r="E136" s="738"/>
      <c r="F136" s="738"/>
      <c r="G136" s="738"/>
      <c r="H136" s="738"/>
      <c r="I136" s="738"/>
      <c r="J136" s="738"/>
      <c r="K136" s="738"/>
      <c r="L136" s="738"/>
      <c r="M136" s="738"/>
    </row>
    <row r="137" spans="1:13" ht="15" customHeight="1" x14ac:dyDescent="0.2">
      <c r="A137" s="738"/>
      <c r="B137" s="738"/>
      <c r="C137" s="738"/>
      <c r="D137" s="738"/>
      <c r="E137" s="738"/>
      <c r="F137" s="738"/>
      <c r="G137" s="738"/>
      <c r="H137" s="738"/>
      <c r="I137" s="738"/>
      <c r="J137" s="738"/>
      <c r="K137" s="738"/>
      <c r="L137" s="738"/>
      <c r="M137" s="738"/>
    </row>
    <row r="138" spans="1:13" ht="15" customHeight="1" x14ac:dyDescent="0.2">
      <c r="A138" s="738"/>
      <c r="B138" s="738"/>
      <c r="C138" s="738"/>
      <c r="D138" s="738"/>
      <c r="E138" s="738"/>
      <c r="F138" s="738"/>
      <c r="G138" s="738"/>
      <c r="H138" s="738"/>
      <c r="I138" s="738"/>
      <c r="J138" s="738"/>
      <c r="K138" s="738"/>
      <c r="L138" s="738"/>
      <c r="M138" s="738"/>
    </row>
    <row r="139" spans="1:13" ht="15" customHeight="1" x14ac:dyDescent="0.2">
      <c r="A139" s="738"/>
      <c r="B139" s="738"/>
      <c r="C139" s="738"/>
      <c r="D139" s="738"/>
      <c r="E139" s="738"/>
      <c r="F139" s="738"/>
      <c r="G139" s="738"/>
      <c r="H139" s="738"/>
      <c r="I139" s="738"/>
      <c r="J139" s="738"/>
      <c r="K139" s="738"/>
      <c r="L139" s="738"/>
      <c r="M139" s="738"/>
    </row>
    <row r="140" spans="1:13" ht="15" customHeight="1" x14ac:dyDescent="0.2">
      <c r="A140" s="738"/>
      <c r="B140" s="738"/>
      <c r="C140" s="738"/>
      <c r="D140" s="738"/>
      <c r="E140" s="738"/>
      <c r="F140" s="738"/>
      <c r="G140" s="738"/>
      <c r="H140" s="738"/>
      <c r="I140" s="738"/>
      <c r="J140" s="738"/>
      <c r="K140" s="738"/>
      <c r="L140" s="738"/>
      <c r="M140" s="738"/>
    </row>
    <row r="141" spans="1:13" ht="15" customHeight="1" x14ac:dyDescent="0.2">
      <c r="A141" s="738"/>
      <c r="B141" s="738"/>
      <c r="C141" s="738"/>
      <c r="D141" s="738"/>
      <c r="E141" s="738"/>
      <c r="F141" s="738"/>
      <c r="G141" s="738"/>
      <c r="H141" s="738"/>
      <c r="I141" s="738"/>
      <c r="J141" s="738"/>
      <c r="K141" s="738"/>
      <c r="L141" s="738"/>
      <c r="M141" s="738"/>
    </row>
    <row r="142" spans="1:13" ht="15" customHeight="1" x14ac:dyDescent="0.2">
      <c r="A142" s="738"/>
      <c r="B142" s="738"/>
      <c r="C142" s="738"/>
      <c r="D142" s="738"/>
      <c r="E142" s="738"/>
      <c r="F142" s="738"/>
      <c r="G142" s="738"/>
      <c r="H142" s="738"/>
      <c r="I142" s="738"/>
      <c r="J142" s="738"/>
      <c r="K142" s="738"/>
      <c r="L142" s="738"/>
      <c r="M142" s="738"/>
    </row>
    <row r="143" spans="1:13" ht="15" customHeight="1" x14ac:dyDescent="0.2">
      <c r="A143" s="738"/>
      <c r="B143" s="738"/>
      <c r="C143" s="738"/>
      <c r="D143" s="738"/>
      <c r="E143" s="738"/>
      <c r="F143" s="738"/>
      <c r="G143" s="738"/>
      <c r="H143" s="738"/>
      <c r="I143" s="738"/>
      <c r="J143" s="738"/>
      <c r="K143" s="738"/>
      <c r="L143" s="738"/>
      <c r="M143" s="738"/>
    </row>
    <row r="144" spans="1:13" ht="15" customHeight="1" x14ac:dyDescent="0.2">
      <c r="A144" s="738"/>
      <c r="B144" s="738"/>
      <c r="C144" s="738"/>
      <c r="D144" s="738"/>
      <c r="E144" s="738"/>
      <c r="F144" s="738"/>
      <c r="G144" s="738"/>
      <c r="H144" s="738"/>
      <c r="I144" s="738"/>
      <c r="J144" s="738"/>
      <c r="K144" s="738"/>
      <c r="L144" s="738"/>
      <c r="M144" s="738"/>
    </row>
    <row r="145" spans="1:13" ht="15" customHeight="1" x14ac:dyDescent="0.2">
      <c r="A145" s="738"/>
      <c r="B145" s="738"/>
      <c r="C145" s="738"/>
      <c r="D145" s="738"/>
      <c r="E145" s="738"/>
      <c r="F145" s="738"/>
      <c r="G145" s="738"/>
      <c r="H145" s="738"/>
      <c r="I145" s="738"/>
      <c r="J145" s="738"/>
      <c r="K145" s="738"/>
      <c r="L145" s="738"/>
      <c r="M145" s="738"/>
    </row>
    <row r="146" spans="1:13" ht="15" x14ac:dyDescent="0.2">
      <c r="A146" s="738"/>
      <c r="B146" s="738"/>
      <c r="C146" s="738"/>
      <c r="D146" s="738"/>
      <c r="E146" s="738"/>
      <c r="F146" s="738"/>
      <c r="G146" s="738"/>
      <c r="H146" s="738"/>
      <c r="I146" s="738"/>
      <c r="J146" s="738"/>
      <c r="K146" s="738"/>
      <c r="L146" s="738"/>
      <c r="M146" s="738"/>
    </row>
    <row r="147" spans="1:13" ht="15" x14ac:dyDescent="0.2">
      <c r="A147" s="738"/>
      <c r="B147" s="738"/>
      <c r="C147" s="738"/>
      <c r="D147" s="738"/>
      <c r="E147" s="738"/>
      <c r="F147" s="738"/>
      <c r="G147" s="738"/>
      <c r="H147" s="738"/>
      <c r="I147" s="738"/>
      <c r="J147" s="738"/>
      <c r="K147" s="738"/>
      <c r="L147" s="738"/>
      <c r="M147" s="738"/>
    </row>
    <row r="148" spans="1:13" ht="15" x14ac:dyDescent="0.2">
      <c r="A148" s="738"/>
      <c r="B148" s="738"/>
      <c r="C148" s="738"/>
      <c r="D148" s="738"/>
      <c r="E148" s="738"/>
      <c r="F148" s="738"/>
      <c r="G148" s="738"/>
      <c r="H148" s="738"/>
      <c r="I148" s="738"/>
      <c r="J148" s="738"/>
      <c r="K148" s="738"/>
      <c r="L148" s="738"/>
      <c r="M148" s="738"/>
    </row>
    <row r="149" spans="1:13" ht="15" x14ac:dyDescent="0.2">
      <c r="A149" s="738"/>
      <c r="B149" s="738"/>
      <c r="C149" s="738"/>
      <c r="D149" s="738"/>
      <c r="E149" s="738"/>
      <c r="F149" s="738"/>
      <c r="G149" s="738"/>
      <c r="H149" s="738"/>
      <c r="I149" s="738"/>
      <c r="J149" s="738"/>
      <c r="K149" s="738"/>
      <c r="L149" s="738"/>
      <c r="M149" s="738"/>
    </row>
    <row r="150" spans="1:13" ht="15" x14ac:dyDescent="0.2">
      <c r="A150" s="738"/>
      <c r="B150" s="738"/>
      <c r="C150" s="738"/>
      <c r="D150" s="738"/>
      <c r="E150" s="738"/>
      <c r="F150" s="738"/>
      <c r="G150" s="738"/>
      <c r="H150" s="738"/>
      <c r="I150" s="738"/>
      <c r="J150" s="738"/>
      <c r="K150" s="738"/>
      <c r="L150" s="738"/>
      <c r="M150" s="738"/>
    </row>
    <row r="151" spans="1:13" ht="15" x14ac:dyDescent="0.2">
      <c r="A151" s="738"/>
      <c r="B151" s="738"/>
      <c r="C151" s="738"/>
      <c r="D151" s="738"/>
      <c r="E151" s="738"/>
      <c r="F151" s="738"/>
      <c r="G151" s="738"/>
      <c r="H151" s="738"/>
      <c r="I151" s="738"/>
      <c r="J151" s="738"/>
      <c r="K151" s="738"/>
      <c r="L151" s="738"/>
      <c r="M151" s="738"/>
    </row>
    <row r="152" spans="1:13" ht="15" x14ac:dyDescent="0.2">
      <c r="A152" s="738"/>
      <c r="B152" s="738"/>
      <c r="C152" s="738"/>
      <c r="D152" s="738"/>
      <c r="E152" s="738"/>
      <c r="F152" s="738"/>
      <c r="G152" s="738"/>
      <c r="H152" s="738"/>
      <c r="I152" s="738"/>
      <c r="J152" s="738"/>
      <c r="K152" s="738"/>
      <c r="L152" s="738"/>
      <c r="M152" s="738"/>
    </row>
    <row r="153" spans="1:13" ht="15" x14ac:dyDescent="0.2">
      <c r="A153" s="738"/>
      <c r="B153" s="738"/>
      <c r="C153" s="738"/>
      <c r="D153" s="738"/>
      <c r="E153" s="738"/>
      <c r="F153" s="738"/>
      <c r="G153" s="738"/>
      <c r="H153" s="738"/>
      <c r="I153" s="738"/>
      <c r="J153" s="738"/>
      <c r="K153" s="738"/>
      <c r="L153" s="738"/>
      <c r="M153" s="738"/>
    </row>
    <row r="154" spans="1:13" ht="15" x14ac:dyDescent="0.2">
      <c r="A154" s="738"/>
      <c r="B154" s="738"/>
      <c r="C154" s="738"/>
      <c r="D154" s="738"/>
      <c r="E154" s="738"/>
      <c r="F154" s="738"/>
      <c r="G154" s="738"/>
      <c r="H154" s="738"/>
      <c r="I154" s="738"/>
      <c r="J154" s="738"/>
      <c r="K154" s="738"/>
      <c r="L154" s="738"/>
      <c r="M154" s="738"/>
    </row>
    <row r="155" spans="1:13" ht="15" x14ac:dyDescent="0.2">
      <c r="A155" s="738"/>
      <c r="B155" s="738"/>
      <c r="C155" s="738"/>
      <c r="D155" s="738"/>
      <c r="E155" s="738"/>
      <c r="F155" s="738"/>
      <c r="G155" s="738"/>
      <c r="H155" s="738"/>
      <c r="I155" s="738"/>
      <c r="J155" s="738"/>
      <c r="K155" s="738"/>
      <c r="L155" s="738"/>
      <c r="M155" s="738"/>
    </row>
    <row r="156" spans="1:13" ht="15" x14ac:dyDescent="0.2">
      <c r="A156" s="738"/>
      <c r="B156" s="738"/>
      <c r="C156" s="738"/>
      <c r="D156" s="738"/>
      <c r="E156" s="738"/>
      <c r="F156" s="738"/>
      <c r="G156" s="738"/>
      <c r="H156" s="738"/>
      <c r="I156" s="738"/>
      <c r="J156" s="738"/>
      <c r="K156" s="738"/>
      <c r="L156" s="738"/>
      <c r="M156" s="738"/>
    </row>
    <row r="157" spans="1:13" ht="15" x14ac:dyDescent="0.2">
      <c r="A157" s="738"/>
      <c r="B157" s="738"/>
      <c r="C157" s="738"/>
      <c r="D157" s="738"/>
      <c r="E157" s="738"/>
      <c r="F157" s="738"/>
      <c r="G157" s="738"/>
      <c r="H157" s="738"/>
      <c r="I157" s="738"/>
      <c r="J157" s="738"/>
      <c r="K157" s="738"/>
      <c r="L157" s="738"/>
      <c r="M157" s="738"/>
    </row>
    <row r="158" spans="1:13" ht="15" x14ac:dyDescent="0.2">
      <c r="A158" s="738"/>
      <c r="B158" s="738"/>
      <c r="C158" s="738"/>
      <c r="D158" s="738"/>
      <c r="E158" s="738"/>
      <c r="F158" s="738"/>
      <c r="G158" s="738"/>
      <c r="H158" s="738"/>
      <c r="I158" s="738"/>
      <c r="J158" s="738"/>
      <c r="K158" s="738"/>
      <c r="L158" s="738"/>
      <c r="M158" s="738"/>
    </row>
    <row r="159" spans="1:13" ht="15" x14ac:dyDescent="0.2">
      <c r="A159" s="738"/>
      <c r="B159" s="738"/>
      <c r="C159" s="738"/>
      <c r="D159" s="738"/>
      <c r="E159" s="738"/>
      <c r="F159" s="738"/>
      <c r="G159" s="738"/>
      <c r="H159" s="738"/>
      <c r="I159" s="738"/>
      <c r="J159" s="738"/>
      <c r="K159" s="738"/>
      <c r="L159" s="738"/>
      <c r="M159" s="738"/>
    </row>
    <row r="160" spans="1:13" ht="15" x14ac:dyDescent="0.2">
      <c r="A160" s="738"/>
      <c r="B160" s="738"/>
      <c r="C160" s="738"/>
      <c r="D160" s="738"/>
      <c r="E160" s="738"/>
      <c r="F160" s="738"/>
      <c r="G160" s="738"/>
      <c r="H160" s="738"/>
      <c r="I160" s="738"/>
      <c r="J160" s="738"/>
      <c r="K160" s="738"/>
      <c r="L160" s="738"/>
      <c r="M160" s="738"/>
    </row>
    <row r="161" spans="1:13" ht="15" x14ac:dyDescent="0.2">
      <c r="A161" s="738"/>
      <c r="B161" s="738"/>
      <c r="C161" s="738"/>
      <c r="D161" s="738"/>
      <c r="E161" s="738"/>
      <c r="F161" s="738"/>
      <c r="G161" s="738"/>
      <c r="H161" s="738"/>
      <c r="I161" s="738"/>
      <c r="J161" s="738"/>
      <c r="K161" s="738"/>
      <c r="L161" s="738"/>
      <c r="M161" s="738"/>
    </row>
    <row r="162" spans="1:13" ht="15" x14ac:dyDescent="0.2">
      <c r="A162" s="738"/>
      <c r="B162" s="738"/>
      <c r="C162" s="738"/>
      <c r="D162" s="738"/>
      <c r="E162" s="738"/>
      <c r="F162" s="738"/>
      <c r="G162" s="738"/>
      <c r="H162" s="738"/>
      <c r="I162" s="738"/>
      <c r="J162" s="738"/>
      <c r="K162" s="738"/>
      <c r="L162" s="738"/>
      <c r="M162" s="738"/>
    </row>
    <row r="163" spans="1:13" ht="15" x14ac:dyDescent="0.2">
      <c r="A163" s="738"/>
      <c r="B163" s="738"/>
      <c r="C163" s="738"/>
      <c r="D163" s="738"/>
      <c r="E163" s="738"/>
      <c r="F163" s="738"/>
      <c r="G163" s="738"/>
      <c r="H163" s="738"/>
      <c r="I163" s="738"/>
      <c r="J163" s="738"/>
      <c r="K163" s="738"/>
      <c r="L163" s="738"/>
      <c r="M163" s="738"/>
    </row>
    <row r="164" spans="1:13" ht="15" x14ac:dyDescent="0.2">
      <c r="A164" s="738"/>
      <c r="B164" s="738"/>
      <c r="C164" s="738"/>
      <c r="D164" s="738"/>
      <c r="E164" s="738"/>
      <c r="F164" s="738"/>
      <c r="G164" s="738"/>
      <c r="H164" s="738"/>
      <c r="I164" s="738"/>
      <c r="J164" s="738"/>
      <c r="K164" s="738"/>
      <c r="L164" s="738"/>
      <c r="M164" s="738"/>
    </row>
    <row r="165" spans="1:13" ht="15" x14ac:dyDescent="0.2">
      <c r="A165" s="738"/>
      <c r="B165" s="738"/>
      <c r="C165" s="738"/>
      <c r="D165" s="738"/>
      <c r="E165" s="738"/>
      <c r="F165" s="738"/>
      <c r="G165" s="738"/>
      <c r="H165" s="738"/>
      <c r="I165" s="738"/>
      <c r="J165" s="738"/>
      <c r="K165" s="738"/>
      <c r="L165" s="738"/>
      <c r="M165" s="738"/>
    </row>
    <row r="166" spans="1:13" ht="15" x14ac:dyDescent="0.2">
      <c r="A166" s="738"/>
      <c r="B166" s="738"/>
      <c r="C166" s="738"/>
      <c r="D166" s="738"/>
      <c r="E166" s="738"/>
      <c r="F166" s="738"/>
      <c r="G166" s="738"/>
      <c r="H166" s="738"/>
      <c r="I166" s="738"/>
      <c r="J166" s="738"/>
      <c r="K166" s="738"/>
      <c r="L166" s="738"/>
      <c r="M166" s="738"/>
    </row>
  </sheetData>
  <sheetProtection algorithmName="SHA-512" hashValue="JUqXWoY6TfMwJcJZRIpj4XTx/kD653tqD0ZU19W3tCTLzgkTeXkvABgdnm1LQLe4OWBMuwZxM3r2l0BS1qgR3Q==" saltValue="44NWyfC5bFZqFS5yZgMG/Q==" spinCount="100000" sheet="1" objects="1" scenarios="1" autoFilter="0"/>
  <customSheetViews>
    <customSheetView guid="{B08879A4-635B-4C39-9937-AC7883D562FC}" showGridLines="0">
      <selection activeCell="B12" sqref="B12"/>
      <pageMargins left="0.75" right="0.5" top="0.5" bottom="0.5" header="0.5" footer="0.25"/>
      <pageSetup orientation="portrait" r:id="rId1"/>
      <headerFooter alignWithMargins="0">
        <oddFooter>&amp;R&amp;A</oddFooter>
      </headerFooter>
    </customSheetView>
    <customSheetView guid="{9FCFC836-1CA5-48BF-958D-24D2EA94B219}" showGridLines="0">
      <selection activeCell="B12" sqref="B12"/>
      <pageMargins left="0.75" right="0.5" top="0.5" bottom="0.5" header="0.5" footer="0.25"/>
      <pageSetup orientation="portrait" r:id="rId2"/>
      <headerFooter alignWithMargins="0">
        <oddFooter>&amp;R&amp;A</oddFooter>
      </headerFooter>
    </customSheetView>
  </customSheetViews>
  <mergeCells count="47">
    <mergeCell ref="C21:M21"/>
    <mergeCell ref="J7:M7"/>
    <mergeCell ref="C13:M13"/>
    <mergeCell ref="C17:M17"/>
    <mergeCell ref="C20:M20"/>
    <mergeCell ref="C10:M10"/>
    <mergeCell ref="C16:M16"/>
    <mergeCell ref="C18:M18"/>
    <mergeCell ref="C19:M19"/>
    <mergeCell ref="C11:M11"/>
    <mergeCell ref="C12:M12"/>
    <mergeCell ref="C14:M14"/>
    <mergeCell ref="C15:M15"/>
    <mergeCell ref="N1:N3"/>
    <mergeCell ref="J5:M5"/>
    <mergeCell ref="J6:M6"/>
    <mergeCell ref="A1:M1"/>
    <mergeCell ref="A2:M2"/>
    <mergeCell ref="A3:M3"/>
    <mergeCell ref="C30:M30"/>
    <mergeCell ref="C31:M31"/>
    <mergeCell ref="C34:M34"/>
    <mergeCell ref="C26:M26"/>
    <mergeCell ref="C27:M27"/>
    <mergeCell ref="C24:M24"/>
    <mergeCell ref="C22:M22"/>
    <mergeCell ref="C23:M23"/>
    <mergeCell ref="C28:M28"/>
    <mergeCell ref="C29:M29"/>
    <mergeCell ref="C25:M25"/>
    <mergeCell ref="C41:M41"/>
    <mergeCell ref="C42:M42"/>
    <mergeCell ref="C43:M43"/>
    <mergeCell ref="C32:M32"/>
    <mergeCell ref="C37:M37"/>
    <mergeCell ref="C38:M38"/>
    <mergeCell ref="C39:M39"/>
    <mergeCell ref="C36:M36"/>
    <mergeCell ref="C33:M33"/>
    <mergeCell ref="C35:M35"/>
    <mergeCell ref="C40:M40"/>
    <mergeCell ref="C48:M48"/>
    <mergeCell ref="C49:M49"/>
    <mergeCell ref="C44:M44"/>
    <mergeCell ref="C45:M45"/>
    <mergeCell ref="C46:M46"/>
    <mergeCell ref="C47:M47"/>
  </mergeCells>
  <phoneticPr fontId="15" type="noConversion"/>
  <conditionalFormatting sqref="N1:N3">
    <cfRule type="cellIs" dxfId="2"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B23" sqref="B23:M23"/>
    </sheetView>
  </sheetViews>
  <sheetFormatPr defaultColWidth="9.42578125" defaultRowHeight="11.25" x14ac:dyDescent="0.2"/>
  <cols>
    <col min="1" max="1" width="3" style="40" customWidth="1"/>
    <col min="2" max="2" width="11.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13.42578125" style="40" customWidth="1"/>
    <col min="12" max="12" width="2.42578125" style="40" customWidth="1"/>
    <col min="13" max="13" width="14.5703125" style="40" customWidth="1"/>
    <col min="14" max="14" width="4.5703125" style="40" customWidth="1"/>
    <col min="15" max="16384" width="9.42578125" style="40"/>
  </cols>
  <sheetData>
    <row r="1" spans="1:27" s="41" customFormat="1" ht="15" customHeight="1" x14ac:dyDescent="0.25">
      <c r="A1" s="2767" t="str">
        <f>+Index!$A$1</f>
        <v xml:space="preserve">                                                               Office of the State Controller                                                                </v>
      </c>
      <c r="B1" s="2767"/>
      <c r="C1" s="2767"/>
      <c r="D1" s="2767"/>
      <c r="E1" s="2767"/>
      <c r="F1" s="2767"/>
      <c r="G1" s="2767"/>
      <c r="H1" s="2767"/>
      <c r="I1" s="2767"/>
      <c r="J1" s="2767"/>
      <c r="K1" s="2767"/>
      <c r="L1" s="2767"/>
      <c r="M1" s="2767"/>
      <c r="N1" s="2768" t="str">
        <f>IF(Index!$B$113="na","NA","")</f>
        <v/>
      </c>
      <c r="AA1" s="42"/>
    </row>
    <row r="2" spans="1:27" s="41" customFormat="1" ht="15" customHeight="1" x14ac:dyDescent="0.25">
      <c r="A2" s="2808" t="str">
        <f>Index!A2</f>
        <v>2022 ACFR Worksheets</v>
      </c>
      <c r="B2" s="2808"/>
      <c r="C2" s="2808"/>
      <c r="D2" s="2808"/>
      <c r="E2" s="2808"/>
      <c r="F2" s="2808"/>
      <c r="G2" s="2808"/>
      <c r="H2" s="2808"/>
      <c r="I2" s="2808"/>
      <c r="J2" s="2808"/>
      <c r="K2" s="2808"/>
      <c r="L2" s="2808"/>
      <c r="M2" s="2808"/>
      <c r="N2" s="2768"/>
    </row>
    <row r="3" spans="1:27" s="41" customFormat="1" ht="15" customHeight="1" x14ac:dyDescent="0.25">
      <c r="A3" s="2808" t="s">
        <v>57</v>
      </c>
      <c r="B3" s="2808"/>
      <c r="C3" s="2808"/>
      <c r="D3" s="2808"/>
      <c r="E3" s="2808"/>
      <c r="F3" s="2808"/>
      <c r="G3" s="2808"/>
      <c r="H3" s="2808"/>
      <c r="I3" s="2808"/>
      <c r="J3" s="2808"/>
      <c r="K3" s="2808"/>
      <c r="L3" s="2808"/>
      <c r="M3" s="2808"/>
      <c r="N3" s="2768"/>
    </row>
    <row r="4" spans="1:27" s="132" customFormat="1" ht="15" customHeight="1" x14ac:dyDescent="0.2">
      <c r="H4" s="137"/>
    </row>
    <row r="5" spans="1:27" s="132" customFormat="1" ht="15" customHeight="1" x14ac:dyDescent="0.2">
      <c r="D5" s="137"/>
      <c r="I5" s="134" t="s">
        <v>327</v>
      </c>
      <c r="J5" s="3364" t="str">
        <f>+Index!$E$10</f>
        <v>01</v>
      </c>
      <c r="K5" s="3364"/>
      <c r="L5" s="3364"/>
      <c r="M5" s="3364"/>
    </row>
    <row r="6" spans="1:27" s="132" customFormat="1" ht="15" customHeight="1" x14ac:dyDescent="0.2">
      <c r="I6" s="134" t="s">
        <v>1154</v>
      </c>
      <c r="J6" s="3365" t="str">
        <f>+Index!$E$11</f>
        <v>North Carolina General Assembly</v>
      </c>
      <c r="K6" s="3365"/>
      <c r="L6" s="3365"/>
      <c r="M6" s="3365"/>
    </row>
    <row r="7" spans="1:27" s="132" customFormat="1" ht="15" customHeight="1" x14ac:dyDescent="0.2">
      <c r="A7" s="132" t="s">
        <v>477</v>
      </c>
      <c r="D7" s="135" t="s">
        <v>94</v>
      </c>
      <c r="I7" s="134" t="s">
        <v>972</v>
      </c>
      <c r="J7" s="3366" t="str">
        <f>CONCATENATE(Index!$E$12," ",Index!$E$14)</f>
        <v xml:space="preserve"> </v>
      </c>
      <c r="K7" s="3366"/>
      <c r="L7" s="3366"/>
      <c r="M7" s="3366"/>
    </row>
    <row r="8" spans="1:27" s="132" customFormat="1" ht="15" customHeight="1" thickBot="1" x14ac:dyDescent="0.25">
      <c r="A8" s="136"/>
      <c r="B8" s="136"/>
      <c r="C8" s="136"/>
      <c r="D8" s="136"/>
      <c r="E8" s="136"/>
      <c r="F8" s="136"/>
      <c r="G8" s="136"/>
      <c r="H8" s="136"/>
      <c r="I8" s="136"/>
      <c r="J8" s="136"/>
      <c r="K8" s="136"/>
      <c r="L8" s="136"/>
      <c r="M8" s="136"/>
    </row>
    <row r="9" spans="1:27" s="132" customFormat="1" ht="12.75" customHeight="1" x14ac:dyDescent="0.2"/>
    <row r="10" spans="1:27" s="132" customFormat="1" ht="12.75" customHeight="1" x14ac:dyDescent="0.2"/>
    <row r="11" spans="1:27" s="132" customFormat="1" ht="12.75" customHeight="1" x14ac:dyDescent="0.2">
      <c r="A11" s="3368" t="s">
        <v>471</v>
      </c>
      <c r="B11" s="3369"/>
      <c r="C11" s="3369"/>
      <c r="D11" s="3369"/>
      <c r="E11" s="3369"/>
      <c r="F11" s="3369"/>
      <c r="G11" s="3369"/>
      <c r="H11" s="3369"/>
      <c r="I11" s="3369"/>
      <c r="J11" s="3369"/>
      <c r="K11" s="3369"/>
      <c r="L11" s="3369"/>
      <c r="M11" s="3369"/>
      <c r="N11" s="3369"/>
    </row>
    <row r="12" spans="1:27" s="132" customFormat="1" ht="12.75" customHeight="1" x14ac:dyDescent="0.2">
      <c r="A12" s="3372" t="s">
        <v>472</v>
      </c>
      <c r="B12" s="3372"/>
      <c r="C12" s="3372"/>
      <c r="D12" s="3372"/>
      <c r="E12" s="3372"/>
      <c r="F12" s="3372"/>
      <c r="G12" s="3372"/>
      <c r="H12" s="3372"/>
      <c r="I12" s="3372"/>
      <c r="J12" s="3372"/>
      <c r="K12" s="3372"/>
      <c r="L12" s="3372"/>
      <c r="M12" s="3372"/>
      <c r="N12" s="278"/>
    </row>
    <row r="13" spans="1:27" s="132" customFormat="1" ht="12.75" customHeight="1" x14ac:dyDescent="0.2">
      <c r="A13" s="3372" t="s">
        <v>547</v>
      </c>
      <c r="B13" s="3372"/>
      <c r="C13" s="3372"/>
      <c r="D13" s="3372"/>
      <c r="E13" s="3372"/>
      <c r="F13" s="3372"/>
      <c r="G13" s="3372"/>
      <c r="H13" s="3372"/>
      <c r="I13" s="3372"/>
      <c r="J13" s="3372"/>
      <c r="K13" s="3372"/>
      <c r="L13" s="3372"/>
      <c r="M13" s="3372"/>
      <c r="N13" s="278"/>
    </row>
    <row r="14" spans="1:27" s="132" customFormat="1" ht="12.75" customHeight="1" x14ac:dyDescent="0.2">
      <c r="A14" s="3372" t="s">
        <v>120</v>
      </c>
      <c r="B14" s="3372"/>
      <c r="C14" s="3372"/>
      <c r="D14" s="3372"/>
      <c r="E14" s="3372"/>
      <c r="F14" s="3372"/>
      <c r="G14" s="3372"/>
      <c r="H14" s="3372"/>
      <c r="I14" s="3372"/>
      <c r="J14" s="3372"/>
      <c r="K14" s="3372"/>
      <c r="L14" s="3372"/>
      <c r="M14" s="3372"/>
      <c r="N14" s="278"/>
    </row>
    <row r="15" spans="1:27" s="132" customFormat="1" ht="12.75" customHeight="1" x14ac:dyDescent="0.2">
      <c r="A15" s="3372"/>
      <c r="B15" s="3372"/>
      <c r="C15" s="3372"/>
      <c r="D15" s="3372"/>
      <c r="E15" s="3372"/>
      <c r="F15" s="3372"/>
      <c r="G15" s="3372"/>
      <c r="H15" s="3372"/>
      <c r="I15" s="3372"/>
      <c r="J15" s="3372"/>
      <c r="K15" s="3372"/>
      <c r="L15" s="3372"/>
      <c r="M15" s="3372"/>
      <c r="N15" s="278"/>
    </row>
    <row r="16" spans="1:27" ht="15.75" customHeight="1" x14ac:dyDescent="0.2">
      <c r="B16" s="3371"/>
      <c r="C16" s="3371"/>
      <c r="D16" s="3371"/>
      <c r="E16" s="3371"/>
      <c r="F16" s="3371"/>
      <c r="G16" s="3371"/>
      <c r="H16" s="3371"/>
      <c r="I16" s="3371"/>
      <c r="J16" s="3371"/>
      <c r="K16" s="3371"/>
      <c r="L16" s="3371"/>
      <c r="M16" s="3371"/>
    </row>
    <row r="17" spans="2:13" ht="15.75" customHeight="1" x14ac:dyDescent="0.2">
      <c r="B17" s="3370"/>
      <c r="C17" s="3370"/>
      <c r="D17" s="3370"/>
      <c r="E17" s="3370"/>
      <c r="F17" s="3370"/>
      <c r="G17" s="3370"/>
      <c r="H17" s="3370"/>
      <c r="I17" s="3370"/>
      <c r="J17" s="3370"/>
      <c r="K17" s="3370"/>
      <c r="L17" s="3370"/>
      <c r="M17" s="3370"/>
    </row>
    <row r="18" spans="2:13" ht="15.75" customHeight="1" x14ac:dyDescent="0.2">
      <c r="B18" s="3370"/>
      <c r="C18" s="3370"/>
      <c r="D18" s="3370"/>
      <c r="E18" s="3370"/>
      <c r="F18" s="3370"/>
      <c r="G18" s="3370"/>
      <c r="H18" s="3370"/>
      <c r="I18" s="3370"/>
      <c r="J18" s="3370"/>
      <c r="K18" s="3370"/>
      <c r="L18" s="3370"/>
      <c r="M18" s="3370"/>
    </row>
    <row r="19" spans="2:13" ht="15.75" customHeight="1" x14ac:dyDescent="0.2">
      <c r="B19" s="3371"/>
      <c r="C19" s="3371"/>
      <c r="D19" s="3371"/>
      <c r="E19" s="3371"/>
      <c r="F19" s="3371"/>
      <c r="G19" s="3371"/>
      <c r="H19" s="3371"/>
      <c r="I19" s="3371"/>
      <c r="J19" s="3371"/>
      <c r="K19" s="3371"/>
      <c r="L19" s="3371"/>
      <c r="M19" s="3371"/>
    </row>
    <row r="20" spans="2:13" ht="15.75" customHeight="1" x14ac:dyDescent="0.2">
      <c r="B20" s="3370"/>
      <c r="C20" s="3370"/>
      <c r="D20" s="3370"/>
      <c r="E20" s="3370"/>
      <c r="F20" s="3370"/>
      <c r="G20" s="3370"/>
      <c r="H20" s="3370"/>
      <c r="I20" s="3370"/>
      <c r="J20" s="3370"/>
      <c r="K20" s="3370"/>
      <c r="L20" s="3370"/>
      <c r="M20" s="3370"/>
    </row>
    <row r="21" spans="2:13" ht="15.75" customHeight="1" x14ac:dyDescent="0.2">
      <c r="B21" s="3370"/>
      <c r="C21" s="3370"/>
      <c r="D21" s="3370"/>
      <c r="E21" s="3370"/>
      <c r="F21" s="3370"/>
      <c r="G21" s="3370"/>
      <c r="H21" s="3370"/>
      <c r="I21" s="3370"/>
      <c r="J21" s="3370"/>
      <c r="K21" s="3370"/>
      <c r="L21" s="3370"/>
      <c r="M21" s="3370"/>
    </row>
    <row r="22" spans="2:13" ht="15.75" customHeight="1" x14ac:dyDescent="0.2">
      <c r="B22" s="3371"/>
      <c r="C22" s="3371"/>
      <c r="D22" s="3371"/>
      <c r="E22" s="3371"/>
      <c r="F22" s="3371"/>
      <c r="G22" s="3371"/>
      <c r="H22" s="3371"/>
      <c r="I22" s="3371"/>
      <c r="J22" s="3371"/>
      <c r="K22" s="3371"/>
      <c r="L22" s="3371"/>
      <c r="M22" s="3371"/>
    </row>
    <row r="23" spans="2:13" ht="15.75" customHeight="1" x14ac:dyDescent="0.2">
      <c r="B23" s="3370"/>
      <c r="C23" s="3370"/>
      <c r="D23" s="3370"/>
      <c r="E23" s="3370"/>
      <c r="F23" s="3370"/>
      <c r="G23" s="3370"/>
      <c r="H23" s="3370"/>
      <c r="I23" s="3370"/>
      <c r="J23" s="3370"/>
      <c r="K23" s="3370"/>
      <c r="L23" s="3370"/>
      <c r="M23" s="3370"/>
    </row>
    <row r="24" spans="2:13" ht="15.75" customHeight="1" x14ac:dyDescent="0.2">
      <c r="B24" s="3370"/>
      <c r="C24" s="3370"/>
      <c r="D24" s="3370"/>
      <c r="E24" s="3370"/>
      <c r="F24" s="3370"/>
      <c r="G24" s="3370"/>
      <c r="H24" s="3370"/>
      <c r="I24" s="3370"/>
      <c r="J24" s="3370"/>
      <c r="K24" s="3370"/>
      <c r="L24" s="3370"/>
      <c r="M24" s="3370"/>
    </row>
    <row r="25" spans="2:13" ht="15.75" customHeight="1" x14ac:dyDescent="0.2">
      <c r="B25" s="3370"/>
      <c r="C25" s="3370"/>
      <c r="D25" s="3370"/>
      <c r="E25" s="3370"/>
      <c r="F25" s="3370"/>
      <c r="G25" s="3370"/>
      <c r="H25" s="3370"/>
      <c r="I25" s="3370"/>
      <c r="J25" s="3370"/>
      <c r="K25" s="3370"/>
      <c r="L25" s="3370"/>
      <c r="M25" s="3370"/>
    </row>
    <row r="26" spans="2:13" ht="15.75" customHeight="1" x14ac:dyDescent="0.2">
      <c r="B26" s="3370"/>
      <c r="C26" s="3370"/>
      <c r="D26" s="3370"/>
      <c r="E26" s="3370"/>
      <c r="F26" s="3370"/>
      <c r="G26" s="3370"/>
      <c r="H26" s="3370"/>
      <c r="I26" s="3370"/>
      <c r="J26" s="3370"/>
      <c r="K26" s="3370"/>
      <c r="L26" s="3370"/>
      <c r="M26" s="3370"/>
    </row>
    <row r="27" spans="2:13" ht="15.75" customHeight="1" x14ac:dyDescent="0.2">
      <c r="B27" s="3370"/>
      <c r="C27" s="3370"/>
      <c r="D27" s="3370"/>
      <c r="E27" s="3370"/>
      <c r="F27" s="3370"/>
      <c r="G27" s="3370"/>
      <c r="H27" s="3370"/>
      <c r="I27" s="3370"/>
      <c r="J27" s="3370"/>
      <c r="K27" s="3370"/>
      <c r="L27" s="3370"/>
      <c r="M27" s="3370"/>
    </row>
    <row r="28" spans="2:13" ht="15.75" customHeight="1" x14ac:dyDescent="0.2">
      <c r="B28" s="3370"/>
      <c r="C28" s="3370"/>
      <c r="D28" s="3370"/>
      <c r="E28" s="3370"/>
      <c r="F28" s="3370"/>
      <c r="G28" s="3370"/>
      <c r="H28" s="3370"/>
      <c r="I28" s="3370"/>
      <c r="J28" s="3370"/>
      <c r="K28" s="3370"/>
      <c r="L28" s="3370"/>
      <c r="M28" s="3370"/>
    </row>
    <row r="29" spans="2:13" ht="15.75" customHeight="1" x14ac:dyDescent="0.2">
      <c r="B29" s="3370"/>
      <c r="C29" s="3370"/>
      <c r="D29" s="3370"/>
      <c r="E29" s="3370"/>
      <c r="F29" s="3370"/>
      <c r="G29" s="3370"/>
      <c r="H29" s="3370"/>
      <c r="I29" s="3370"/>
      <c r="J29" s="3370"/>
      <c r="K29" s="3370"/>
      <c r="L29" s="3370"/>
      <c r="M29" s="3370"/>
    </row>
    <row r="30" spans="2:13" ht="15.75" customHeight="1" x14ac:dyDescent="0.2">
      <c r="B30" s="3370"/>
      <c r="C30" s="3370"/>
      <c r="D30" s="3370"/>
      <c r="E30" s="3370"/>
      <c r="F30" s="3370"/>
      <c r="G30" s="3370"/>
      <c r="H30" s="3370"/>
      <c r="I30" s="3370"/>
      <c r="J30" s="3370"/>
      <c r="K30" s="3370"/>
      <c r="L30" s="3370"/>
      <c r="M30" s="3370"/>
    </row>
    <row r="31" spans="2:13" ht="15.75" customHeight="1" x14ac:dyDescent="0.2">
      <c r="B31" s="3370"/>
      <c r="C31" s="3370"/>
      <c r="D31" s="3370"/>
      <c r="E31" s="3370"/>
      <c r="F31" s="3370"/>
      <c r="G31" s="3370"/>
      <c r="H31" s="3370"/>
      <c r="I31" s="3370"/>
      <c r="J31" s="3370"/>
      <c r="K31" s="3370"/>
      <c r="L31" s="3370"/>
      <c r="M31" s="3370"/>
    </row>
    <row r="32" spans="2:13" ht="15.75" customHeight="1" x14ac:dyDescent="0.2">
      <c r="B32" s="3370"/>
      <c r="C32" s="3370"/>
      <c r="D32" s="3370"/>
      <c r="E32" s="3370"/>
      <c r="F32" s="3370"/>
      <c r="G32" s="3370"/>
      <c r="H32" s="3370"/>
      <c r="I32" s="3370"/>
      <c r="J32" s="3370"/>
      <c r="K32" s="3370"/>
      <c r="L32" s="3370"/>
      <c r="M32" s="3370"/>
    </row>
    <row r="33" spans="2:13" ht="15.75" customHeight="1" x14ac:dyDescent="0.2">
      <c r="B33" s="3370"/>
      <c r="C33" s="3370"/>
      <c r="D33" s="3370"/>
      <c r="E33" s="3370"/>
      <c r="F33" s="3370"/>
      <c r="G33" s="3370"/>
      <c r="H33" s="3370"/>
      <c r="I33" s="3370"/>
      <c r="J33" s="3370"/>
      <c r="K33" s="3370"/>
      <c r="L33" s="3370"/>
      <c r="M33" s="3370"/>
    </row>
    <row r="34" spans="2:13" ht="15.75" customHeight="1" x14ac:dyDescent="0.2">
      <c r="B34" s="3370"/>
      <c r="C34" s="3370"/>
      <c r="D34" s="3370"/>
      <c r="E34" s="3370"/>
      <c r="F34" s="3370"/>
      <c r="G34" s="3370"/>
      <c r="H34" s="3370"/>
      <c r="I34" s="3370"/>
      <c r="J34" s="3370"/>
      <c r="K34" s="3370"/>
      <c r="L34" s="3370"/>
      <c r="M34" s="3370"/>
    </row>
    <row r="35" spans="2:13" ht="15.75" customHeight="1" x14ac:dyDescent="0.2">
      <c r="B35" s="3370"/>
      <c r="C35" s="3370"/>
      <c r="D35" s="3370"/>
      <c r="E35" s="3370"/>
      <c r="F35" s="3370"/>
      <c r="G35" s="3370"/>
      <c r="H35" s="3370"/>
      <c r="I35" s="3370"/>
      <c r="J35" s="3370"/>
      <c r="K35" s="3370"/>
      <c r="L35" s="3370"/>
      <c r="M35" s="3370"/>
    </row>
    <row r="36" spans="2:13" ht="15.75" customHeight="1" x14ac:dyDescent="0.2">
      <c r="B36" s="3370"/>
      <c r="C36" s="3370"/>
      <c r="D36" s="3370"/>
      <c r="E36" s="3370"/>
      <c r="F36" s="3370"/>
      <c r="G36" s="3370"/>
      <c r="H36" s="3370"/>
      <c r="I36" s="3370"/>
      <c r="J36" s="3370"/>
      <c r="K36" s="3370"/>
      <c r="L36" s="3370"/>
      <c r="M36" s="3370"/>
    </row>
    <row r="37" spans="2:13" ht="15.75" customHeight="1" x14ac:dyDescent="0.2">
      <c r="B37" s="3370"/>
      <c r="C37" s="3370"/>
      <c r="D37" s="3370"/>
      <c r="E37" s="3370"/>
      <c r="F37" s="3370"/>
      <c r="G37" s="3370"/>
      <c r="H37" s="3370"/>
      <c r="I37" s="3370"/>
      <c r="J37" s="3370"/>
      <c r="K37" s="3370"/>
      <c r="L37" s="3370"/>
      <c r="M37" s="3370"/>
    </row>
    <row r="38" spans="2:13" ht="15.75" customHeight="1" x14ac:dyDescent="0.2">
      <c r="B38" s="3370"/>
      <c r="C38" s="3370"/>
      <c r="D38" s="3370"/>
      <c r="E38" s="3370"/>
      <c r="F38" s="3370"/>
      <c r="G38" s="3370"/>
      <c r="H38" s="3370"/>
      <c r="I38" s="3370"/>
      <c r="J38" s="3370"/>
      <c r="K38" s="3370"/>
      <c r="L38" s="3370"/>
      <c r="M38" s="3370"/>
    </row>
    <row r="39" spans="2:13" ht="15.75" customHeight="1" x14ac:dyDescent="0.2">
      <c r="B39" s="3370"/>
      <c r="C39" s="3370"/>
      <c r="D39" s="3370"/>
      <c r="E39" s="3370"/>
      <c r="F39" s="3370"/>
      <c r="G39" s="3370"/>
      <c r="H39" s="3370"/>
      <c r="I39" s="3370"/>
      <c r="J39" s="3370"/>
      <c r="K39" s="3370"/>
      <c r="L39" s="3370"/>
      <c r="M39" s="3370"/>
    </row>
  </sheetData>
  <sheetProtection algorithmName="SHA-512" hashValue="urgn/13JREhVKIdQcTGzum4YrIGt1BuxPJGtc1vNV9qpR1Mys6BatHWym9hKgWGVKAhiHUOj8rvRm2M+Eb2Ddg==" saltValue="Qvbh824YuVXwyoVIvVkGVg==" spinCount="100000" sheet="1" objects="1" scenarios="1" autoFilter="0"/>
  <customSheetViews>
    <customSheetView guid="{B08879A4-635B-4C39-9937-AC7883D562FC}" showGridLines="0" fitToPage="1">
      <selection activeCell="A12" sqref="A12:M12"/>
      <pageMargins left="0.5" right="0.5" top="0.75" bottom="0.5" header="0.5" footer="0.25"/>
      <pageSetup orientation="portrait" r:id="rId1"/>
      <headerFooter alignWithMargins="0">
        <oddFooter>&amp;R&amp;A</oddFooter>
      </headerFooter>
    </customSheetView>
    <customSheetView guid="{1250FD07-FF56-4A9D-AF9E-C27124A7EBE9}" showGridLines="0" fitToPage="1" showRuler="0">
      <selection sqref="A1:M1"/>
      <pageMargins left="0.5" right="0.5" top="0.75" bottom="0.5" header="0.5" footer="0.25"/>
      <pageSetup orientation="portrait" r:id="rId2"/>
      <headerFooter alignWithMargins="0">
        <oddFooter>&amp;R&amp;A</oddFooter>
      </headerFooter>
    </customSheetView>
    <customSheetView guid="{BEA4BE86-04D1-4C96-9358-7A260B9D2B2D}" showGridLines="0" fitToPage="1" showRuler="0">
      <selection sqref="A1:M1"/>
      <pageMargins left="0.5" right="0.5" top="0.75" bottom="0.5" header="0.5" footer="0.25"/>
      <pageSetup orientation="portrait" r:id="rId3"/>
      <headerFooter alignWithMargins="0">
        <oddFooter>&amp;R&amp;A</oddFooter>
      </headerFooter>
    </customSheetView>
    <customSheetView guid="{9FCFC836-1CA5-48BF-958D-24D2EA94B219}" showGridLines="0" fitToPage="1">
      <selection activeCell="A12" sqref="A12:M12"/>
      <pageMargins left="0.5" right="0.5" top="0.75" bottom="0.5" header="0.5" footer="0.25"/>
      <pageSetup orientation="portrait" r:id="rId4"/>
      <headerFooter alignWithMargins="0">
        <oddFooter>&amp;R&amp;A</oddFooter>
      </headerFooter>
    </customSheetView>
  </customSheetViews>
  <mergeCells count="36">
    <mergeCell ref="B38:M38"/>
    <mergeCell ref="B39:M39"/>
    <mergeCell ref="B33:M33"/>
    <mergeCell ref="B34:M34"/>
    <mergeCell ref="B35:M35"/>
    <mergeCell ref="B36:M36"/>
    <mergeCell ref="B37:M37"/>
    <mergeCell ref="B32:M32"/>
    <mergeCell ref="B28:M28"/>
    <mergeCell ref="B29:M29"/>
    <mergeCell ref="B30:M30"/>
    <mergeCell ref="B31:M31"/>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N1:N3"/>
    <mergeCell ref="J5:M5"/>
    <mergeCell ref="J6:M6"/>
    <mergeCell ref="A11:N11"/>
    <mergeCell ref="A1:M1"/>
    <mergeCell ref="A2:M2"/>
    <mergeCell ref="A3:M3"/>
    <mergeCell ref="J7:M7"/>
  </mergeCells>
  <phoneticPr fontId="15" type="noConversion"/>
  <conditionalFormatting sqref="N1:N3">
    <cfRule type="cellIs" dxfId="1"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D200"/>
  <sheetViews>
    <sheetView zoomScaleNormal="100" workbookViewId="0">
      <selection activeCell="D143" sqref="D143"/>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1055"/>
      <c r="C1" s="1209" t="s">
        <v>1007</v>
      </c>
      <c r="D1" s="1054"/>
    </row>
    <row r="2" spans="1:4" ht="31.5" x14ac:dyDescent="0.25">
      <c r="B2" s="1056" t="s">
        <v>1466</v>
      </c>
      <c r="C2" s="1057" t="s">
        <v>5341</v>
      </c>
      <c r="D2" s="1058" t="s">
        <v>1467</v>
      </c>
    </row>
    <row r="3" spans="1:4" ht="15.75" x14ac:dyDescent="0.25">
      <c r="A3" t="str">
        <f>CONCATENATE(B3," ",C3)</f>
        <v>01 North Carolina General Assembly</v>
      </c>
      <c r="B3" s="391" t="s">
        <v>3640</v>
      </c>
      <c r="C3" s="390" t="s">
        <v>237</v>
      </c>
      <c r="D3" s="390" t="s">
        <v>925</v>
      </c>
    </row>
    <row r="4" spans="1:4" ht="15.75" x14ac:dyDescent="0.25">
      <c r="A4" t="str">
        <f t="shared" ref="A4:A65" si="0">CONCATENATE(B4," ",C4)</f>
        <v>02 Administrative Office of the Courts</v>
      </c>
      <c r="B4" s="391" t="s">
        <v>3641</v>
      </c>
      <c r="C4" s="390" t="s">
        <v>1178</v>
      </c>
      <c r="D4" s="390" t="s">
        <v>925</v>
      </c>
    </row>
    <row r="5" spans="1:4" ht="15.75" x14ac:dyDescent="0.25">
      <c r="A5" t="str">
        <f t="shared" si="0"/>
        <v>03 Office of the Governor</v>
      </c>
      <c r="B5" s="391" t="s">
        <v>1055</v>
      </c>
      <c r="C5" s="390" t="s">
        <v>1179</v>
      </c>
      <c r="D5" s="390" t="s">
        <v>925</v>
      </c>
    </row>
    <row r="6" spans="1:4" ht="15.75" x14ac:dyDescent="0.25">
      <c r="A6" t="str">
        <f t="shared" si="0"/>
        <v>04 Office of Lieutenant Governor</v>
      </c>
      <c r="B6" s="391" t="s">
        <v>3642</v>
      </c>
      <c r="C6" s="390" t="s">
        <v>1180</v>
      </c>
      <c r="D6" s="390" t="s">
        <v>925</v>
      </c>
    </row>
    <row r="7" spans="1:4" ht="15.75" x14ac:dyDescent="0.25">
      <c r="A7" t="str">
        <f t="shared" si="0"/>
        <v>05 Office of the Secretary of State</v>
      </c>
      <c r="B7" s="391" t="s">
        <v>3643</v>
      </c>
      <c r="C7" s="390" t="s">
        <v>238</v>
      </c>
      <c r="D7" s="390" t="s">
        <v>925</v>
      </c>
    </row>
    <row r="8" spans="1:4" ht="15.75" x14ac:dyDescent="0.25">
      <c r="A8" t="str">
        <f t="shared" si="0"/>
        <v>06 Office of the State Auditor</v>
      </c>
      <c r="B8" s="391" t="s">
        <v>3644</v>
      </c>
      <c r="C8" s="390" t="s">
        <v>217</v>
      </c>
      <c r="D8" s="390" t="s">
        <v>925</v>
      </c>
    </row>
    <row r="9" spans="1:4" ht="15.75" x14ac:dyDescent="0.25">
      <c r="A9" t="str">
        <f t="shared" si="0"/>
        <v xml:space="preserve">07 Department of the State Treasurer </v>
      </c>
      <c r="B9" s="391" t="s">
        <v>3645</v>
      </c>
      <c r="C9" s="390" t="s">
        <v>56</v>
      </c>
      <c r="D9" s="390" t="s">
        <v>925</v>
      </c>
    </row>
    <row r="10" spans="1:4" s="2132" customFormat="1" ht="15.75" x14ac:dyDescent="0.25">
      <c r="A10" s="2132" t="str">
        <f>CONCATENATE(B10," ",C10)</f>
        <v>07 Dept. State Treasurer - State Health Plan</v>
      </c>
      <c r="B10" s="391" t="s">
        <v>3645</v>
      </c>
      <c r="C10" s="841" t="s">
        <v>4739</v>
      </c>
      <c r="D10" s="841" t="s">
        <v>4486</v>
      </c>
    </row>
    <row r="11" spans="1:4" ht="15.75" x14ac:dyDescent="0.25">
      <c r="A11" t="str">
        <f t="shared" si="0"/>
        <v xml:space="preserve">08 Department of Public Instruction </v>
      </c>
      <c r="B11" s="391" t="s">
        <v>3646</v>
      </c>
      <c r="C11" s="390" t="s">
        <v>749</v>
      </c>
      <c r="D11" s="390" t="s">
        <v>925</v>
      </c>
    </row>
    <row r="12" spans="1:4" ht="15.75" x14ac:dyDescent="0.25">
      <c r="A12" t="str">
        <f t="shared" si="0"/>
        <v xml:space="preserve">09 Department of Justice </v>
      </c>
      <c r="B12" s="391" t="s">
        <v>3647</v>
      </c>
      <c r="C12" s="390" t="s">
        <v>305</v>
      </c>
      <c r="D12" s="390" t="s">
        <v>925</v>
      </c>
    </row>
    <row r="13" spans="1:4" ht="15.75" x14ac:dyDescent="0.25">
      <c r="A13" t="str">
        <f t="shared" si="0"/>
        <v>10 Department of Agriculture</v>
      </c>
      <c r="B13" s="391" t="s">
        <v>3648</v>
      </c>
      <c r="C13" s="390" t="s">
        <v>306</v>
      </c>
      <c r="D13" s="390" t="s">
        <v>925</v>
      </c>
    </row>
    <row r="14" spans="1:4" ht="15.75" x14ac:dyDescent="0.25">
      <c r="A14" t="str">
        <f t="shared" si="0"/>
        <v>11 Department of Labor</v>
      </c>
      <c r="B14" s="391" t="s">
        <v>3649</v>
      </c>
      <c r="C14" s="390" t="s">
        <v>307</v>
      </c>
      <c r="D14" s="390" t="s">
        <v>925</v>
      </c>
    </row>
    <row r="15" spans="1:4" ht="15.75" x14ac:dyDescent="0.25">
      <c r="A15" t="str">
        <f t="shared" si="0"/>
        <v xml:space="preserve">12 Department of Insurance </v>
      </c>
      <c r="B15" s="391" t="s">
        <v>3650</v>
      </c>
      <c r="C15" s="390" t="s">
        <v>308</v>
      </c>
      <c r="D15" s="390" t="s">
        <v>925</v>
      </c>
    </row>
    <row r="16" spans="1:4" ht="15.75" x14ac:dyDescent="0.25">
      <c r="A16" t="str">
        <f t="shared" si="0"/>
        <v xml:space="preserve">13 Department of Administration </v>
      </c>
      <c r="B16" s="391" t="s">
        <v>932</v>
      </c>
      <c r="C16" s="390" t="s">
        <v>185</v>
      </c>
      <c r="D16" s="390" t="s">
        <v>925</v>
      </c>
    </row>
    <row r="17" spans="1:4" ht="15.75" x14ac:dyDescent="0.25">
      <c r="A17" t="str">
        <f t="shared" si="0"/>
        <v xml:space="preserve">14 Office of the State Controller </v>
      </c>
      <c r="B17" s="391" t="s">
        <v>3651</v>
      </c>
      <c r="C17" s="390" t="s">
        <v>186</v>
      </c>
      <c r="D17" s="390" t="s">
        <v>925</v>
      </c>
    </row>
    <row r="18" spans="1:4" ht="15.75" x14ac:dyDescent="0.25">
      <c r="A18" t="str">
        <f t="shared" si="0"/>
        <v>15 Department of Transportation</v>
      </c>
      <c r="B18" s="391" t="s">
        <v>3652</v>
      </c>
      <c r="C18" s="390" t="s">
        <v>144</v>
      </c>
      <c r="D18" s="390" t="s">
        <v>925</v>
      </c>
    </row>
    <row r="19" spans="1:4" ht="15.75" x14ac:dyDescent="0.25">
      <c r="A19" t="str">
        <f t="shared" si="0"/>
        <v>16 Department of Environmental Quality</v>
      </c>
      <c r="B19" s="391" t="s">
        <v>3653</v>
      </c>
      <c r="C19" s="841" t="s">
        <v>4053</v>
      </c>
      <c r="D19" s="390" t="s">
        <v>925</v>
      </c>
    </row>
    <row r="20" spans="1:4" ht="15.75" x14ac:dyDescent="0.25">
      <c r="A20" t="str">
        <f t="shared" si="0"/>
        <v>17 Wildlife Resources Commission</v>
      </c>
      <c r="B20" s="391" t="s">
        <v>3654</v>
      </c>
      <c r="C20" s="390" t="s">
        <v>1017</v>
      </c>
      <c r="D20" s="390" t="s">
        <v>925</v>
      </c>
    </row>
    <row r="21" spans="1:4" ht="15.75" x14ac:dyDescent="0.25">
      <c r="A21" t="str">
        <f t="shared" si="0"/>
        <v>19 Dept. of Public Safety</v>
      </c>
      <c r="B21" s="391" t="s">
        <v>1782</v>
      </c>
      <c r="C21" s="841" t="s">
        <v>1783</v>
      </c>
      <c r="D21" s="390" t="s">
        <v>925</v>
      </c>
    </row>
    <row r="22" spans="1:4" ht="15.75" x14ac:dyDescent="0.25">
      <c r="A22" t="str">
        <f t="shared" si="0"/>
        <v>2X Dept. of Health and Human Services</v>
      </c>
      <c r="B22" s="391" t="s">
        <v>1018</v>
      </c>
      <c r="C22" s="390" t="s">
        <v>565</v>
      </c>
      <c r="D22" s="390" t="s">
        <v>925</v>
      </c>
    </row>
    <row r="23" spans="1:4" ht="15.75" x14ac:dyDescent="0.25">
      <c r="A23" t="str">
        <f t="shared" si="0"/>
        <v>3X DHHS - Mental Health</v>
      </c>
      <c r="B23" s="391" t="s">
        <v>432</v>
      </c>
      <c r="C23" s="390" t="s">
        <v>1019</v>
      </c>
      <c r="D23" s="390" t="s">
        <v>925</v>
      </c>
    </row>
    <row r="24" spans="1:4" ht="15.75" x14ac:dyDescent="0.25">
      <c r="A24" t="str">
        <f t="shared" si="0"/>
        <v>40 Department of Military &amp; Veterans Affairs</v>
      </c>
      <c r="B24" s="391" t="s">
        <v>4195</v>
      </c>
      <c r="C24" s="841" t="s">
        <v>4051</v>
      </c>
      <c r="D24" s="390" t="s">
        <v>925</v>
      </c>
    </row>
    <row r="25" spans="1:4" ht="15.75" x14ac:dyDescent="0.25">
      <c r="A25" t="str">
        <f t="shared" si="0"/>
        <v>41 Department of Information Technology</v>
      </c>
      <c r="B25" s="391" t="s">
        <v>559</v>
      </c>
      <c r="C25" s="841" t="s">
        <v>4052</v>
      </c>
      <c r="D25" s="390" t="s">
        <v>925</v>
      </c>
    </row>
    <row r="26" spans="1:4" ht="15.75" x14ac:dyDescent="0.25">
      <c r="A26" t="str">
        <f t="shared" si="0"/>
        <v>43 Department of Commerce</v>
      </c>
      <c r="B26" s="391" t="s">
        <v>3655</v>
      </c>
      <c r="C26" s="390" t="s">
        <v>433</v>
      </c>
      <c r="D26" s="390" t="s">
        <v>925</v>
      </c>
    </row>
    <row r="27" spans="1:4" ht="15.75" x14ac:dyDescent="0.25">
      <c r="A27" t="str">
        <f t="shared" si="0"/>
        <v>45 Department of Revenue</v>
      </c>
      <c r="B27" s="391" t="s">
        <v>3656</v>
      </c>
      <c r="C27" s="390" t="s">
        <v>434</v>
      </c>
      <c r="D27" s="390" t="s">
        <v>925</v>
      </c>
    </row>
    <row r="28" spans="1:4" ht="15.75" x14ac:dyDescent="0.25">
      <c r="A28" t="str">
        <f t="shared" si="0"/>
        <v>46 Department of Natural and Cultural Resources</v>
      </c>
      <c r="B28" s="391" t="s">
        <v>3657</v>
      </c>
      <c r="C28" s="841" t="s">
        <v>4054</v>
      </c>
      <c r="D28" s="390" t="s">
        <v>925</v>
      </c>
    </row>
    <row r="29" spans="1:4" ht="15.75" x14ac:dyDescent="0.25">
      <c r="A29" t="str">
        <f t="shared" si="0"/>
        <v>48X UNC Hlth Care Rep Unit (Combined Pkg)</v>
      </c>
      <c r="B29" s="391" t="s">
        <v>1461</v>
      </c>
      <c r="C29" s="976" t="s">
        <v>1475</v>
      </c>
      <c r="D29" s="841" t="s">
        <v>821</v>
      </c>
    </row>
    <row r="30" spans="1:4" ht="15.75" x14ac:dyDescent="0.25">
      <c r="A30" t="str">
        <f t="shared" si="0"/>
        <v>48 UNC Hospitals</v>
      </c>
      <c r="B30" s="391" t="s">
        <v>1473</v>
      </c>
      <c r="C30" s="390" t="s">
        <v>678</v>
      </c>
      <c r="D30" s="390" t="s">
        <v>821</v>
      </c>
    </row>
    <row r="31" spans="1:4" ht="15.75" x14ac:dyDescent="0.25">
      <c r="A31" t="str">
        <f t="shared" si="0"/>
        <v>48E UNC Hospitals - Enterprise Fund</v>
      </c>
      <c r="B31" s="391" t="s">
        <v>896</v>
      </c>
      <c r="C31" s="390" t="s">
        <v>897</v>
      </c>
      <c r="D31" s="390" t="s">
        <v>821</v>
      </c>
    </row>
    <row r="32" spans="1:4" ht="15.75" x14ac:dyDescent="0.25">
      <c r="A32" t="str">
        <f t="shared" si="0"/>
        <v>48L UNC Hospitals - LITF</v>
      </c>
      <c r="B32" s="391" t="s">
        <v>169</v>
      </c>
      <c r="C32" s="390" t="s">
        <v>170</v>
      </c>
      <c r="D32" s="390" t="s">
        <v>821</v>
      </c>
    </row>
    <row r="33" spans="1:4" ht="15.75" x14ac:dyDescent="0.25">
      <c r="A33" t="str">
        <f t="shared" si="0"/>
        <v>48R Rex Healthcare</v>
      </c>
      <c r="B33" s="391" t="s">
        <v>168</v>
      </c>
      <c r="C33" s="390" t="s">
        <v>573</v>
      </c>
      <c r="D33" s="390" t="s">
        <v>821</v>
      </c>
    </row>
    <row r="34" spans="1:4" ht="15.75" x14ac:dyDescent="0.25">
      <c r="A34" t="str">
        <f t="shared" si="0"/>
        <v>48C Chatham Hospital</v>
      </c>
      <c r="B34" s="391" t="s">
        <v>1304</v>
      </c>
      <c r="C34" s="841" t="s">
        <v>1310</v>
      </c>
      <c r="D34" s="390" t="s">
        <v>821</v>
      </c>
    </row>
    <row r="35" spans="1:4" ht="15.75" x14ac:dyDescent="0.25">
      <c r="A35" t="str">
        <f t="shared" si="0"/>
        <v>48T UNC Physicians Network</v>
      </c>
      <c r="B35" s="391" t="s">
        <v>1399</v>
      </c>
      <c r="C35" s="390" t="s">
        <v>4301</v>
      </c>
      <c r="D35" s="390" t="s">
        <v>821</v>
      </c>
    </row>
    <row r="36" spans="1:4" ht="15.75" x14ac:dyDescent="0.25">
      <c r="A36" t="str">
        <f t="shared" si="0"/>
        <v>48RH UNC Rockingham Health Care</v>
      </c>
      <c r="B36" s="1967" t="s">
        <v>4590</v>
      </c>
      <c r="C36" s="841" t="s">
        <v>4593</v>
      </c>
      <c r="D36" s="390" t="s">
        <v>821</v>
      </c>
    </row>
    <row r="37" spans="1:4" ht="15.75" x14ac:dyDescent="0.25">
      <c r="A37" t="str">
        <f t="shared" si="0"/>
        <v>48CW Caldwell Memorial Hospital</v>
      </c>
      <c r="B37" s="391" t="s">
        <v>3525</v>
      </c>
      <c r="C37" s="390" t="s">
        <v>3526</v>
      </c>
      <c r="D37" s="390" t="s">
        <v>821</v>
      </c>
    </row>
    <row r="38" spans="1:4" ht="15.75" x14ac:dyDescent="0.25">
      <c r="A38" t="str">
        <f t="shared" si="0"/>
        <v>50 Community College System Office</v>
      </c>
      <c r="B38" s="391" t="s">
        <v>3658</v>
      </c>
      <c r="C38" s="390" t="s">
        <v>47</v>
      </c>
      <c r="D38" s="390" t="s">
        <v>925</v>
      </c>
    </row>
    <row r="39" spans="1:4" ht="15.75" x14ac:dyDescent="0.25">
      <c r="A39" t="str">
        <f t="shared" si="0"/>
        <v>60 State Board of Elections</v>
      </c>
      <c r="B39" s="391" t="s">
        <v>3659</v>
      </c>
      <c r="C39" s="390" t="s">
        <v>48</v>
      </c>
      <c r="D39" s="390" t="s">
        <v>925</v>
      </c>
    </row>
    <row r="40" spans="1:4" ht="15.75" x14ac:dyDescent="0.25">
      <c r="A40" t="str">
        <f t="shared" si="0"/>
        <v>61 NC Education Lottery</v>
      </c>
      <c r="B40" s="391" t="s">
        <v>908</v>
      </c>
      <c r="C40" s="390" t="s">
        <v>574</v>
      </c>
      <c r="D40" s="390" t="s">
        <v>925</v>
      </c>
    </row>
    <row r="41" spans="1:4" ht="15.75" x14ac:dyDescent="0.25">
      <c r="A41" t="str">
        <f t="shared" si="0"/>
        <v>67 Office of Administrative Hearings</v>
      </c>
      <c r="B41" s="391" t="s">
        <v>3660</v>
      </c>
      <c r="C41" s="390" t="s">
        <v>190</v>
      </c>
      <c r="D41" s="390" t="s">
        <v>925</v>
      </c>
    </row>
    <row r="42" spans="1:4" ht="15.75" x14ac:dyDescent="0.25">
      <c r="A42" t="str">
        <f t="shared" si="0"/>
        <v>69 USS North Carolina Battleship Comm.</v>
      </c>
      <c r="B42" s="391" t="s">
        <v>399</v>
      </c>
      <c r="C42" s="390" t="s">
        <v>724</v>
      </c>
      <c r="D42" s="390" t="s">
        <v>925</v>
      </c>
    </row>
    <row r="43" spans="1:4" ht="15.75" x14ac:dyDescent="0.25">
      <c r="A43" t="str">
        <f t="shared" si="0"/>
        <v>6BC Deferred Comp &amp; NC 401(k)-Combined Pkg</v>
      </c>
      <c r="B43" s="391" t="s">
        <v>1964</v>
      </c>
      <c r="C43" s="976" t="s">
        <v>1939</v>
      </c>
      <c r="D43" s="390" t="s">
        <v>925</v>
      </c>
    </row>
    <row r="44" spans="1:4" ht="15.75" x14ac:dyDescent="0.25">
      <c r="A44" t="str">
        <f t="shared" si="0"/>
        <v>87 NC School of Science &amp; Mathematics</v>
      </c>
      <c r="B44" s="391" t="s">
        <v>1472</v>
      </c>
      <c r="C44" s="841" t="s">
        <v>1286</v>
      </c>
      <c r="D44" s="390" t="s">
        <v>821</v>
      </c>
    </row>
    <row r="45" spans="1:4" ht="15.75" x14ac:dyDescent="0.25">
      <c r="A45" t="str">
        <f t="shared" si="0"/>
        <v>90 General Fund - OSC</v>
      </c>
      <c r="B45" s="391" t="s">
        <v>1166</v>
      </c>
      <c r="C45" s="390" t="s">
        <v>1167</v>
      </c>
      <c r="D45" s="390" t="s">
        <v>925</v>
      </c>
    </row>
    <row r="46" spans="1:4" ht="15.75" x14ac:dyDescent="0.25">
      <c r="A46" t="str">
        <f t="shared" si="0"/>
        <v>99 General Fund - DOR</v>
      </c>
      <c r="B46" s="391" t="s">
        <v>1169</v>
      </c>
      <c r="C46" s="390" t="s">
        <v>1168</v>
      </c>
      <c r="D46" s="390" t="s">
        <v>925</v>
      </c>
    </row>
    <row r="47" spans="1:4" ht="15.75" x14ac:dyDescent="0.25">
      <c r="A47" t="str">
        <f t="shared" si="0"/>
        <v>RX OSC-Central Accounts</v>
      </c>
      <c r="B47" s="391" t="s">
        <v>49</v>
      </c>
      <c r="C47" s="390" t="s">
        <v>502</v>
      </c>
      <c r="D47" s="390" t="s">
        <v>925</v>
      </c>
    </row>
    <row r="48" spans="1:4" ht="15.75" x14ac:dyDescent="0.25">
      <c r="A48" t="str">
        <f t="shared" si="0"/>
        <v>U10 UNC-System Office</v>
      </c>
      <c r="B48" s="391" t="s">
        <v>401</v>
      </c>
      <c r="C48" s="841" t="s">
        <v>4622</v>
      </c>
      <c r="D48" s="390" t="s">
        <v>821</v>
      </c>
    </row>
    <row r="49" spans="1:4" ht="15.75" x14ac:dyDescent="0.25">
      <c r="A49" t="str">
        <f t="shared" si="0"/>
        <v>U20 UNC at Chapel Hill</v>
      </c>
      <c r="B49" s="391" t="s">
        <v>402</v>
      </c>
      <c r="C49" s="390" t="s">
        <v>725</v>
      </c>
      <c r="D49" s="390" t="s">
        <v>821</v>
      </c>
    </row>
    <row r="50" spans="1:4" ht="15.75" x14ac:dyDescent="0.25">
      <c r="A50" t="str">
        <f t="shared" si="0"/>
        <v>U30 North Carolina State University</v>
      </c>
      <c r="B50" s="391" t="s">
        <v>403</v>
      </c>
      <c r="C50" s="390" t="s">
        <v>171</v>
      </c>
      <c r="D50" s="390" t="s">
        <v>821</v>
      </c>
    </row>
    <row r="51" spans="1:4" ht="15.75" x14ac:dyDescent="0.25">
      <c r="A51" t="str">
        <f t="shared" si="0"/>
        <v>U40 UNC at Greensboro</v>
      </c>
      <c r="B51" s="391" t="s">
        <v>404</v>
      </c>
      <c r="C51" s="390" t="s">
        <v>726</v>
      </c>
      <c r="D51" s="390" t="s">
        <v>821</v>
      </c>
    </row>
    <row r="52" spans="1:4" ht="15.75" x14ac:dyDescent="0.25">
      <c r="A52" t="str">
        <f t="shared" si="0"/>
        <v>U50 UNC at Charlotte</v>
      </c>
      <c r="B52" s="391" t="s">
        <v>405</v>
      </c>
      <c r="C52" s="390" t="s">
        <v>178</v>
      </c>
      <c r="D52" s="390" t="s">
        <v>821</v>
      </c>
    </row>
    <row r="53" spans="1:4" ht="15.75" x14ac:dyDescent="0.25">
      <c r="A53" t="str">
        <f t="shared" si="0"/>
        <v>U55 UNC at Asheville</v>
      </c>
      <c r="B53" s="391" t="s">
        <v>406</v>
      </c>
      <c r="C53" s="390" t="s">
        <v>179</v>
      </c>
      <c r="D53" s="390" t="s">
        <v>821</v>
      </c>
    </row>
    <row r="54" spans="1:4" ht="15.75" x14ac:dyDescent="0.25">
      <c r="A54" t="str">
        <f t="shared" si="0"/>
        <v>U60 UNC at Wilmington</v>
      </c>
      <c r="B54" s="391" t="s">
        <v>64</v>
      </c>
      <c r="C54" s="390" t="s">
        <v>180</v>
      </c>
      <c r="D54" s="390" t="s">
        <v>821</v>
      </c>
    </row>
    <row r="55" spans="1:4" ht="15.75" x14ac:dyDescent="0.25">
      <c r="A55" t="str">
        <f t="shared" si="0"/>
        <v>U65 East Carolina University</v>
      </c>
      <c r="B55" s="391" t="s">
        <v>65</v>
      </c>
      <c r="C55" s="390" t="s">
        <v>6</v>
      </c>
      <c r="D55" s="390" t="s">
        <v>821</v>
      </c>
    </row>
    <row r="56" spans="1:4" ht="15.75" x14ac:dyDescent="0.25">
      <c r="A56" t="str">
        <f t="shared" si="0"/>
        <v>U70 North Carolina A&amp;T University</v>
      </c>
      <c r="B56" s="391" t="s">
        <v>66</v>
      </c>
      <c r="C56" s="841" t="s">
        <v>1285</v>
      </c>
      <c r="D56" s="390" t="s">
        <v>821</v>
      </c>
    </row>
    <row r="57" spans="1:4" ht="15.75" x14ac:dyDescent="0.25">
      <c r="A57" t="str">
        <f t="shared" si="0"/>
        <v>U75 Western Carolina University</v>
      </c>
      <c r="B57" s="391" t="s">
        <v>67</v>
      </c>
      <c r="C57" s="390" t="s">
        <v>173</v>
      </c>
      <c r="D57" s="390" t="s">
        <v>821</v>
      </c>
    </row>
    <row r="58" spans="1:4" ht="15.75" x14ac:dyDescent="0.25">
      <c r="A58" t="str">
        <f t="shared" si="0"/>
        <v>U80 Appalachian State University</v>
      </c>
      <c r="B58" s="391" t="s">
        <v>741</v>
      </c>
      <c r="C58" s="390" t="s">
        <v>172</v>
      </c>
      <c r="D58" s="390" t="s">
        <v>821</v>
      </c>
    </row>
    <row r="59" spans="1:4" ht="15.75" x14ac:dyDescent="0.25">
      <c r="A59" t="str">
        <f t="shared" si="0"/>
        <v>U82 UNC at Pembroke</v>
      </c>
      <c r="B59" s="391" t="s">
        <v>742</v>
      </c>
      <c r="C59" s="390" t="s">
        <v>181</v>
      </c>
      <c r="D59" s="390" t="s">
        <v>821</v>
      </c>
    </row>
    <row r="60" spans="1:4" ht="15.75" x14ac:dyDescent="0.25">
      <c r="A60" t="str">
        <f t="shared" si="0"/>
        <v>U84 Winston-Salem State University</v>
      </c>
      <c r="B60" s="391" t="s">
        <v>743</v>
      </c>
      <c r="C60" s="390" t="s">
        <v>174</v>
      </c>
      <c r="D60" s="390" t="s">
        <v>821</v>
      </c>
    </row>
    <row r="61" spans="1:4" ht="15.75" x14ac:dyDescent="0.25">
      <c r="A61" t="str">
        <f t="shared" si="0"/>
        <v>U86 Elizabeth City State University</v>
      </c>
      <c r="B61" s="391" t="s">
        <v>744</v>
      </c>
      <c r="C61" s="390" t="s">
        <v>68</v>
      </c>
      <c r="D61" s="390" t="s">
        <v>821</v>
      </c>
    </row>
    <row r="62" spans="1:4" ht="15.75" x14ac:dyDescent="0.25">
      <c r="A62" t="str">
        <f t="shared" si="0"/>
        <v>U88 Fayetteville State University</v>
      </c>
      <c r="B62" s="391" t="s">
        <v>745</v>
      </c>
      <c r="C62" s="390" t="s">
        <v>69</v>
      </c>
      <c r="D62" s="390" t="s">
        <v>821</v>
      </c>
    </row>
    <row r="63" spans="1:4" ht="15.75" x14ac:dyDescent="0.25">
      <c r="A63" t="str">
        <f t="shared" si="0"/>
        <v>U90 North Carolina Central University</v>
      </c>
      <c r="B63" s="391" t="s">
        <v>746</v>
      </c>
      <c r="C63" s="390" t="s">
        <v>7</v>
      </c>
      <c r="D63" s="390" t="s">
        <v>821</v>
      </c>
    </row>
    <row r="64" spans="1:4" ht="15.75" x14ac:dyDescent="0.25">
      <c r="A64" t="str">
        <f t="shared" si="0"/>
        <v>U92 UNC School of the Arts</v>
      </c>
      <c r="B64" s="391" t="s">
        <v>747</v>
      </c>
      <c r="C64" s="841" t="s">
        <v>1284</v>
      </c>
      <c r="D64" s="390" t="s">
        <v>821</v>
      </c>
    </row>
    <row r="65" spans="1:4" ht="15.75" x14ac:dyDescent="0.25">
      <c r="A65" t="str">
        <f t="shared" si="0"/>
        <v>ZL Gateway Research Park, Inc.</v>
      </c>
      <c r="B65" s="391" t="s">
        <v>1689</v>
      </c>
      <c r="C65" s="841" t="s">
        <v>4663</v>
      </c>
      <c r="D65" s="390" t="s">
        <v>821</v>
      </c>
    </row>
    <row r="68" spans="1:4" x14ac:dyDescent="0.2">
      <c r="A68" s="3373" t="s">
        <v>4910</v>
      </c>
      <c r="B68" s="3373"/>
      <c r="C68" s="3373"/>
      <c r="D68" s="3373"/>
    </row>
    <row r="70" spans="1:4" ht="15.75" x14ac:dyDescent="0.25">
      <c r="A70" s="1737" t="s">
        <v>4911</v>
      </c>
      <c r="B70" s="1723" t="s">
        <v>3640</v>
      </c>
      <c r="C70" s="1724" t="s">
        <v>237</v>
      </c>
      <c r="D70" s="1724" t="s">
        <v>925</v>
      </c>
    </row>
    <row r="71" spans="1:4" ht="15.75" x14ac:dyDescent="0.25">
      <c r="A71" s="1737" t="s">
        <v>4299</v>
      </c>
      <c r="B71" s="1723" t="s">
        <v>3641</v>
      </c>
      <c r="C71" s="1724" t="s">
        <v>1178</v>
      </c>
      <c r="D71" s="1724" t="s">
        <v>925</v>
      </c>
    </row>
    <row r="72" spans="1:4" ht="15.75" x14ac:dyDescent="0.25">
      <c r="A72" s="1725"/>
      <c r="B72" s="1723" t="s">
        <v>1055</v>
      </c>
      <c r="C72" s="1724" t="s">
        <v>1179</v>
      </c>
      <c r="D72" s="1724" t="s">
        <v>925</v>
      </c>
    </row>
    <row r="73" spans="1:4" ht="15.75" x14ac:dyDescent="0.25">
      <c r="A73" s="1725"/>
      <c r="B73" s="1723" t="s">
        <v>3642</v>
      </c>
      <c r="C73" s="1724" t="s">
        <v>1180</v>
      </c>
      <c r="D73" s="1724" t="s">
        <v>925</v>
      </c>
    </row>
    <row r="74" spans="1:4" ht="15.75" x14ac:dyDescent="0.25">
      <c r="A74" s="1725"/>
      <c r="B74" s="1723" t="s">
        <v>3643</v>
      </c>
      <c r="C74" s="1724" t="s">
        <v>238</v>
      </c>
      <c r="D74" s="1724" t="s">
        <v>925</v>
      </c>
    </row>
    <row r="75" spans="1:4" ht="15.75" x14ac:dyDescent="0.25">
      <c r="A75" s="1725"/>
      <c r="B75" s="1723" t="s">
        <v>3644</v>
      </c>
      <c r="C75" s="1724" t="s">
        <v>217</v>
      </c>
      <c r="D75" s="1724" t="s">
        <v>925</v>
      </c>
    </row>
    <row r="76" spans="1:4" ht="15.75" x14ac:dyDescent="0.25">
      <c r="A76" s="1725"/>
      <c r="B76" s="1723" t="s">
        <v>3645</v>
      </c>
      <c r="C76" s="1724" t="s">
        <v>56</v>
      </c>
      <c r="D76" s="1724" t="s">
        <v>925</v>
      </c>
    </row>
    <row r="77" spans="1:4" ht="15.75" x14ac:dyDescent="0.25">
      <c r="A77" s="1725"/>
      <c r="B77" s="1723" t="s">
        <v>3646</v>
      </c>
      <c r="C77" s="1724" t="s">
        <v>749</v>
      </c>
      <c r="D77" s="1724" t="s">
        <v>925</v>
      </c>
    </row>
    <row r="78" spans="1:4" ht="15.75" x14ac:dyDescent="0.25">
      <c r="A78" s="1725"/>
      <c r="B78" s="1723" t="s">
        <v>3647</v>
      </c>
      <c r="C78" s="1724" t="s">
        <v>305</v>
      </c>
      <c r="D78" s="1724" t="s">
        <v>925</v>
      </c>
    </row>
    <row r="79" spans="1:4" ht="15.75" x14ac:dyDescent="0.25">
      <c r="A79" s="1725"/>
      <c r="B79" s="1723" t="s">
        <v>3648</v>
      </c>
      <c r="C79" s="1724" t="s">
        <v>306</v>
      </c>
      <c r="D79" s="1724" t="s">
        <v>925</v>
      </c>
    </row>
    <row r="80" spans="1:4" ht="15.75" x14ac:dyDescent="0.25">
      <c r="A80" s="1725"/>
      <c r="B80" s="1723" t="s">
        <v>3649</v>
      </c>
      <c r="C80" s="1724" t="s">
        <v>307</v>
      </c>
      <c r="D80" s="1724" t="s">
        <v>925</v>
      </c>
    </row>
    <row r="81" spans="1:4" ht="15.75" x14ac:dyDescent="0.25">
      <c r="A81" s="1725"/>
      <c r="B81" s="1723" t="s">
        <v>3650</v>
      </c>
      <c r="C81" s="1724" t="s">
        <v>308</v>
      </c>
      <c r="D81" s="1724" t="s">
        <v>925</v>
      </c>
    </row>
    <row r="82" spans="1:4" ht="15.75" x14ac:dyDescent="0.25">
      <c r="A82" s="1725"/>
      <c r="B82" s="1723" t="s">
        <v>932</v>
      </c>
      <c r="C82" s="1724" t="s">
        <v>185</v>
      </c>
      <c r="D82" s="1724" t="s">
        <v>925</v>
      </c>
    </row>
    <row r="83" spans="1:4" ht="15.75" x14ac:dyDescent="0.25">
      <c r="A83" s="1725"/>
      <c r="B83" s="1723" t="s">
        <v>3651</v>
      </c>
      <c r="C83" s="1724" t="s">
        <v>186</v>
      </c>
      <c r="D83" s="1724" t="s">
        <v>925</v>
      </c>
    </row>
    <row r="84" spans="1:4" ht="15.75" x14ac:dyDescent="0.25">
      <c r="A84" s="1725"/>
      <c r="B84" s="1723" t="s">
        <v>3652</v>
      </c>
      <c r="C84" s="1724" t="s">
        <v>144</v>
      </c>
      <c r="D84" s="1724" t="s">
        <v>925</v>
      </c>
    </row>
    <row r="85" spans="1:4" ht="15.75" x14ac:dyDescent="0.25">
      <c r="A85" s="1725"/>
      <c r="B85" s="1723" t="s">
        <v>3653</v>
      </c>
      <c r="C85" s="1724" t="s">
        <v>4053</v>
      </c>
      <c r="D85" s="1724" t="s">
        <v>925</v>
      </c>
    </row>
    <row r="86" spans="1:4" ht="15.75" x14ac:dyDescent="0.25">
      <c r="A86" s="1725"/>
      <c r="B86" s="1723" t="s">
        <v>3654</v>
      </c>
      <c r="C86" s="1724" t="s">
        <v>1017</v>
      </c>
      <c r="D86" s="1724" t="s">
        <v>925</v>
      </c>
    </row>
    <row r="87" spans="1:4" ht="15.75" x14ac:dyDescent="0.25">
      <c r="A87" s="1725"/>
      <c r="B87" s="1723" t="s">
        <v>1782</v>
      </c>
      <c r="C87" s="1724" t="s">
        <v>1783</v>
      </c>
      <c r="D87" s="1724" t="s">
        <v>925</v>
      </c>
    </row>
    <row r="88" spans="1:4" ht="15.75" x14ac:dyDescent="0.25">
      <c r="A88" s="1725"/>
      <c r="B88" s="1723" t="s">
        <v>1018</v>
      </c>
      <c r="C88" s="1724" t="s">
        <v>565</v>
      </c>
      <c r="D88" s="1724" t="s">
        <v>925</v>
      </c>
    </row>
    <row r="89" spans="1:4" ht="15.75" x14ac:dyDescent="0.25">
      <c r="A89" s="1725"/>
      <c r="B89" s="1723" t="s">
        <v>432</v>
      </c>
      <c r="C89" s="1724" t="s">
        <v>1019</v>
      </c>
      <c r="D89" s="1724" t="s">
        <v>925</v>
      </c>
    </row>
    <row r="90" spans="1:4" ht="15.75" x14ac:dyDescent="0.25">
      <c r="A90" s="1725"/>
      <c r="B90" s="1723" t="s">
        <v>4195</v>
      </c>
      <c r="C90" s="1724" t="s">
        <v>4051</v>
      </c>
      <c r="D90" s="1724" t="s">
        <v>925</v>
      </c>
    </row>
    <row r="91" spans="1:4" ht="15.75" x14ac:dyDescent="0.25">
      <c r="A91" s="1725"/>
      <c r="B91" s="1723" t="s">
        <v>559</v>
      </c>
      <c r="C91" s="1724" t="s">
        <v>4052</v>
      </c>
      <c r="D91" s="1724" t="s">
        <v>925</v>
      </c>
    </row>
    <row r="92" spans="1:4" ht="15.75" x14ac:dyDescent="0.25">
      <c r="A92" s="1725"/>
      <c r="B92" s="1723" t="s">
        <v>3655</v>
      </c>
      <c r="C92" s="1724" t="s">
        <v>433</v>
      </c>
      <c r="D92" s="1724" t="s">
        <v>925</v>
      </c>
    </row>
    <row r="93" spans="1:4" ht="15.75" x14ac:dyDescent="0.25">
      <c r="A93" s="1725"/>
      <c r="B93" s="1723" t="s">
        <v>3656</v>
      </c>
      <c r="C93" s="1724" t="s">
        <v>434</v>
      </c>
      <c r="D93" s="1724" t="s">
        <v>925</v>
      </c>
    </row>
    <row r="94" spans="1:4" ht="15.75" x14ac:dyDescent="0.25">
      <c r="A94" s="1725"/>
      <c r="B94" s="1723" t="s">
        <v>3657</v>
      </c>
      <c r="C94" s="1724" t="s">
        <v>4054</v>
      </c>
      <c r="D94" s="1724" t="s">
        <v>925</v>
      </c>
    </row>
    <row r="95" spans="1:4" ht="15.75" x14ac:dyDescent="0.25">
      <c r="A95" s="1725"/>
      <c r="B95" s="1723" t="s">
        <v>3658</v>
      </c>
      <c r="C95" s="1724" t="s">
        <v>47</v>
      </c>
      <c r="D95" s="1724" t="s">
        <v>925</v>
      </c>
    </row>
    <row r="96" spans="1:4" ht="15.75" x14ac:dyDescent="0.25">
      <c r="A96" s="1725"/>
      <c r="B96" s="1723" t="s">
        <v>3659</v>
      </c>
      <c r="C96" s="1724" t="s">
        <v>48</v>
      </c>
      <c r="D96" s="1724" t="s">
        <v>925</v>
      </c>
    </row>
    <row r="97" spans="1:4" ht="15.75" x14ac:dyDescent="0.25">
      <c r="A97" s="1725"/>
      <c r="B97" s="1723" t="s">
        <v>908</v>
      </c>
      <c r="C97" s="1724" t="s">
        <v>574</v>
      </c>
      <c r="D97" s="1724" t="s">
        <v>925</v>
      </c>
    </row>
    <row r="98" spans="1:4" ht="15.75" x14ac:dyDescent="0.25">
      <c r="A98" s="1725"/>
      <c r="B98" s="1723" t="s">
        <v>3660</v>
      </c>
      <c r="C98" s="1724" t="s">
        <v>190</v>
      </c>
      <c r="D98" s="1724" t="s">
        <v>925</v>
      </c>
    </row>
    <row r="99" spans="1:4" ht="15.75" x14ac:dyDescent="0.25">
      <c r="A99" s="1725"/>
      <c r="B99" s="1723" t="s">
        <v>399</v>
      </c>
      <c r="C99" s="1724" t="s">
        <v>724</v>
      </c>
      <c r="D99" s="1724" t="s">
        <v>925</v>
      </c>
    </row>
    <row r="100" spans="1:4" ht="15.75" x14ac:dyDescent="0.25">
      <c r="A100" s="1725"/>
      <c r="B100" s="1723" t="s">
        <v>1964</v>
      </c>
      <c r="C100" s="1726" t="s">
        <v>1939</v>
      </c>
      <c r="D100" s="1724" t="s">
        <v>925</v>
      </c>
    </row>
    <row r="101" spans="1:4" ht="15.75" x14ac:dyDescent="0.25">
      <c r="A101" s="1725"/>
      <c r="B101" s="1723" t="s">
        <v>1166</v>
      </c>
      <c r="C101" s="1724" t="s">
        <v>1167</v>
      </c>
      <c r="D101" s="1724" t="s">
        <v>925</v>
      </c>
    </row>
    <row r="102" spans="1:4" ht="15.75" x14ac:dyDescent="0.25">
      <c r="A102" s="1725"/>
      <c r="B102" s="1723" t="s">
        <v>1169</v>
      </c>
      <c r="C102" s="1724" t="s">
        <v>1168</v>
      </c>
      <c r="D102" s="1724" t="s">
        <v>925</v>
      </c>
    </row>
    <row r="103" spans="1:4" ht="16.5" thickBot="1" x14ac:dyDescent="0.3">
      <c r="A103" s="1734"/>
      <c r="B103" s="1735" t="s">
        <v>49</v>
      </c>
      <c r="C103" s="1736" t="s">
        <v>502</v>
      </c>
      <c r="D103" s="1736" t="s">
        <v>925</v>
      </c>
    </row>
    <row r="104" spans="1:4" ht="15.75" x14ac:dyDescent="0.25">
      <c r="A104" s="1733" t="s">
        <v>4912</v>
      </c>
      <c r="B104" s="1727" t="s">
        <v>1461</v>
      </c>
      <c r="C104" s="1728" t="s">
        <v>1475</v>
      </c>
      <c r="D104" s="1729" t="s">
        <v>821</v>
      </c>
    </row>
    <row r="105" spans="1:4" ht="15.75" x14ac:dyDescent="0.25">
      <c r="A105" s="1733" t="s">
        <v>4300</v>
      </c>
      <c r="B105" s="1727" t="s">
        <v>1473</v>
      </c>
      <c r="C105" s="1729" t="s">
        <v>678</v>
      </c>
      <c r="D105" s="1729" t="s">
        <v>821</v>
      </c>
    </row>
    <row r="106" spans="1:4" ht="15.75" x14ac:dyDescent="0.25">
      <c r="A106" s="1730"/>
      <c r="B106" s="1727" t="s">
        <v>896</v>
      </c>
      <c r="C106" s="1729" t="s">
        <v>897</v>
      </c>
      <c r="D106" s="1729" t="s">
        <v>821</v>
      </c>
    </row>
    <row r="107" spans="1:4" ht="15.75" x14ac:dyDescent="0.25">
      <c r="A107" s="1730"/>
      <c r="B107" s="1727" t="s">
        <v>169</v>
      </c>
      <c r="C107" s="1729" t="s">
        <v>170</v>
      </c>
      <c r="D107" s="1729" t="s">
        <v>821</v>
      </c>
    </row>
    <row r="108" spans="1:4" ht="15.75" x14ac:dyDescent="0.25">
      <c r="A108" s="1730"/>
      <c r="B108" s="1727" t="s">
        <v>168</v>
      </c>
      <c r="C108" s="1729" t="s">
        <v>573</v>
      </c>
      <c r="D108" s="1729" t="s">
        <v>821</v>
      </c>
    </row>
    <row r="109" spans="1:4" ht="15.75" x14ac:dyDescent="0.25">
      <c r="A109" s="1730"/>
      <c r="B109" s="1727" t="s">
        <v>1304</v>
      </c>
      <c r="C109" s="1729" t="s">
        <v>1310</v>
      </c>
      <c r="D109" s="1729" t="s">
        <v>821</v>
      </c>
    </row>
    <row r="110" spans="1:4" ht="15.75" x14ac:dyDescent="0.25">
      <c r="A110" s="1730"/>
      <c r="B110" s="1727" t="s">
        <v>1399</v>
      </c>
      <c r="C110" s="1728" t="s">
        <v>4301</v>
      </c>
      <c r="D110" s="1729" t="s">
        <v>821</v>
      </c>
    </row>
    <row r="111" spans="1:4" ht="15.75" x14ac:dyDescent="0.25">
      <c r="A111" s="1730"/>
      <c r="B111" s="1727" t="s">
        <v>4590</v>
      </c>
      <c r="C111" s="1728" t="s">
        <v>4593</v>
      </c>
      <c r="D111" s="1729" t="s">
        <v>821</v>
      </c>
    </row>
    <row r="112" spans="1:4" ht="15.75" x14ac:dyDescent="0.25">
      <c r="A112" s="1730"/>
      <c r="B112" s="1727" t="s">
        <v>3525</v>
      </c>
      <c r="C112" s="1728" t="s">
        <v>3526</v>
      </c>
      <c r="D112" s="1729" t="s">
        <v>821</v>
      </c>
    </row>
    <row r="113" spans="1:4" ht="15.75" x14ac:dyDescent="0.25">
      <c r="A113" s="1730"/>
      <c r="B113" s="1731" t="s">
        <v>1472</v>
      </c>
      <c r="C113" s="1732" t="s">
        <v>1286</v>
      </c>
      <c r="D113" s="1732" t="s">
        <v>821</v>
      </c>
    </row>
    <row r="114" spans="1:4" ht="15.75" x14ac:dyDescent="0.25">
      <c r="A114" s="1730"/>
      <c r="B114" s="1731" t="s">
        <v>401</v>
      </c>
      <c r="C114" s="1732" t="s">
        <v>4622</v>
      </c>
      <c r="D114" s="1732" t="s">
        <v>821</v>
      </c>
    </row>
    <row r="115" spans="1:4" ht="15.75" x14ac:dyDescent="0.25">
      <c r="A115" s="1730"/>
      <c r="B115" s="1731" t="s">
        <v>402</v>
      </c>
      <c r="C115" s="1732" t="s">
        <v>725</v>
      </c>
      <c r="D115" s="1732" t="s">
        <v>821</v>
      </c>
    </row>
    <row r="116" spans="1:4" ht="15.75" x14ac:dyDescent="0.25">
      <c r="A116" s="1730"/>
      <c r="B116" s="1731" t="s">
        <v>403</v>
      </c>
      <c r="C116" s="1732" t="s">
        <v>171</v>
      </c>
      <c r="D116" s="1732" t="s">
        <v>821</v>
      </c>
    </row>
    <row r="117" spans="1:4" ht="15.75" x14ac:dyDescent="0.25">
      <c r="A117" s="1730"/>
      <c r="B117" s="1731" t="s">
        <v>404</v>
      </c>
      <c r="C117" s="1732" t="s">
        <v>726</v>
      </c>
      <c r="D117" s="1732" t="s">
        <v>821</v>
      </c>
    </row>
    <row r="118" spans="1:4" ht="15.75" x14ac:dyDescent="0.25">
      <c r="A118" s="1730"/>
      <c r="B118" s="1731" t="s">
        <v>405</v>
      </c>
      <c r="C118" s="1732" t="s">
        <v>178</v>
      </c>
      <c r="D118" s="1732" t="s">
        <v>821</v>
      </c>
    </row>
    <row r="119" spans="1:4" ht="15.75" x14ac:dyDescent="0.25">
      <c r="A119" s="1730"/>
      <c r="B119" s="1731" t="s">
        <v>406</v>
      </c>
      <c r="C119" s="1732" t="s">
        <v>179</v>
      </c>
      <c r="D119" s="1732" t="s">
        <v>821</v>
      </c>
    </row>
    <row r="120" spans="1:4" ht="15.75" x14ac:dyDescent="0.25">
      <c r="A120" s="1730"/>
      <c r="B120" s="1731" t="s">
        <v>64</v>
      </c>
      <c r="C120" s="1732" t="s">
        <v>180</v>
      </c>
      <c r="D120" s="1732" t="s">
        <v>821</v>
      </c>
    </row>
    <row r="121" spans="1:4" ht="15.75" x14ac:dyDescent="0.25">
      <c r="A121" s="1730"/>
      <c r="B121" s="1731" t="s">
        <v>65</v>
      </c>
      <c r="C121" s="1732" t="s">
        <v>6</v>
      </c>
      <c r="D121" s="1732" t="s">
        <v>821</v>
      </c>
    </row>
    <row r="122" spans="1:4" ht="15.75" x14ac:dyDescent="0.25">
      <c r="A122" s="1730"/>
      <c r="B122" s="1731" t="s">
        <v>66</v>
      </c>
      <c r="C122" s="1732" t="s">
        <v>1285</v>
      </c>
      <c r="D122" s="1732" t="s">
        <v>821</v>
      </c>
    </row>
    <row r="123" spans="1:4" ht="15.75" x14ac:dyDescent="0.25">
      <c r="A123" s="1730"/>
      <c r="B123" s="1731" t="s">
        <v>67</v>
      </c>
      <c r="C123" s="1732" t="s">
        <v>173</v>
      </c>
      <c r="D123" s="1732" t="s">
        <v>821</v>
      </c>
    </row>
    <row r="124" spans="1:4" ht="15.75" x14ac:dyDescent="0.25">
      <c r="A124" s="1730"/>
      <c r="B124" s="1731" t="s">
        <v>741</v>
      </c>
      <c r="C124" s="1732" t="s">
        <v>172</v>
      </c>
      <c r="D124" s="1732" t="s">
        <v>821</v>
      </c>
    </row>
    <row r="125" spans="1:4" ht="15.75" x14ac:dyDescent="0.25">
      <c r="A125" s="1730"/>
      <c r="B125" s="1731" t="s">
        <v>742</v>
      </c>
      <c r="C125" s="1732" t="s">
        <v>181</v>
      </c>
      <c r="D125" s="1732" t="s">
        <v>821</v>
      </c>
    </row>
    <row r="126" spans="1:4" ht="15.75" x14ac:dyDescent="0.25">
      <c r="A126" s="1730"/>
      <c r="B126" s="1731" t="s">
        <v>743</v>
      </c>
      <c r="C126" s="1732" t="s">
        <v>174</v>
      </c>
      <c r="D126" s="1732" t="s">
        <v>821</v>
      </c>
    </row>
    <row r="127" spans="1:4" ht="15.75" x14ac:dyDescent="0.25">
      <c r="A127" s="1730"/>
      <c r="B127" s="1731" t="s">
        <v>744</v>
      </c>
      <c r="C127" s="1732" t="s">
        <v>68</v>
      </c>
      <c r="D127" s="1732" t="s">
        <v>821</v>
      </c>
    </row>
    <row r="128" spans="1:4" ht="15.75" x14ac:dyDescent="0.25">
      <c r="A128" s="1730"/>
      <c r="B128" s="1731" t="s">
        <v>745</v>
      </c>
      <c r="C128" s="1732" t="s">
        <v>69</v>
      </c>
      <c r="D128" s="1732" t="s">
        <v>821</v>
      </c>
    </row>
    <row r="129" spans="1:4" ht="15.75" x14ac:dyDescent="0.25">
      <c r="A129" s="1730"/>
      <c r="B129" s="1731" t="s">
        <v>746</v>
      </c>
      <c r="C129" s="1732" t="s">
        <v>7</v>
      </c>
      <c r="D129" s="1732" t="s">
        <v>821</v>
      </c>
    </row>
    <row r="130" spans="1:4" ht="15.75" x14ac:dyDescent="0.25">
      <c r="A130" s="1730"/>
      <c r="B130" s="1731" t="s">
        <v>747</v>
      </c>
      <c r="C130" s="1732" t="s">
        <v>1284</v>
      </c>
      <c r="D130" s="1732" t="s">
        <v>821</v>
      </c>
    </row>
    <row r="131" spans="1:4" ht="15.75" x14ac:dyDescent="0.25">
      <c r="A131" s="1730"/>
      <c r="B131" s="1731" t="s">
        <v>150</v>
      </c>
      <c r="C131" s="1732" t="s">
        <v>182</v>
      </c>
      <c r="D131" s="1732" t="s">
        <v>823</v>
      </c>
    </row>
    <row r="132" spans="1:4" ht="15.75" x14ac:dyDescent="0.25">
      <c r="A132" s="1730"/>
      <c r="B132" s="1731" t="s">
        <v>1311</v>
      </c>
      <c r="C132" s="1732" t="s">
        <v>1312</v>
      </c>
      <c r="D132" s="1732" t="s">
        <v>823</v>
      </c>
    </row>
    <row r="133" spans="1:4" ht="15.75" x14ac:dyDescent="0.25">
      <c r="A133" s="1730"/>
      <c r="B133" s="1731" t="s">
        <v>623</v>
      </c>
      <c r="C133" s="1732" t="s">
        <v>576</v>
      </c>
      <c r="D133" s="1732" t="s">
        <v>823</v>
      </c>
    </row>
    <row r="134" spans="1:4" ht="15.75" x14ac:dyDescent="0.25">
      <c r="A134" s="1730"/>
      <c r="B134" s="1731" t="s">
        <v>1748</v>
      </c>
      <c r="C134" s="1732" t="s">
        <v>1749</v>
      </c>
      <c r="D134" s="1732" t="s">
        <v>823</v>
      </c>
    </row>
    <row r="135" spans="1:4" ht="15.75" x14ac:dyDescent="0.25">
      <c r="A135" s="1730"/>
      <c r="B135" s="1731" t="s">
        <v>624</v>
      </c>
      <c r="C135" s="1732" t="s">
        <v>577</v>
      </c>
      <c r="D135" s="1732" t="s">
        <v>823</v>
      </c>
    </row>
    <row r="136" spans="1:4" ht="15.75" x14ac:dyDescent="0.25">
      <c r="A136" s="1730"/>
      <c r="B136" s="1731" t="s">
        <v>622</v>
      </c>
      <c r="C136" s="1732" t="s">
        <v>575</v>
      </c>
      <c r="D136" s="1732" t="s">
        <v>823</v>
      </c>
    </row>
    <row r="137" spans="1:4" ht="15.75" x14ac:dyDescent="0.25">
      <c r="A137" s="1730"/>
      <c r="B137" s="1731" t="s">
        <v>400</v>
      </c>
      <c r="C137" s="1732" t="s">
        <v>183</v>
      </c>
      <c r="D137" s="1732" t="s">
        <v>823</v>
      </c>
    </row>
    <row r="138" spans="1:4" ht="15.75" x14ac:dyDescent="0.25">
      <c r="A138" s="1730"/>
      <c r="B138" s="1731" t="s">
        <v>1965</v>
      </c>
      <c r="C138" s="1732" t="s">
        <v>1966</v>
      </c>
      <c r="D138" s="1732" t="s">
        <v>823</v>
      </c>
    </row>
    <row r="139" spans="1:4" ht="15.75" x14ac:dyDescent="0.25">
      <c r="A139" s="1730"/>
      <c r="B139" s="1731" t="s">
        <v>625</v>
      </c>
      <c r="C139" s="1732" t="s">
        <v>621</v>
      </c>
      <c r="D139" s="1732" t="s">
        <v>823</v>
      </c>
    </row>
    <row r="140" spans="1:4" ht="15.75" x14ac:dyDescent="0.25">
      <c r="A140" s="1730"/>
      <c r="B140" s="1731" t="s">
        <v>780</v>
      </c>
      <c r="C140" s="1732" t="s">
        <v>184</v>
      </c>
      <c r="D140" s="1732" t="s">
        <v>823</v>
      </c>
    </row>
    <row r="141" spans="1:4" ht="15.75" x14ac:dyDescent="0.25">
      <c r="A141" s="1730"/>
      <c r="B141" s="1731" t="s">
        <v>1689</v>
      </c>
      <c r="C141" s="1732" t="s">
        <v>1690</v>
      </c>
      <c r="D141" s="1732" t="s">
        <v>821</v>
      </c>
    </row>
    <row r="142" spans="1:4" ht="15.75" x14ac:dyDescent="0.25">
      <c r="A142" s="1730"/>
      <c r="B142" s="1731" t="s">
        <v>3862</v>
      </c>
      <c r="C142" s="1732" t="s">
        <v>3868</v>
      </c>
      <c r="D142" s="1732" t="s">
        <v>823</v>
      </c>
    </row>
    <row r="143" spans="1:4" ht="15.75" x14ac:dyDescent="0.25">
      <c r="A143" s="1730"/>
      <c r="B143" s="1731" t="s">
        <v>603</v>
      </c>
      <c r="C143" s="1732" t="s">
        <v>604</v>
      </c>
      <c r="D143" s="1732" t="s">
        <v>822</v>
      </c>
    </row>
    <row r="144" spans="1:4" ht="15.75" x14ac:dyDescent="0.25">
      <c r="A144" s="1730"/>
      <c r="B144" s="1731" t="s">
        <v>605</v>
      </c>
      <c r="C144" s="1732" t="s">
        <v>606</v>
      </c>
      <c r="D144" s="1732" t="s">
        <v>822</v>
      </c>
    </row>
    <row r="145" spans="1:4" ht="15.75" x14ac:dyDescent="0.25">
      <c r="A145" s="1730"/>
      <c r="B145" s="1731" t="s">
        <v>607</v>
      </c>
      <c r="C145" s="1732" t="s">
        <v>608</v>
      </c>
      <c r="D145" s="1732" t="s">
        <v>822</v>
      </c>
    </row>
    <row r="146" spans="1:4" ht="15.75" x14ac:dyDescent="0.25">
      <c r="A146" s="1730"/>
      <c r="B146" s="1731" t="s">
        <v>609</v>
      </c>
      <c r="C146" s="1732" t="s">
        <v>610</v>
      </c>
      <c r="D146" s="1732" t="s">
        <v>822</v>
      </c>
    </row>
    <row r="147" spans="1:4" ht="15.75" x14ac:dyDescent="0.25">
      <c r="A147" s="1730"/>
      <c r="B147" s="1731" t="s">
        <v>611</v>
      </c>
      <c r="C147" s="1732" t="s">
        <v>612</v>
      </c>
      <c r="D147" s="1732" t="s">
        <v>822</v>
      </c>
    </row>
    <row r="148" spans="1:4" ht="15.75" x14ac:dyDescent="0.25">
      <c r="A148" s="1730"/>
      <c r="B148" s="1731" t="s">
        <v>878</v>
      </c>
      <c r="C148" s="1732" t="s">
        <v>879</v>
      </c>
      <c r="D148" s="1732" t="s">
        <v>822</v>
      </c>
    </row>
    <row r="149" spans="1:4" ht="15.75" x14ac:dyDescent="0.25">
      <c r="A149" s="1730"/>
      <c r="B149" s="1731" t="s">
        <v>880</v>
      </c>
      <c r="C149" s="1732" t="s">
        <v>881</v>
      </c>
      <c r="D149" s="1732" t="s">
        <v>822</v>
      </c>
    </row>
    <row r="150" spans="1:4" ht="15.75" x14ac:dyDescent="0.25">
      <c r="A150" s="1730"/>
      <c r="B150" s="1731" t="s">
        <v>882</v>
      </c>
      <c r="C150" s="1732" t="s">
        <v>883</v>
      </c>
      <c r="D150" s="1732" t="s">
        <v>822</v>
      </c>
    </row>
    <row r="151" spans="1:4" ht="15.75" x14ac:dyDescent="0.25">
      <c r="A151" s="1730"/>
      <c r="B151" s="1731" t="s">
        <v>884</v>
      </c>
      <c r="C151" s="1732" t="s">
        <v>885</v>
      </c>
      <c r="D151" s="1732" t="s">
        <v>822</v>
      </c>
    </row>
    <row r="152" spans="1:4" ht="15.75" x14ac:dyDescent="0.25">
      <c r="A152" s="1730"/>
      <c r="B152" s="1731" t="s">
        <v>886</v>
      </c>
      <c r="C152" s="1732" t="s">
        <v>887</v>
      </c>
      <c r="D152" s="1732" t="s">
        <v>822</v>
      </c>
    </row>
    <row r="153" spans="1:4" ht="15.75" x14ac:dyDescent="0.25">
      <c r="A153" s="1730"/>
      <c r="B153" s="1731" t="s">
        <v>888</v>
      </c>
      <c r="C153" s="1732" t="s">
        <v>889</v>
      </c>
      <c r="D153" s="1732" t="s">
        <v>822</v>
      </c>
    </row>
    <row r="154" spans="1:4" ht="15.75" x14ac:dyDescent="0.25">
      <c r="A154" s="1730"/>
      <c r="B154" s="1731" t="s">
        <v>890</v>
      </c>
      <c r="C154" s="1732" t="s">
        <v>891</v>
      </c>
      <c r="D154" s="1732" t="s">
        <v>822</v>
      </c>
    </row>
    <row r="155" spans="1:4" ht="15.75" x14ac:dyDescent="0.25">
      <c r="A155" s="1730"/>
      <c r="B155" s="1731" t="s">
        <v>892</v>
      </c>
      <c r="C155" s="1732" t="s">
        <v>893</v>
      </c>
      <c r="D155" s="1732" t="s">
        <v>822</v>
      </c>
    </row>
    <row r="156" spans="1:4" ht="15.75" x14ac:dyDescent="0.25">
      <c r="A156" s="1730"/>
      <c r="B156" s="1731" t="s">
        <v>894</v>
      </c>
      <c r="C156" s="1732" t="s">
        <v>895</v>
      </c>
      <c r="D156" s="1732" t="s">
        <v>822</v>
      </c>
    </row>
    <row r="157" spans="1:4" ht="15.75" x14ac:dyDescent="0.25">
      <c r="A157" s="1730"/>
      <c r="B157" s="1731" t="s">
        <v>442</v>
      </c>
      <c r="C157" s="1732" t="s">
        <v>443</v>
      </c>
      <c r="D157" s="1732" t="s">
        <v>822</v>
      </c>
    </row>
    <row r="158" spans="1:4" ht="15.75" x14ac:dyDescent="0.25">
      <c r="A158" s="1730"/>
      <c r="B158" s="1731" t="s">
        <v>46</v>
      </c>
      <c r="C158" s="1732" t="s">
        <v>661</v>
      </c>
      <c r="D158" s="1732" t="s">
        <v>822</v>
      </c>
    </row>
    <row r="159" spans="1:4" ht="15.75" x14ac:dyDescent="0.25">
      <c r="A159" s="1730"/>
      <c r="B159" s="1731" t="s">
        <v>662</v>
      </c>
      <c r="C159" s="1732" t="s">
        <v>663</v>
      </c>
      <c r="D159" s="1732" t="s">
        <v>822</v>
      </c>
    </row>
    <row r="160" spans="1:4" ht="15.75" x14ac:dyDescent="0.25">
      <c r="A160" s="1730"/>
      <c r="B160" s="1731" t="s">
        <v>664</v>
      </c>
      <c r="C160" s="1732" t="s">
        <v>665</v>
      </c>
      <c r="D160" s="1732" t="s">
        <v>822</v>
      </c>
    </row>
    <row r="161" spans="1:4" ht="15.75" x14ac:dyDescent="0.25">
      <c r="A161" s="1730"/>
      <c r="B161" s="1731" t="s">
        <v>666</v>
      </c>
      <c r="C161" s="1732" t="s">
        <v>667</v>
      </c>
      <c r="D161" s="1732" t="s">
        <v>822</v>
      </c>
    </row>
    <row r="162" spans="1:4" ht="15.75" x14ac:dyDescent="0.25">
      <c r="A162" s="1730"/>
      <c r="B162" s="1731" t="s">
        <v>668</v>
      </c>
      <c r="C162" s="1732" t="s">
        <v>669</v>
      </c>
      <c r="D162" s="1732" t="s">
        <v>822</v>
      </c>
    </row>
    <row r="163" spans="1:4" ht="15.75" x14ac:dyDescent="0.25">
      <c r="A163" s="1730"/>
      <c r="B163" s="1731" t="s">
        <v>670</v>
      </c>
      <c r="C163" s="1732" t="s">
        <v>671</v>
      </c>
      <c r="D163" s="1732" t="s">
        <v>822</v>
      </c>
    </row>
    <row r="164" spans="1:4" ht="15.75" x14ac:dyDescent="0.25">
      <c r="A164" s="1730"/>
      <c r="B164" s="1731" t="s">
        <v>672</v>
      </c>
      <c r="C164" s="1732" t="s">
        <v>673</v>
      </c>
      <c r="D164" s="1732" t="s">
        <v>822</v>
      </c>
    </row>
    <row r="165" spans="1:4" ht="15.75" x14ac:dyDescent="0.25">
      <c r="A165" s="1730"/>
      <c r="B165" s="1731" t="s">
        <v>674</v>
      </c>
      <c r="C165" s="1732" t="s">
        <v>675</v>
      </c>
      <c r="D165" s="1732" t="s">
        <v>822</v>
      </c>
    </row>
    <row r="166" spans="1:4" ht="15.75" x14ac:dyDescent="0.25">
      <c r="A166" s="1730"/>
      <c r="B166" s="1731" t="s">
        <v>676</v>
      </c>
      <c r="C166" s="1732" t="s">
        <v>677</v>
      </c>
      <c r="D166" s="1732" t="s">
        <v>822</v>
      </c>
    </row>
    <row r="167" spans="1:4" ht="15.75" x14ac:dyDescent="0.25">
      <c r="A167" s="1730"/>
      <c r="B167" s="1731" t="s">
        <v>847</v>
      </c>
      <c r="C167" s="1732" t="s">
        <v>848</v>
      </c>
      <c r="D167" s="1732" t="s">
        <v>822</v>
      </c>
    </row>
    <row r="168" spans="1:4" ht="15.75" x14ac:dyDescent="0.25">
      <c r="A168" s="1730"/>
      <c r="B168" s="1731" t="s">
        <v>849</v>
      </c>
      <c r="C168" s="1732" t="s">
        <v>850</v>
      </c>
      <c r="D168" s="1732" t="s">
        <v>822</v>
      </c>
    </row>
    <row r="169" spans="1:4" ht="15.75" x14ac:dyDescent="0.25">
      <c r="A169" s="1730"/>
      <c r="B169" s="1731" t="s">
        <v>851</v>
      </c>
      <c r="C169" s="1732" t="s">
        <v>852</v>
      </c>
      <c r="D169" s="1732" t="s">
        <v>822</v>
      </c>
    </row>
    <row r="170" spans="1:4" ht="15.75" x14ac:dyDescent="0.25">
      <c r="A170" s="1730"/>
      <c r="B170" s="1731" t="s">
        <v>853</v>
      </c>
      <c r="C170" s="1732" t="s">
        <v>854</v>
      </c>
      <c r="D170" s="1732" t="s">
        <v>822</v>
      </c>
    </row>
    <row r="171" spans="1:4" ht="15.75" x14ac:dyDescent="0.25">
      <c r="A171" s="1730"/>
      <c r="B171" s="1731" t="s">
        <v>855</v>
      </c>
      <c r="C171" s="1732" t="s">
        <v>856</v>
      </c>
      <c r="D171" s="1732" t="s">
        <v>822</v>
      </c>
    </row>
    <row r="172" spans="1:4" ht="15.75" x14ac:dyDescent="0.25">
      <c r="A172" s="1730"/>
      <c r="B172" s="1731" t="s">
        <v>857</v>
      </c>
      <c r="C172" s="1732" t="s">
        <v>858</v>
      </c>
      <c r="D172" s="1732" t="s">
        <v>822</v>
      </c>
    </row>
    <row r="173" spans="1:4" ht="15.75" x14ac:dyDescent="0.25">
      <c r="A173" s="1730"/>
      <c r="B173" s="1731" t="s">
        <v>859</v>
      </c>
      <c r="C173" s="1732" t="s">
        <v>860</v>
      </c>
      <c r="D173" s="1732" t="s">
        <v>822</v>
      </c>
    </row>
    <row r="174" spans="1:4" ht="15.75" x14ac:dyDescent="0.25">
      <c r="A174" s="1730"/>
      <c r="B174" s="1731" t="s">
        <v>861</v>
      </c>
      <c r="C174" s="1732" t="s">
        <v>862</v>
      </c>
      <c r="D174" s="1732" t="s">
        <v>822</v>
      </c>
    </row>
    <row r="175" spans="1:4" ht="15.75" x14ac:dyDescent="0.25">
      <c r="A175" s="1730"/>
      <c r="B175" s="1731" t="s">
        <v>863</v>
      </c>
      <c r="C175" s="1732" t="s">
        <v>864</v>
      </c>
      <c r="D175" s="1732" t="s">
        <v>822</v>
      </c>
    </row>
    <row r="176" spans="1:4" ht="15.75" x14ac:dyDescent="0.25">
      <c r="A176" s="1730"/>
      <c r="B176" s="1731" t="s">
        <v>865</v>
      </c>
      <c r="C176" s="1732" t="s">
        <v>1065</v>
      </c>
      <c r="D176" s="1732" t="s">
        <v>822</v>
      </c>
    </row>
    <row r="177" spans="1:4" ht="15.75" x14ac:dyDescent="0.25">
      <c r="A177" s="1730"/>
      <c r="B177" s="1731" t="s">
        <v>1066</v>
      </c>
      <c r="C177" s="1732" t="s">
        <v>1067</v>
      </c>
      <c r="D177" s="1732" t="s">
        <v>822</v>
      </c>
    </row>
    <row r="178" spans="1:4" ht="15.75" x14ac:dyDescent="0.25">
      <c r="A178" s="1730"/>
      <c r="B178" s="1731" t="s">
        <v>1068</v>
      </c>
      <c r="C178" s="1732" t="s">
        <v>1069</v>
      </c>
      <c r="D178" s="1732" t="s">
        <v>822</v>
      </c>
    </row>
    <row r="179" spans="1:4" ht="15.75" x14ac:dyDescent="0.25">
      <c r="A179" s="1730"/>
      <c r="B179" s="1731" t="s">
        <v>1070</v>
      </c>
      <c r="C179" s="1732" t="s">
        <v>1071</v>
      </c>
      <c r="D179" s="1732" t="s">
        <v>822</v>
      </c>
    </row>
    <row r="180" spans="1:4" ht="15.75" x14ac:dyDescent="0.25">
      <c r="A180" s="1730"/>
      <c r="B180" s="1731" t="s">
        <v>1072</v>
      </c>
      <c r="C180" s="1732" t="s">
        <v>1073</v>
      </c>
      <c r="D180" s="1732" t="s">
        <v>822</v>
      </c>
    </row>
    <row r="181" spans="1:4" ht="15.75" x14ac:dyDescent="0.25">
      <c r="A181" s="1730"/>
      <c r="B181" s="1731" t="s">
        <v>1074</v>
      </c>
      <c r="C181" s="1732" t="s">
        <v>866</v>
      </c>
      <c r="D181" s="1732" t="s">
        <v>822</v>
      </c>
    </row>
    <row r="182" spans="1:4" ht="15.75" x14ac:dyDescent="0.25">
      <c r="A182" s="1730"/>
      <c r="B182" s="1731" t="s">
        <v>867</v>
      </c>
      <c r="C182" s="1732" t="s">
        <v>868</v>
      </c>
      <c r="D182" s="1732" t="s">
        <v>822</v>
      </c>
    </row>
    <row r="183" spans="1:4" ht="15.75" x14ac:dyDescent="0.25">
      <c r="A183" s="1730"/>
      <c r="B183" s="1731" t="s">
        <v>869</v>
      </c>
      <c r="C183" s="1732" t="s">
        <v>870</v>
      </c>
      <c r="D183" s="1732" t="s">
        <v>822</v>
      </c>
    </row>
    <row r="184" spans="1:4" ht="15.75" x14ac:dyDescent="0.25">
      <c r="A184" s="1730"/>
      <c r="B184" s="1731" t="s">
        <v>871</v>
      </c>
      <c r="C184" s="1732" t="s">
        <v>872</v>
      </c>
      <c r="D184" s="1732" t="s">
        <v>822</v>
      </c>
    </row>
    <row r="185" spans="1:4" ht="15.75" x14ac:dyDescent="0.25">
      <c r="A185" s="1730"/>
      <c r="B185" s="1731" t="s">
        <v>873</v>
      </c>
      <c r="C185" s="1732" t="s">
        <v>874</v>
      </c>
      <c r="D185" s="1732" t="s">
        <v>822</v>
      </c>
    </row>
    <row r="186" spans="1:4" ht="15.75" x14ac:dyDescent="0.25">
      <c r="A186" s="1730"/>
      <c r="B186" s="1731" t="s">
        <v>875</v>
      </c>
      <c r="C186" s="1732" t="s">
        <v>876</v>
      </c>
      <c r="D186" s="1732" t="s">
        <v>822</v>
      </c>
    </row>
    <row r="187" spans="1:4" ht="15.75" x14ac:dyDescent="0.25">
      <c r="A187" s="1730"/>
      <c r="B187" s="1731" t="s">
        <v>877</v>
      </c>
      <c r="C187" s="1732" t="s">
        <v>121</v>
      </c>
      <c r="D187" s="1732" t="s">
        <v>822</v>
      </c>
    </row>
    <row r="188" spans="1:4" ht="15.75" x14ac:dyDescent="0.25">
      <c r="A188" s="1730"/>
      <c r="B188" s="1731" t="s">
        <v>122</v>
      </c>
      <c r="C188" s="1732" t="s">
        <v>123</v>
      </c>
      <c r="D188" s="1732" t="s">
        <v>822</v>
      </c>
    </row>
    <row r="189" spans="1:4" ht="15.75" x14ac:dyDescent="0.25">
      <c r="A189" s="1730"/>
      <c r="B189" s="1731" t="s">
        <v>124</v>
      </c>
      <c r="C189" s="1732" t="s">
        <v>125</v>
      </c>
      <c r="D189" s="1732" t="s">
        <v>822</v>
      </c>
    </row>
    <row r="190" spans="1:4" ht="15.75" x14ac:dyDescent="0.25">
      <c r="A190" s="1730"/>
      <c r="B190" s="1731" t="s">
        <v>126</v>
      </c>
      <c r="C190" s="1732" t="s">
        <v>127</v>
      </c>
      <c r="D190" s="1732" t="s">
        <v>822</v>
      </c>
    </row>
    <row r="191" spans="1:4" ht="15.75" x14ac:dyDescent="0.25">
      <c r="A191" s="1730"/>
      <c r="B191" s="1731" t="s">
        <v>578</v>
      </c>
      <c r="C191" s="1732" t="s">
        <v>1174</v>
      </c>
      <c r="D191" s="1732" t="s">
        <v>822</v>
      </c>
    </row>
    <row r="192" spans="1:4" ht="15.75" x14ac:dyDescent="0.25">
      <c r="A192" s="1730"/>
      <c r="B192" s="1731" t="s">
        <v>1175</v>
      </c>
      <c r="C192" s="1732" t="s">
        <v>1176</v>
      </c>
      <c r="D192" s="1732" t="s">
        <v>822</v>
      </c>
    </row>
    <row r="193" spans="1:4" ht="15.75" x14ac:dyDescent="0.25">
      <c r="A193" s="1730"/>
      <c r="B193" s="1731" t="s">
        <v>1177</v>
      </c>
      <c r="C193" s="1732" t="s">
        <v>718</v>
      </c>
      <c r="D193" s="1732" t="s">
        <v>822</v>
      </c>
    </row>
    <row r="194" spans="1:4" ht="15.75" x14ac:dyDescent="0.25">
      <c r="A194" s="1730"/>
      <c r="B194" s="1731" t="s">
        <v>719</v>
      </c>
      <c r="C194" s="1732" t="s">
        <v>935</v>
      </c>
      <c r="D194" s="1732" t="s">
        <v>822</v>
      </c>
    </row>
    <row r="195" spans="1:4" ht="15.75" x14ac:dyDescent="0.25">
      <c r="A195" s="1730"/>
      <c r="B195" s="1731" t="s">
        <v>936</v>
      </c>
      <c r="C195" s="1732" t="s">
        <v>937</v>
      </c>
      <c r="D195" s="1732" t="s">
        <v>822</v>
      </c>
    </row>
    <row r="196" spans="1:4" ht="15.75" x14ac:dyDescent="0.25">
      <c r="A196" s="1730"/>
      <c r="B196" s="1731" t="s">
        <v>938</v>
      </c>
      <c r="C196" s="1732" t="s">
        <v>939</v>
      </c>
      <c r="D196" s="1732" t="s">
        <v>822</v>
      </c>
    </row>
    <row r="197" spans="1:4" ht="15.75" x14ac:dyDescent="0.25">
      <c r="A197" s="1730"/>
      <c r="B197" s="1731" t="s">
        <v>940</v>
      </c>
      <c r="C197" s="1732" t="s">
        <v>941</v>
      </c>
      <c r="D197" s="1732" t="s">
        <v>822</v>
      </c>
    </row>
    <row r="198" spans="1:4" ht="15.75" x14ac:dyDescent="0.25">
      <c r="A198" s="1730"/>
      <c r="B198" s="1731" t="s">
        <v>942</v>
      </c>
      <c r="C198" s="1732" t="s">
        <v>218</v>
      </c>
      <c r="D198" s="1732" t="s">
        <v>822</v>
      </c>
    </row>
    <row r="199" spans="1:4" ht="15.75" x14ac:dyDescent="0.25">
      <c r="A199" s="1730"/>
      <c r="B199" s="1731" t="s">
        <v>219</v>
      </c>
      <c r="C199" s="1732" t="s">
        <v>220</v>
      </c>
      <c r="D199" s="1732" t="s">
        <v>822</v>
      </c>
    </row>
    <row r="200" spans="1:4" ht="15.75" x14ac:dyDescent="0.25">
      <c r="A200" s="1730"/>
      <c r="B200" s="1731" t="s">
        <v>221</v>
      </c>
      <c r="C200" s="1732" t="s">
        <v>429</v>
      </c>
      <c r="D200" s="1732" t="s">
        <v>822</v>
      </c>
    </row>
  </sheetData>
  <sheetProtection algorithmName="SHA-512" hashValue="O8M02rulg0D/h7WHgxaxpXhKdjUUBg8QpudnwWZW7Ebn/lwMV5Tfy+q5Q+xfHn54WcwNESYeTFJ1wXFfkAzUuQ==" saltValue="cPTXjLca56BOwC6eBNJZIQ==" spinCount="100000" sheet="1" objects="1" scenarios="1" autoFilter="0"/>
  <mergeCells count="1">
    <mergeCell ref="A68:D68"/>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5" max="16383" man="1"/>
    <brk id="103" max="16383" man="1"/>
    <brk id="142"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3"/>
  <sheetViews>
    <sheetView workbookViewId="0">
      <selection sqref="A1:E1"/>
    </sheetView>
  </sheetViews>
  <sheetFormatPr defaultColWidth="9.42578125" defaultRowHeight="12.75" x14ac:dyDescent="0.2"/>
  <cols>
    <col min="1" max="1" width="38.5703125" style="778" customWidth="1"/>
    <col min="2" max="2" width="11" style="777" customWidth="1"/>
    <col min="3" max="3" width="9.5703125" style="777" customWidth="1"/>
    <col min="4" max="5" width="12.42578125" style="777" customWidth="1"/>
    <col min="6" max="16384" width="9.42578125" style="778"/>
  </cols>
  <sheetData>
    <row r="1" spans="1:10" ht="15.75" x14ac:dyDescent="0.25">
      <c r="A1" s="3374" t="str">
        <f>+Index!$A$1</f>
        <v xml:space="preserve">                                                               Office of the State Controller                                                                </v>
      </c>
      <c r="B1" s="3374"/>
      <c r="C1" s="3374"/>
      <c r="D1" s="3374"/>
      <c r="E1" s="3374"/>
      <c r="F1" s="818"/>
      <c r="G1" s="818"/>
      <c r="H1" s="818"/>
      <c r="I1" s="818"/>
      <c r="J1" s="818"/>
    </row>
    <row r="2" spans="1:10" ht="15.75" x14ac:dyDescent="0.25">
      <c r="A2" s="3375" t="s">
        <v>4637</v>
      </c>
      <c r="B2" s="2696"/>
      <c r="C2" s="2696"/>
      <c r="D2" s="2696"/>
      <c r="E2" s="2696"/>
    </row>
    <row r="3" spans="1:10" x14ac:dyDescent="0.2">
      <c r="A3" s="778" t="s">
        <v>4773</v>
      </c>
    </row>
    <row r="4" spans="1:10" ht="25.5" x14ac:dyDescent="0.2">
      <c r="A4" s="781" t="s">
        <v>40</v>
      </c>
      <c r="B4" s="782" t="s">
        <v>41</v>
      </c>
      <c r="C4" s="782" t="s">
        <v>42</v>
      </c>
      <c r="D4" s="782" t="s">
        <v>43</v>
      </c>
      <c r="E4" s="782" t="s">
        <v>44</v>
      </c>
    </row>
    <row r="5" spans="1:10" x14ac:dyDescent="0.2">
      <c r="A5" s="779" t="s">
        <v>128</v>
      </c>
      <c r="B5" s="780" t="s">
        <v>515</v>
      </c>
      <c r="C5" s="780" t="s">
        <v>515</v>
      </c>
      <c r="D5" s="780" t="s">
        <v>516</v>
      </c>
      <c r="E5" s="780" t="s">
        <v>3665</v>
      </c>
    </row>
    <row r="6" spans="1:10" x14ac:dyDescent="0.2">
      <c r="A6" s="779" t="s">
        <v>520</v>
      </c>
      <c r="B6" s="780" t="s">
        <v>521</v>
      </c>
      <c r="C6" s="780" t="s">
        <v>522</v>
      </c>
      <c r="D6" s="780" t="s">
        <v>516</v>
      </c>
      <c r="E6" s="780" t="s">
        <v>3665</v>
      </c>
    </row>
    <row r="7" spans="1:10" x14ac:dyDescent="0.2">
      <c r="A7" s="779" t="s">
        <v>3664</v>
      </c>
      <c r="B7" s="780" t="s">
        <v>523</v>
      </c>
      <c r="C7" s="780" t="s">
        <v>3670</v>
      </c>
      <c r="D7" s="780" t="s">
        <v>516</v>
      </c>
      <c r="E7" s="780">
        <v>1113</v>
      </c>
    </row>
    <row r="8" spans="1:10" x14ac:dyDescent="0.2">
      <c r="A8" s="779" t="s">
        <v>3664</v>
      </c>
      <c r="B8" s="780" t="s">
        <v>523</v>
      </c>
      <c r="C8" s="780" t="s">
        <v>3670</v>
      </c>
      <c r="D8" s="780">
        <v>1114</v>
      </c>
      <c r="E8" s="780">
        <v>1114</v>
      </c>
    </row>
    <row r="9" spans="1:10" x14ac:dyDescent="0.2">
      <c r="A9" s="779" t="s">
        <v>128</v>
      </c>
      <c r="B9" s="780" t="s">
        <v>523</v>
      </c>
      <c r="C9" s="780" t="s">
        <v>3670</v>
      </c>
      <c r="D9" s="780">
        <v>1115</v>
      </c>
      <c r="E9" s="780">
        <v>1121</v>
      </c>
    </row>
    <row r="10" spans="1:10" x14ac:dyDescent="0.2">
      <c r="A10" s="779" t="s">
        <v>524</v>
      </c>
      <c r="B10" s="780" t="s">
        <v>523</v>
      </c>
      <c r="C10" s="780" t="s">
        <v>3670</v>
      </c>
      <c r="D10" s="780">
        <v>1122</v>
      </c>
      <c r="E10" s="780">
        <v>1122</v>
      </c>
    </row>
    <row r="11" spans="1:10" x14ac:dyDescent="0.2">
      <c r="A11" s="779" t="s">
        <v>128</v>
      </c>
      <c r="B11" s="780" t="s">
        <v>523</v>
      </c>
      <c r="C11" s="780" t="s">
        <v>3670</v>
      </c>
      <c r="D11" s="780">
        <v>1123</v>
      </c>
      <c r="E11" s="780" t="s">
        <v>3928</v>
      </c>
    </row>
    <row r="12" spans="1:10" x14ac:dyDescent="0.2">
      <c r="A12" s="779" t="s">
        <v>3666</v>
      </c>
      <c r="B12" s="780" t="s">
        <v>523</v>
      </c>
      <c r="C12" s="780" t="s">
        <v>3670</v>
      </c>
      <c r="D12" s="780">
        <v>1400</v>
      </c>
      <c r="E12" s="780">
        <v>1499</v>
      </c>
    </row>
    <row r="13" spans="1:10" x14ac:dyDescent="0.2">
      <c r="A13" s="779" t="s">
        <v>128</v>
      </c>
      <c r="B13" s="780" t="s">
        <v>523</v>
      </c>
      <c r="C13" s="780" t="s">
        <v>3670</v>
      </c>
      <c r="D13" s="780">
        <v>1500</v>
      </c>
      <c r="E13" s="780" t="s">
        <v>1839</v>
      </c>
    </row>
    <row r="14" spans="1:10" x14ac:dyDescent="0.2">
      <c r="A14" s="779" t="s">
        <v>128</v>
      </c>
      <c r="B14" s="780" t="s">
        <v>525</v>
      </c>
      <c r="C14" s="780" t="s">
        <v>525</v>
      </c>
      <c r="D14" s="780" t="s">
        <v>516</v>
      </c>
      <c r="E14" s="780" t="s">
        <v>3665</v>
      </c>
    </row>
    <row r="15" spans="1:10" x14ac:dyDescent="0.2">
      <c r="A15" s="779" t="s">
        <v>128</v>
      </c>
      <c r="B15" s="780" t="s">
        <v>526</v>
      </c>
      <c r="C15" s="780" t="s">
        <v>527</v>
      </c>
      <c r="D15" s="780" t="s">
        <v>516</v>
      </c>
      <c r="E15" s="780" t="s">
        <v>3665</v>
      </c>
    </row>
    <row r="16" spans="1:10" x14ac:dyDescent="0.2">
      <c r="A16" s="779" t="s">
        <v>128</v>
      </c>
      <c r="B16" s="780" t="s">
        <v>528</v>
      </c>
      <c r="C16" s="780" t="s">
        <v>528</v>
      </c>
      <c r="D16" s="780" t="s">
        <v>516</v>
      </c>
      <c r="E16" s="780" t="s">
        <v>3665</v>
      </c>
    </row>
    <row r="17" spans="1:5" x14ac:dyDescent="0.2">
      <c r="A17" s="779" t="s">
        <v>128</v>
      </c>
      <c r="B17" s="780" t="s">
        <v>529</v>
      </c>
      <c r="C17" s="780" t="s">
        <v>3667</v>
      </c>
      <c r="D17" s="780" t="s">
        <v>516</v>
      </c>
      <c r="E17" s="780">
        <v>1111</v>
      </c>
    </row>
    <row r="18" spans="1:5" x14ac:dyDescent="0.2">
      <c r="A18" s="779" t="s">
        <v>128</v>
      </c>
      <c r="B18" s="780" t="s">
        <v>529</v>
      </c>
      <c r="C18" s="780" t="s">
        <v>3667</v>
      </c>
      <c r="D18" s="780">
        <v>1113</v>
      </c>
      <c r="E18" s="780">
        <v>1122</v>
      </c>
    </row>
    <row r="19" spans="1:5" x14ac:dyDescent="0.2">
      <c r="A19" s="779" t="s">
        <v>530</v>
      </c>
      <c r="B19" s="780" t="s">
        <v>529</v>
      </c>
      <c r="C19" s="780" t="s">
        <v>3667</v>
      </c>
      <c r="D19" s="780">
        <v>1123</v>
      </c>
      <c r="E19" s="780">
        <v>1123</v>
      </c>
    </row>
    <row r="20" spans="1:5" x14ac:dyDescent="0.2">
      <c r="A20" s="779" t="s">
        <v>128</v>
      </c>
      <c r="B20" s="780" t="s">
        <v>529</v>
      </c>
      <c r="C20" s="780" t="s">
        <v>3667</v>
      </c>
      <c r="D20" s="780">
        <v>1124</v>
      </c>
      <c r="E20" s="780">
        <v>1391</v>
      </c>
    </row>
    <row r="21" spans="1:5" x14ac:dyDescent="0.2">
      <c r="A21" s="779" t="s">
        <v>3947</v>
      </c>
      <c r="B21" s="780" t="s">
        <v>529</v>
      </c>
      <c r="C21" s="780" t="s">
        <v>3667</v>
      </c>
      <c r="D21" s="780">
        <v>1394</v>
      </c>
      <c r="E21" s="780">
        <v>1394</v>
      </c>
    </row>
    <row r="22" spans="1:5" x14ac:dyDescent="0.2">
      <c r="A22" s="779" t="s">
        <v>128</v>
      </c>
      <c r="B22" s="780" t="s">
        <v>529</v>
      </c>
      <c r="C22" s="780" t="s">
        <v>3667</v>
      </c>
      <c r="D22" s="780">
        <v>1395</v>
      </c>
      <c r="E22" s="780">
        <v>1398</v>
      </c>
    </row>
    <row r="23" spans="1:5" x14ac:dyDescent="0.2">
      <c r="A23" s="779" t="s">
        <v>128</v>
      </c>
      <c r="B23" s="780" t="s">
        <v>3668</v>
      </c>
      <c r="C23" s="780" t="s">
        <v>531</v>
      </c>
      <c r="D23" s="780">
        <v>1100</v>
      </c>
      <c r="E23" s="780">
        <v>1106</v>
      </c>
    </row>
    <row r="24" spans="1:5" x14ac:dyDescent="0.2">
      <c r="A24" s="779" t="s">
        <v>128</v>
      </c>
      <c r="B24" s="780" t="s">
        <v>531</v>
      </c>
      <c r="C24" s="780" t="s">
        <v>531</v>
      </c>
      <c r="D24" s="780">
        <v>1300</v>
      </c>
      <c r="E24" s="780">
        <v>1361</v>
      </c>
    </row>
    <row r="25" spans="1:5" x14ac:dyDescent="0.2">
      <c r="A25" s="779" t="s">
        <v>530</v>
      </c>
      <c r="B25" s="780" t="s">
        <v>531</v>
      </c>
      <c r="C25" s="780" t="s">
        <v>531</v>
      </c>
      <c r="D25" s="780">
        <v>1362</v>
      </c>
      <c r="E25" s="780">
        <v>1362</v>
      </c>
    </row>
    <row r="26" spans="1:5" ht="12" customHeight="1" x14ac:dyDescent="0.2">
      <c r="A26" s="779" t="s">
        <v>128</v>
      </c>
      <c r="B26" s="780" t="s">
        <v>531</v>
      </c>
      <c r="C26" s="780" t="s">
        <v>531</v>
      </c>
      <c r="D26" s="780">
        <v>1363</v>
      </c>
      <c r="E26" s="780">
        <v>1365</v>
      </c>
    </row>
    <row r="27" spans="1:5" x14ac:dyDescent="0.2">
      <c r="A27" s="779" t="s">
        <v>729</v>
      </c>
      <c r="B27" s="780" t="s">
        <v>531</v>
      </c>
      <c r="C27" s="780" t="s">
        <v>531</v>
      </c>
      <c r="D27" s="780">
        <v>1371</v>
      </c>
      <c r="E27" s="780">
        <v>1371</v>
      </c>
    </row>
    <row r="28" spans="1:5" x14ac:dyDescent="0.2">
      <c r="A28" s="779" t="s">
        <v>128</v>
      </c>
      <c r="B28" s="780" t="s">
        <v>531</v>
      </c>
      <c r="C28" s="780" t="s">
        <v>531</v>
      </c>
      <c r="D28" s="780">
        <v>1372</v>
      </c>
      <c r="E28" s="780">
        <v>1398</v>
      </c>
    </row>
    <row r="29" spans="1:5" x14ac:dyDescent="0.2">
      <c r="A29" s="779" t="s">
        <v>128</v>
      </c>
      <c r="B29" s="780" t="s">
        <v>529</v>
      </c>
      <c r="C29" s="780" t="s">
        <v>531</v>
      </c>
      <c r="D29" s="780">
        <v>1400</v>
      </c>
      <c r="E29" s="780">
        <v>1499</v>
      </c>
    </row>
    <row r="30" spans="1:5" x14ac:dyDescent="0.2">
      <c r="A30" s="779" t="s">
        <v>3664</v>
      </c>
      <c r="B30" s="780" t="s">
        <v>532</v>
      </c>
      <c r="C30" s="780" t="s">
        <v>533</v>
      </c>
      <c r="D30" s="780" t="s">
        <v>516</v>
      </c>
      <c r="E30" s="780" t="s">
        <v>3665</v>
      </c>
    </row>
    <row r="31" spans="1:5" x14ac:dyDescent="0.2">
      <c r="A31" s="779" t="s">
        <v>520</v>
      </c>
      <c r="B31" s="780" t="s">
        <v>534</v>
      </c>
      <c r="C31" s="780" t="s">
        <v>534</v>
      </c>
      <c r="D31" s="780" t="s">
        <v>516</v>
      </c>
      <c r="E31" s="780" t="s">
        <v>3665</v>
      </c>
    </row>
    <row r="32" spans="1:5" x14ac:dyDescent="0.2">
      <c r="A32" s="779" t="s">
        <v>730</v>
      </c>
      <c r="B32" s="780" t="s">
        <v>535</v>
      </c>
      <c r="C32" s="780" t="s">
        <v>536</v>
      </c>
      <c r="D32" s="780" t="s">
        <v>516</v>
      </c>
      <c r="E32" s="780" t="s">
        <v>3665</v>
      </c>
    </row>
    <row r="33" spans="1:5" x14ac:dyDescent="0.2">
      <c r="A33" s="779" t="s">
        <v>520</v>
      </c>
      <c r="B33" s="780" t="s">
        <v>537</v>
      </c>
      <c r="C33" s="780" t="s">
        <v>538</v>
      </c>
      <c r="D33" s="780" t="s">
        <v>516</v>
      </c>
      <c r="E33" s="780" t="s">
        <v>3665</v>
      </c>
    </row>
    <row r="34" spans="1:5" x14ac:dyDescent="0.2">
      <c r="A34" s="779" t="s">
        <v>520</v>
      </c>
      <c r="B34" s="780" t="s">
        <v>539</v>
      </c>
      <c r="C34" s="780" t="s">
        <v>540</v>
      </c>
      <c r="D34" s="780" t="s">
        <v>516</v>
      </c>
      <c r="E34" s="780" t="s">
        <v>3665</v>
      </c>
    </row>
    <row r="35" spans="1:5" x14ac:dyDescent="0.2">
      <c r="A35" s="779" t="s">
        <v>128</v>
      </c>
      <c r="B35" s="780" t="s">
        <v>541</v>
      </c>
      <c r="C35" s="780" t="s">
        <v>542</v>
      </c>
      <c r="D35" s="780" t="s">
        <v>516</v>
      </c>
      <c r="E35" s="780">
        <v>1326</v>
      </c>
    </row>
    <row r="36" spans="1:5" x14ac:dyDescent="0.2">
      <c r="A36" s="779" t="s">
        <v>530</v>
      </c>
      <c r="B36" s="780">
        <v>134</v>
      </c>
      <c r="C36" s="780" t="s">
        <v>542</v>
      </c>
      <c r="D36" s="780">
        <v>1330</v>
      </c>
      <c r="E36" s="780">
        <v>1330</v>
      </c>
    </row>
    <row r="37" spans="1:5" x14ac:dyDescent="0.2">
      <c r="A37" s="779" t="s">
        <v>128</v>
      </c>
      <c r="B37" s="780" t="s">
        <v>541</v>
      </c>
      <c r="C37" s="780" t="s">
        <v>542</v>
      </c>
      <c r="D37" s="780">
        <v>1335</v>
      </c>
      <c r="E37" s="780">
        <v>1398</v>
      </c>
    </row>
    <row r="38" spans="1:5" x14ac:dyDescent="0.2">
      <c r="A38" s="779" t="s">
        <v>3666</v>
      </c>
      <c r="B38" s="780">
        <v>130</v>
      </c>
      <c r="C38" s="780">
        <v>134</v>
      </c>
      <c r="D38" s="780">
        <v>1400</v>
      </c>
      <c r="E38" s="780">
        <v>1499</v>
      </c>
    </row>
    <row r="39" spans="1:5" x14ac:dyDescent="0.2">
      <c r="A39" s="779" t="s">
        <v>128</v>
      </c>
      <c r="B39" s="780" t="s">
        <v>543</v>
      </c>
      <c r="C39" s="780" t="s">
        <v>543</v>
      </c>
      <c r="D39" s="780" t="s">
        <v>516</v>
      </c>
      <c r="E39" s="780" t="s">
        <v>3665</v>
      </c>
    </row>
    <row r="40" spans="1:5" x14ac:dyDescent="0.2">
      <c r="A40" s="779" t="s">
        <v>3664</v>
      </c>
      <c r="B40" s="780" t="s">
        <v>544</v>
      </c>
      <c r="C40" s="780" t="s">
        <v>545</v>
      </c>
      <c r="D40" s="780" t="s">
        <v>516</v>
      </c>
      <c r="E40" s="780" t="s">
        <v>3665</v>
      </c>
    </row>
    <row r="41" spans="1:5" x14ac:dyDescent="0.2">
      <c r="A41" s="779" t="s">
        <v>530</v>
      </c>
      <c r="B41" s="780" t="s">
        <v>546</v>
      </c>
      <c r="C41" s="780" t="s">
        <v>18</v>
      </c>
      <c r="D41" s="780" t="s">
        <v>516</v>
      </c>
      <c r="E41" s="780" t="s">
        <v>3665</v>
      </c>
    </row>
    <row r="42" spans="1:5" x14ac:dyDescent="0.2">
      <c r="A42" s="779" t="s">
        <v>530</v>
      </c>
      <c r="B42" s="780" t="s">
        <v>19</v>
      </c>
      <c r="C42" s="780" t="s">
        <v>19</v>
      </c>
      <c r="D42" s="780" t="s">
        <v>516</v>
      </c>
      <c r="E42" s="780" t="s">
        <v>3665</v>
      </c>
    </row>
    <row r="43" spans="1:5" x14ac:dyDescent="0.2">
      <c r="A43" s="779" t="s">
        <v>520</v>
      </c>
      <c r="B43" s="780" t="s">
        <v>1803</v>
      </c>
      <c r="C43" s="780" t="s">
        <v>4772</v>
      </c>
      <c r="D43" s="780" t="s">
        <v>516</v>
      </c>
      <c r="E43" s="780" t="s">
        <v>3665</v>
      </c>
    </row>
    <row r="44" spans="1:5" x14ac:dyDescent="0.2">
      <c r="A44" s="779" t="s">
        <v>524</v>
      </c>
      <c r="B44" s="780" t="s">
        <v>20</v>
      </c>
      <c r="C44" s="780" t="s">
        <v>21</v>
      </c>
      <c r="D44" s="780" t="s">
        <v>516</v>
      </c>
      <c r="E44" s="780" t="s">
        <v>3665</v>
      </c>
    </row>
    <row r="45" spans="1:5" x14ac:dyDescent="0.2">
      <c r="A45" s="779" t="s">
        <v>128</v>
      </c>
      <c r="B45" s="780">
        <v>400</v>
      </c>
      <c r="C45" s="780">
        <v>400</v>
      </c>
      <c r="D45" s="780" t="s">
        <v>516</v>
      </c>
      <c r="E45" s="780" t="s">
        <v>3665</v>
      </c>
    </row>
    <row r="46" spans="1:5" x14ac:dyDescent="0.2">
      <c r="A46" s="779" t="s">
        <v>128</v>
      </c>
      <c r="B46" s="780" t="s">
        <v>22</v>
      </c>
      <c r="C46" s="780" t="s">
        <v>22</v>
      </c>
      <c r="D46" s="780" t="s">
        <v>516</v>
      </c>
      <c r="E46" s="780" t="s">
        <v>1804</v>
      </c>
    </row>
    <row r="47" spans="1:5" x14ac:dyDescent="0.2">
      <c r="A47" s="779" t="s">
        <v>524</v>
      </c>
      <c r="B47" s="780" t="s">
        <v>22</v>
      </c>
      <c r="C47" s="780" t="s">
        <v>22</v>
      </c>
      <c r="D47" s="780" t="s">
        <v>1805</v>
      </c>
      <c r="E47" s="780" t="s">
        <v>1805</v>
      </c>
    </row>
    <row r="48" spans="1:5" x14ac:dyDescent="0.2">
      <c r="A48" s="779" t="s">
        <v>128</v>
      </c>
      <c r="B48" s="780" t="s">
        <v>22</v>
      </c>
      <c r="C48" s="780" t="s">
        <v>22</v>
      </c>
      <c r="D48" s="780" t="s">
        <v>3929</v>
      </c>
      <c r="E48" s="780" t="s">
        <v>3930</v>
      </c>
    </row>
    <row r="49" spans="1:5" x14ac:dyDescent="0.2">
      <c r="A49" s="779" t="s">
        <v>520</v>
      </c>
      <c r="B49" s="780" t="s">
        <v>22</v>
      </c>
      <c r="C49" s="780" t="s">
        <v>22</v>
      </c>
      <c r="D49" s="780" t="s">
        <v>23</v>
      </c>
      <c r="E49" s="780" t="s">
        <v>23</v>
      </c>
    </row>
    <row r="50" spans="1:5" x14ac:dyDescent="0.2">
      <c r="A50" s="779" t="s">
        <v>128</v>
      </c>
      <c r="B50" s="780" t="s">
        <v>22</v>
      </c>
      <c r="C50" s="780" t="s">
        <v>22</v>
      </c>
      <c r="D50" s="780" t="s">
        <v>24</v>
      </c>
      <c r="E50" s="780" t="s">
        <v>3665</v>
      </c>
    </row>
    <row r="51" spans="1:5" ht="14.25" customHeight="1" x14ac:dyDescent="0.2">
      <c r="A51" s="779" t="s">
        <v>1131</v>
      </c>
      <c r="B51" s="780" t="s">
        <v>25</v>
      </c>
      <c r="C51" s="780" t="s">
        <v>26</v>
      </c>
      <c r="D51" s="780" t="s">
        <v>516</v>
      </c>
      <c r="E51" s="780" t="s">
        <v>3665</v>
      </c>
    </row>
    <row r="52" spans="1:5" x14ac:dyDescent="0.2">
      <c r="A52" s="779" t="s">
        <v>128</v>
      </c>
      <c r="B52" s="780" t="s">
        <v>27</v>
      </c>
      <c r="C52" s="780" t="s">
        <v>28</v>
      </c>
      <c r="D52" s="780" t="s">
        <v>516</v>
      </c>
      <c r="E52" s="780" t="s">
        <v>3665</v>
      </c>
    </row>
    <row r="53" spans="1:5" x14ac:dyDescent="0.2">
      <c r="A53" s="779" t="s">
        <v>530</v>
      </c>
      <c r="B53" s="780" t="s">
        <v>29</v>
      </c>
      <c r="C53" s="780" t="s">
        <v>30</v>
      </c>
      <c r="D53" s="780" t="s">
        <v>516</v>
      </c>
      <c r="E53" s="780" t="s">
        <v>3665</v>
      </c>
    </row>
    <row r="54" spans="1:5" x14ac:dyDescent="0.2">
      <c r="A54" s="779" t="s">
        <v>110</v>
      </c>
      <c r="B54" s="780" t="s">
        <v>31</v>
      </c>
      <c r="C54" s="780" t="s">
        <v>31</v>
      </c>
      <c r="D54" s="780" t="s">
        <v>516</v>
      </c>
      <c r="E54" s="780">
        <v>1398</v>
      </c>
    </row>
    <row r="55" spans="1:5" x14ac:dyDescent="0.2">
      <c r="A55" s="779" t="s">
        <v>3666</v>
      </c>
      <c r="B55" s="780" t="s">
        <v>31</v>
      </c>
      <c r="C55" s="780" t="s">
        <v>31</v>
      </c>
      <c r="D55" s="780">
        <v>1400</v>
      </c>
      <c r="E55" s="780">
        <v>1499</v>
      </c>
    </row>
    <row r="56" spans="1:5" x14ac:dyDescent="0.2">
      <c r="A56" s="779" t="s">
        <v>128</v>
      </c>
      <c r="B56" s="780" t="s">
        <v>32</v>
      </c>
      <c r="C56" s="780" t="s">
        <v>33</v>
      </c>
      <c r="D56" s="780" t="s">
        <v>516</v>
      </c>
      <c r="E56" s="780" t="s">
        <v>3665</v>
      </c>
    </row>
    <row r="57" spans="1:5" x14ac:dyDescent="0.2">
      <c r="A57" s="779" t="s">
        <v>128</v>
      </c>
      <c r="B57" s="780" t="s">
        <v>34</v>
      </c>
      <c r="C57" s="780" t="s">
        <v>34</v>
      </c>
      <c r="D57" s="780" t="s">
        <v>516</v>
      </c>
      <c r="E57" s="780" t="s">
        <v>3665</v>
      </c>
    </row>
    <row r="58" spans="1:5" x14ac:dyDescent="0.2">
      <c r="A58" s="779" t="s">
        <v>3664</v>
      </c>
      <c r="B58" s="780" t="s">
        <v>36</v>
      </c>
      <c r="C58" s="780" t="s">
        <v>36</v>
      </c>
      <c r="D58" s="780" t="s">
        <v>516</v>
      </c>
      <c r="E58" s="780" t="s">
        <v>3665</v>
      </c>
    </row>
    <row r="59" spans="1:5" x14ac:dyDescent="0.2">
      <c r="A59" s="779" t="s">
        <v>128</v>
      </c>
      <c r="B59" s="780" t="s">
        <v>37</v>
      </c>
      <c r="C59" s="780" t="s">
        <v>37</v>
      </c>
      <c r="D59" s="780" t="s">
        <v>516</v>
      </c>
      <c r="E59" s="780" t="s">
        <v>35</v>
      </c>
    </row>
    <row r="60" spans="1:5" x14ac:dyDescent="0.2">
      <c r="A60" s="779" t="s">
        <v>3664</v>
      </c>
      <c r="B60" s="780" t="s">
        <v>38</v>
      </c>
      <c r="C60" s="780" t="s">
        <v>39</v>
      </c>
      <c r="D60" s="780" t="s">
        <v>516</v>
      </c>
      <c r="E60" s="780" t="s">
        <v>3665</v>
      </c>
    </row>
    <row r="62" spans="1:5" x14ac:dyDescent="0.2">
      <c r="A62" s="1433" t="s">
        <v>3663</v>
      </c>
    </row>
    <row r="63" spans="1:5" x14ac:dyDescent="0.2">
      <c r="A63" s="1433" t="s">
        <v>3669</v>
      </c>
    </row>
  </sheetData>
  <sheetProtection algorithmName="SHA-512" hashValue="Livo6ReldeT1AlqDoRm7UDGDWLEMs+8KwhFsTYN0CTI6u8UfAjC/W/V0k+8bvRGl4ZyaxixNyyeisCTc0vLkoQ==" saltValue="5zRceFPNJ1NZVtGLKeFsRQ==" spinCount="100000" sheet="1" objects="1" scenarios="1" autoFilter="0"/>
  <customSheetViews>
    <customSheetView guid="{B08879A4-635B-4C39-9937-AC7883D562FC}">
      <selection sqref="A1:E1"/>
      <pageMargins left="0.7" right="0.7" top="0.75" bottom="0.75" header="0.3" footer="0.3"/>
      <pageSetup orientation="portrait" r:id="rId1"/>
    </customSheetView>
    <customSheetView guid="{9FCFC836-1CA5-48BF-958D-24D2EA94B219}">
      <selection sqref="A1:E1"/>
      <pageMargins left="0.7" right="0.7" top="0.75" bottom="0.75" header="0.3" footer="0.3"/>
      <pageSetup orientation="portrait" r:id="rId2"/>
    </customSheetView>
  </customSheetViews>
  <mergeCells count="2">
    <mergeCell ref="A1:E1"/>
    <mergeCell ref="A2:E2"/>
  </mergeCells>
  <phoneticPr fontId="111" type="noConversion"/>
  <hyperlinks>
    <hyperlink ref="A1:I1" location="Index!A1" display="Index!A1" xr:uid="{00000000-0004-0000-5800-000000000000}"/>
  </hyperlinks>
  <pageMargins left="0.7" right="0.7" top="0.5" bottom="0.5" header="0.3" footer="0.3"/>
  <pageSetup scale="90" orientation="portrait"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I48"/>
  <sheetViews>
    <sheetView zoomScaleNormal="100" workbookViewId="0"/>
  </sheetViews>
  <sheetFormatPr defaultColWidth="9.42578125" defaultRowHeight="12.75" x14ac:dyDescent="0.2"/>
  <cols>
    <col min="1" max="1" width="10" style="1040" customWidth="1"/>
    <col min="2" max="2" width="43.5703125" style="1040" customWidth="1"/>
    <col min="3" max="3" width="21.5703125" style="1040" customWidth="1"/>
    <col min="4" max="4" width="13" style="1040" customWidth="1"/>
    <col min="5" max="5" width="11" style="1040" customWidth="1"/>
    <col min="6" max="6" width="10" style="1040" customWidth="1"/>
    <col min="7" max="7" width="4" style="1040" customWidth="1"/>
    <col min="8" max="8" width="9.42578125" style="1040"/>
    <col min="9" max="9" width="16.5703125" style="1487" bestFit="1" customWidth="1"/>
    <col min="10" max="16384" width="9.42578125" style="1040"/>
  </cols>
  <sheetData>
    <row r="1" spans="1:7" x14ac:dyDescent="0.2">
      <c r="B1" s="1161" t="s">
        <v>1471</v>
      </c>
      <c r="C1" s="1270"/>
    </row>
    <row r="2" spans="1:7" ht="12.75" customHeight="1" x14ac:dyDescent="0.2">
      <c r="B2" s="1061" t="s">
        <v>4913</v>
      </c>
      <c r="C2" s="1061"/>
    </row>
    <row r="3" spans="1:7" ht="51" customHeight="1" x14ac:dyDescent="0.2">
      <c r="A3" s="1037" t="s">
        <v>1460</v>
      </c>
      <c r="B3" s="1039" t="s">
        <v>1924</v>
      </c>
      <c r="C3" s="1038" t="s">
        <v>5665</v>
      </c>
      <c r="D3" s="1039" t="s">
        <v>4962</v>
      </c>
      <c r="E3" s="1224" t="s">
        <v>5666</v>
      </c>
      <c r="F3" s="1039"/>
      <c r="G3" s="1039"/>
    </row>
    <row r="4" spans="1:7" ht="13.5" customHeight="1" x14ac:dyDescent="0.2">
      <c r="A4" s="1037"/>
      <c r="B4" s="1039"/>
      <c r="C4" s="1039"/>
      <c r="D4" s="1039"/>
      <c r="F4" s="1039"/>
      <c r="G4" s="1039"/>
    </row>
    <row r="5" spans="1:7" ht="15.75" x14ac:dyDescent="0.25">
      <c r="A5" s="1051" t="s">
        <v>1461</v>
      </c>
      <c r="B5" s="1042" t="s">
        <v>4963</v>
      </c>
      <c r="C5" s="1043">
        <f>PriorYr905!E253</f>
        <v>2194239572.1999998</v>
      </c>
      <c r="D5" s="1044" t="s">
        <v>1462</v>
      </c>
      <c r="E5" s="1061" t="s">
        <v>4976</v>
      </c>
      <c r="F5" s="1043" t="str">
        <f>IF(SUM(C6:C14)=C5,"ok","Problem: sum of net position for the 48 entities should equal 48X net position")</f>
        <v>ok</v>
      </c>
    </row>
    <row r="6" spans="1:7" ht="15.75" x14ac:dyDescent="0.25">
      <c r="A6" s="1063" t="s">
        <v>1473</v>
      </c>
      <c r="B6" s="1044" t="s">
        <v>678</v>
      </c>
      <c r="C6" s="1043">
        <f>PriorYr905!F253</f>
        <v>965313253.44000006</v>
      </c>
      <c r="D6" s="1044" t="s">
        <v>1474</v>
      </c>
      <c r="E6" s="1061" t="s">
        <v>4976</v>
      </c>
      <c r="F6" s="1043"/>
    </row>
    <row r="7" spans="1:7" ht="15.75" x14ac:dyDescent="0.25">
      <c r="A7" s="1051" t="s">
        <v>896</v>
      </c>
      <c r="B7" s="1044" t="s">
        <v>897</v>
      </c>
      <c r="C7" s="1043">
        <f>PriorYr905!G253</f>
        <v>129352347.98999999</v>
      </c>
      <c r="D7" s="1045">
        <v>2635</v>
      </c>
      <c r="E7" s="1061" t="s">
        <v>4976</v>
      </c>
      <c r="F7" s="1043"/>
    </row>
    <row r="8" spans="1:7" ht="15.75" x14ac:dyDescent="0.25">
      <c r="A8" s="1051" t="s">
        <v>169</v>
      </c>
      <c r="B8" s="1044" t="s">
        <v>170</v>
      </c>
      <c r="C8" s="1043">
        <f>PriorYr905!H253</f>
        <v>31789089</v>
      </c>
      <c r="D8" s="1045">
        <v>2632</v>
      </c>
      <c r="E8" s="1061" t="s">
        <v>4976</v>
      </c>
      <c r="F8" s="1043"/>
    </row>
    <row r="9" spans="1:7" ht="15.75" x14ac:dyDescent="0.25">
      <c r="A9" s="1051" t="s">
        <v>168</v>
      </c>
      <c r="B9" s="1044" t="s">
        <v>573</v>
      </c>
      <c r="C9" s="1043">
        <f>PriorYr905!I253</f>
        <v>944825557.21000004</v>
      </c>
      <c r="D9" s="1045">
        <v>2637</v>
      </c>
      <c r="E9" s="1061" t="s">
        <v>4976</v>
      </c>
      <c r="F9" s="1043"/>
    </row>
    <row r="10" spans="1:7" ht="15.75" x14ac:dyDescent="0.25">
      <c r="A10" s="1051" t="s">
        <v>1304</v>
      </c>
      <c r="B10" s="1044" t="s">
        <v>1310</v>
      </c>
      <c r="C10" s="1043">
        <f>PriorYr905!J253</f>
        <v>-882532.79</v>
      </c>
      <c r="D10" s="1045">
        <v>2638</v>
      </c>
      <c r="E10" s="1061" t="s">
        <v>4976</v>
      </c>
      <c r="F10" s="1043"/>
    </row>
    <row r="11" spans="1:7" ht="15.75" x14ac:dyDescent="0.25">
      <c r="A11" s="1051" t="s">
        <v>1399</v>
      </c>
      <c r="B11" s="1044" t="s">
        <v>1463</v>
      </c>
      <c r="C11" s="1043">
        <f>PriorYr905!K253</f>
        <v>37257576.869999997</v>
      </c>
      <c r="D11" s="1045">
        <v>2639</v>
      </c>
      <c r="E11" s="1061" t="s">
        <v>4976</v>
      </c>
      <c r="F11" s="1043"/>
    </row>
    <row r="12" spans="1:7" ht="15.75" x14ac:dyDescent="0.25">
      <c r="A12" s="1051" t="s">
        <v>3524</v>
      </c>
      <c r="B12" s="1044" t="s">
        <v>3527</v>
      </c>
      <c r="C12" s="1043">
        <f>PriorYr905!L253</f>
        <v>0</v>
      </c>
      <c r="D12" s="1044" t="s">
        <v>1462</v>
      </c>
      <c r="E12" s="1061" t="s">
        <v>4976</v>
      </c>
      <c r="F12" s="1043"/>
    </row>
    <row r="13" spans="1:7" ht="15.75" x14ac:dyDescent="0.25">
      <c r="A13" s="1051" t="s">
        <v>4590</v>
      </c>
      <c r="B13" s="1044" t="s">
        <v>4593</v>
      </c>
      <c r="C13" s="1043">
        <f>PriorYr905!M253</f>
        <v>14154557.119999999</v>
      </c>
      <c r="D13" s="1044" t="s">
        <v>1462</v>
      </c>
      <c r="E13" s="1061" t="s">
        <v>4976</v>
      </c>
      <c r="F13" s="1043"/>
    </row>
    <row r="14" spans="1:7" ht="15.75" x14ac:dyDescent="0.25">
      <c r="A14" s="1051" t="s">
        <v>3525</v>
      </c>
      <c r="B14" s="1044" t="s">
        <v>3528</v>
      </c>
      <c r="C14" s="1043">
        <f>PriorYr905!N253</f>
        <v>72429723.359999999</v>
      </c>
      <c r="D14" s="1044" t="s">
        <v>1462</v>
      </c>
      <c r="E14" s="1061" t="s">
        <v>4976</v>
      </c>
      <c r="F14" s="1043"/>
    </row>
    <row r="15" spans="1:7" ht="15.75" x14ac:dyDescent="0.25">
      <c r="A15" s="1062" t="s">
        <v>1472</v>
      </c>
      <c r="B15" s="1044" t="s">
        <v>1286</v>
      </c>
      <c r="C15" s="1821">
        <v>60492780.799999997</v>
      </c>
      <c r="D15" s="1044" t="s">
        <v>351</v>
      </c>
      <c r="E15" s="1061" t="s">
        <v>1287</v>
      </c>
      <c r="F15" s="1821" t="s">
        <v>4367</v>
      </c>
    </row>
    <row r="16" spans="1:7" ht="15.75" x14ac:dyDescent="0.25">
      <c r="A16" s="1051" t="s">
        <v>401</v>
      </c>
      <c r="B16" s="1044" t="s">
        <v>4622</v>
      </c>
      <c r="C16" s="1043">
        <f>PriorYr905!O253</f>
        <v>173202299.74000001</v>
      </c>
      <c r="D16" s="1044" t="s">
        <v>351</v>
      </c>
      <c r="E16" s="1061" t="s">
        <v>4976</v>
      </c>
      <c r="F16" s="1043"/>
    </row>
    <row r="17" spans="1:6" ht="15.75" x14ac:dyDescent="0.25">
      <c r="A17" s="1051" t="s">
        <v>402</v>
      </c>
      <c r="B17" s="1044" t="s">
        <v>725</v>
      </c>
      <c r="C17" s="1043">
        <f>PriorYr905!P253</f>
        <v>3649932301.9200001</v>
      </c>
      <c r="D17" s="1044" t="s">
        <v>351</v>
      </c>
      <c r="E17" s="1061" t="s">
        <v>4976</v>
      </c>
      <c r="F17" s="1043"/>
    </row>
    <row r="18" spans="1:6" ht="15.75" x14ac:dyDescent="0.25">
      <c r="A18" s="1051" t="s">
        <v>403</v>
      </c>
      <c r="B18" s="1044" t="s">
        <v>171</v>
      </c>
      <c r="C18" s="1043">
        <f>PriorYr905!Q253</f>
        <v>1061545624.92</v>
      </c>
      <c r="D18" s="1044" t="s">
        <v>351</v>
      </c>
      <c r="E18" s="1061" t="s">
        <v>4976</v>
      </c>
      <c r="F18" s="1043"/>
    </row>
    <row r="19" spans="1:6" ht="15.75" x14ac:dyDescent="0.25">
      <c r="A19" s="1051" t="s">
        <v>404</v>
      </c>
      <c r="B19" s="1044" t="s">
        <v>726</v>
      </c>
      <c r="C19" s="1043">
        <f>PriorYr905!R253</f>
        <v>669910957.38999999</v>
      </c>
      <c r="D19" s="1044" t="s">
        <v>351</v>
      </c>
      <c r="E19" s="1061" t="s">
        <v>4976</v>
      </c>
      <c r="F19" s="1043"/>
    </row>
    <row r="20" spans="1:6" ht="15.75" x14ac:dyDescent="0.25">
      <c r="A20" s="1051" t="s">
        <v>405</v>
      </c>
      <c r="B20" s="1044" t="s">
        <v>178</v>
      </c>
      <c r="C20" s="1043">
        <f>PriorYr905!S253</f>
        <v>796165342.10000002</v>
      </c>
      <c r="D20" s="1044" t="s">
        <v>351</v>
      </c>
      <c r="E20" s="1061" t="s">
        <v>4976</v>
      </c>
      <c r="F20" s="1043"/>
    </row>
    <row r="21" spans="1:6" ht="15.75" x14ac:dyDescent="0.25">
      <c r="A21" s="1051" t="s">
        <v>406</v>
      </c>
      <c r="B21" s="1044" t="s">
        <v>179</v>
      </c>
      <c r="C21" s="1043">
        <f>PriorYr905!T253</f>
        <v>104151342.52</v>
      </c>
      <c r="D21" s="1044" t="s">
        <v>351</v>
      </c>
      <c r="E21" s="1061" t="s">
        <v>4976</v>
      </c>
      <c r="F21" s="1043"/>
    </row>
    <row r="22" spans="1:6" ht="15.75" x14ac:dyDescent="0.25">
      <c r="A22" s="1051" t="s">
        <v>64</v>
      </c>
      <c r="B22" s="1044" t="s">
        <v>180</v>
      </c>
      <c r="C22" s="1043">
        <f>PriorYr905!U253</f>
        <v>437395921.66000003</v>
      </c>
      <c r="D22" s="1044" t="s">
        <v>351</v>
      </c>
      <c r="E22" s="1061" t="s">
        <v>4976</v>
      </c>
      <c r="F22" s="1043"/>
    </row>
    <row r="23" spans="1:6" ht="15.75" x14ac:dyDescent="0.25">
      <c r="A23" s="1051" t="s">
        <v>65</v>
      </c>
      <c r="B23" s="1044" t="s">
        <v>6</v>
      </c>
      <c r="C23" s="1043">
        <f>PriorYr905!V253</f>
        <v>226019103.31</v>
      </c>
      <c r="D23" s="1044" t="s">
        <v>351</v>
      </c>
      <c r="E23" s="1061" t="s">
        <v>4976</v>
      </c>
      <c r="F23" s="1043"/>
    </row>
    <row r="24" spans="1:6" ht="15.75" x14ac:dyDescent="0.25">
      <c r="A24" s="1051" t="s">
        <v>66</v>
      </c>
      <c r="B24" s="1044" t="s">
        <v>1285</v>
      </c>
      <c r="C24" s="1043">
        <f>PriorYr905!W253</f>
        <v>401717872.48000002</v>
      </c>
      <c r="D24" s="1044" t="s">
        <v>351</v>
      </c>
      <c r="E24" s="1061" t="s">
        <v>4976</v>
      </c>
      <c r="F24" s="1043"/>
    </row>
    <row r="25" spans="1:6" ht="15.75" x14ac:dyDescent="0.25">
      <c r="A25" s="1051" t="s">
        <v>67</v>
      </c>
      <c r="B25" s="1044" t="s">
        <v>173</v>
      </c>
      <c r="C25" s="1043">
        <f>PriorYr905!X253</f>
        <v>465406821.81</v>
      </c>
      <c r="D25" s="1044" t="s">
        <v>351</v>
      </c>
      <c r="E25" s="1061" t="s">
        <v>4976</v>
      </c>
      <c r="F25" s="1043"/>
    </row>
    <row r="26" spans="1:6" ht="15.75" x14ac:dyDescent="0.25">
      <c r="A26" s="1051" t="s">
        <v>741</v>
      </c>
      <c r="B26" s="1044" t="s">
        <v>172</v>
      </c>
      <c r="C26" s="1043">
        <f>PriorYr905!Y253</f>
        <v>377408368.13</v>
      </c>
      <c r="D26" s="1044" t="s">
        <v>351</v>
      </c>
      <c r="E26" s="1061" t="s">
        <v>4976</v>
      </c>
      <c r="F26" s="1043"/>
    </row>
    <row r="27" spans="1:6" ht="15.75" x14ac:dyDescent="0.25">
      <c r="A27" s="1051" t="s">
        <v>742</v>
      </c>
      <c r="B27" s="1044" t="s">
        <v>181</v>
      </c>
      <c r="C27" s="1043">
        <f>PriorYr905!Z253</f>
        <v>92361512.469999999</v>
      </c>
      <c r="D27" s="1044" t="s">
        <v>351</v>
      </c>
      <c r="E27" s="1061" t="s">
        <v>4976</v>
      </c>
      <c r="F27" s="1043"/>
    </row>
    <row r="28" spans="1:6" ht="15.75" x14ac:dyDescent="0.25">
      <c r="A28" s="1051" t="s">
        <v>743</v>
      </c>
      <c r="B28" s="1044" t="s">
        <v>174</v>
      </c>
      <c r="C28" s="1043">
        <f>PriorYr905!AA253</f>
        <v>107970245.63</v>
      </c>
      <c r="D28" s="1044" t="s">
        <v>351</v>
      </c>
      <c r="E28" s="1061" t="s">
        <v>4976</v>
      </c>
      <c r="F28" s="1043"/>
    </row>
    <row r="29" spans="1:6" ht="15.75" x14ac:dyDescent="0.25">
      <c r="A29" s="1051" t="s">
        <v>744</v>
      </c>
      <c r="B29" s="1044" t="s">
        <v>68</v>
      </c>
      <c r="C29" s="1043">
        <f>PriorYr905!AB253</f>
        <v>126811235.59</v>
      </c>
      <c r="D29" s="1044" t="s">
        <v>351</v>
      </c>
      <c r="E29" s="1061" t="s">
        <v>4976</v>
      </c>
      <c r="F29" s="1043"/>
    </row>
    <row r="30" spans="1:6" ht="15.75" x14ac:dyDescent="0.25">
      <c r="A30" s="1051" t="s">
        <v>745</v>
      </c>
      <c r="B30" s="1044" t="s">
        <v>69</v>
      </c>
      <c r="C30" s="1043">
        <f>PriorYr905!AC253</f>
        <v>65704689.509999998</v>
      </c>
      <c r="D30" s="1044" t="s">
        <v>351</v>
      </c>
      <c r="E30" s="1061" t="s">
        <v>4976</v>
      </c>
      <c r="F30" s="1043"/>
    </row>
    <row r="31" spans="1:6" ht="15.75" x14ac:dyDescent="0.25">
      <c r="A31" s="1051" t="s">
        <v>746</v>
      </c>
      <c r="B31" s="1044" t="s">
        <v>7</v>
      </c>
      <c r="C31" s="1043">
        <f>PriorYr905!AD253</f>
        <v>90397312.549999997</v>
      </c>
      <c r="D31" s="1044" t="s">
        <v>351</v>
      </c>
      <c r="E31" s="1061" t="s">
        <v>4976</v>
      </c>
      <c r="F31" s="1043"/>
    </row>
    <row r="32" spans="1:6" ht="15.75" x14ac:dyDescent="0.25">
      <c r="A32" s="1051" t="s">
        <v>747</v>
      </c>
      <c r="B32" s="1044" t="s">
        <v>1284</v>
      </c>
      <c r="C32" s="1043">
        <f>PriorYr905!AE253</f>
        <v>132255439.87</v>
      </c>
      <c r="D32" s="1044" t="s">
        <v>351</v>
      </c>
      <c r="E32" s="1061" t="s">
        <v>4976</v>
      </c>
      <c r="F32" s="1043"/>
    </row>
    <row r="33" spans="1:9" ht="15.75" x14ac:dyDescent="0.25">
      <c r="A33" s="1051" t="s">
        <v>1689</v>
      </c>
      <c r="B33" s="1044" t="s">
        <v>1690</v>
      </c>
      <c r="C33" s="1043">
        <f>PriorYr905!AF253</f>
        <v>53943742.270000003</v>
      </c>
      <c r="D33" s="1044" t="s">
        <v>351</v>
      </c>
      <c r="E33" s="1061" t="s">
        <v>4976</v>
      </c>
      <c r="F33" s="1043"/>
    </row>
    <row r="34" spans="1:9" ht="15.75" x14ac:dyDescent="0.25">
      <c r="A34" s="1215" t="s">
        <v>399</v>
      </c>
      <c r="B34" s="1044" t="s">
        <v>724</v>
      </c>
      <c r="C34" s="1211">
        <f>PriorYr905!AG253</f>
        <v>9646312.3399999999</v>
      </c>
      <c r="D34" s="1045">
        <v>2517</v>
      </c>
      <c r="E34" s="1061" t="s">
        <v>4976</v>
      </c>
      <c r="F34" s="1043"/>
    </row>
    <row r="35" spans="1:9" ht="15.75" x14ac:dyDescent="0.25">
      <c r="A35" s="1050" t="s">
        <v>1093</v>
      </c>
      <c r="B35" s="1044" t="s">
        <v>148</v>
      </c>
      <c r="C35" s="1210">
        <v>1796027273.3099999</v>
      </c>
      <c r="D35" s="1045">
        <v>3324</v>
      </c>
      <c r="E35" s="1061" t="s">
        <v>4976</v>
      </c>
      <c r="F35" s="1043" t="s">
        <v>1926</v>
      </c>
      <c r="I35" s="1987"/>
    </row>
    <row r="36" spans="1:9" ht="15.75" x14ac:dyDescent="0.25">
      <c r="A36" s="1050" t="s">
        <v>149</v>
      </c>
      <c r="B36" s="1044" t="s">
        <v>1020</v>
      </c>
      <c r="C36" s="1210">
        <v>13095577599.01</v>
      </c>
      <c r="D36" s="1045">
        <v>3318</v>
      </c>
      <c r="E36" s="1061" t="s">
        <v>4976</v>
      </c>
      <c r="F36" s="1043" t="s">
        <v>1926</v>
      </c>
      <c r="I36" s="1987"/>
    </row>
    <row r="37" spans="1:9" ht="15.75" x14ac:dyDescent="0.25">
      <c r="A37" s="1041"/>
      <c r="B37" s="1044"/>
      <c r="C37" s="1043"/>
      <c r="D37" s="1045"/>
      <c r="F37" s="1043"/>
    </row>
    <row r="38" spans="1:9" ht="15.75" x14ac:dyDescent="0.25">
      <c r="A38" s="1041"/>
      <c r="B38" s="1044" t="s">
        <v>1925</v>
      </c>
      <c r="C38" s="1043">
        <f>SUM(C6:C33)-C15</f>
        <v>11226539706.07</v>
      </c>
      <c r="D38" s="1045"/>
      <c r="F38" s="1350" t="str">
        <f>IF((C38-PriorYr905!AH186=0),"ok","problem-check PY balances")</f>
        <v>ok</v>
      </c>
    </row>
    <row r="39" spans="1:9" ht="15.75" x14ac:dyDescent="0.25">
      <c r="A39" s="1052" t="s">
        <v>1465</v>
      </c>
      <c r="B39" s="1044" t="s">
        <v>1927</v>
      </c>
      <c r="C39" s="1049">
        <f>SUM(C6:C33)</f>
        <v>11287032486.870001</v>
      </c>
      <c r="D39" s="1045"/>
      <c r="F39" s="1043" t="s">
        <v>5680</v>
      </c>
    </row>
    <row r="41" spans="1:9" ht="29.25" customHeight="1" x14ac:dyDescent="0.2">
      <c r="B41" s="3376" t="s">
        <v>5681</v>
      </c>
      <c r="C41" s="3376"/>
      <c r="D41" s="3376"/>
      <c r="E41" s="3376"/>
    </row>
    <row r="42" spans="1:9" x14ac:dyDescent="0.2">
      <c r="C42" s="1046"/>
    </row>
    <row r="43" spans="1:9" x14ac:dyDescent="0.2">
      <c r="A43" s="1061" t="s">
        <v>5683</v>
      </c>
      <c r="C43" s="1046"/>
    </row>
    <row r="44" spans="1:9" x14ac:dyDescent="0.2">
      <c r="A44" s="1061" t="s">
        <v>5682</v>
      </c>
      <c r="C44" s="1046"/>
    </row>
    <row r="45" spans="1:9" x14ac:dyDescent="0.2">
      <c r="A45" s="1061" t="s">
        <v>4977</v>
      </c>
    </row>
    <row r="46" spans="1:9" x14ac:dyDescent="0.2">
      <c r="A46" s="1061"/>
    </row>
    <row r="47" spans="1:9" x14ac:dyDescent="0.2">
      <c r="A47" s="1061"/>
    </row>
    <row r="48" spans="1:9" x14ac:dyDescent="0.2">
      <c r="A48" s="1061"/>
    </row>
  </sheetData>
  <sheetProtection algorithmName="SHA-512" hashValue="uOZOUJ9AsfJ/VyduTzUM/KWyz/Y2bIvk/Z6A9uUePxBverDcvecfv9D0lTU/p+9oywPI5eIR0BRMIsQoK4uv+g==" saltValue="ORn61Yg+RTZ5DxzCfR5xVQ==" spinCount="100000" sheet="1" objects="1" scenarios="1" autoFilter="0"/>
  <customSheetViews>
    <customSheetView guid="{B08879A4-635B-4C39-9937-AC7883D562FC}" topLeftCell="A25">
      <pageMargins left="0.2" right="0.2" top="0.5" bottom="0.5" header="0.3" footer="0.3"/>
      <printOptions headings="1"/>
      <pageSetup orientation="portrait" r:id="rId1"/>
    </customSheetView>
    <customSheetView guid="{9FCFC836-1CA5-48BF-958D-24D2EA94B219}" topLeftCell="A25">
      <pageMargins left="0.2" right="0.2" top="0.5" bottom="0.5" header="0.3" footer="0.3"/>
      <printOptions headings="1"/>
      <pageSetup orientation="portrait" r:id="rId2"/>
    </customSheetView>
  </customSheetViews>
  <mergeCells count="1">
    <mergeCell ref="B41:E41"/>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I341"/>
  <sheetViews>
    <sheetView zoomScaleNormal="100" workbookViewId="0">
      <pane xSplit="4" ySplit="11" topLeftCell="AA12" activePane="bottomRight" state="frozen"/>
      <selection sqref="A1:E1"/>
      <selection pane="topRight" sqref="A1:E1"/>
      <selection pane="bottomLeft" sqref="A1:E1"/>
      <selection pane="bottomRight" activeCell="AH186" sqref="AH186"/>
    </sheetView>
  </sheetViews>
  <sheetFormatPr defaultRowHeight="12.75" x14ac:dyDescent="0.2"/>
  <cols>
    <col min="1" max="1" width="4.42578125" customWidth="1"/>
    <col min="2" max="2" width="22" customWidth="1"/>
    <col min="3" max="3" width="18.5703125" customWidth="1"/>
    <col min="4" max="4" width="4" customWidth="1"/>
    <col min="5" max="5" width="17.5703125" customWidth="1"/>
    <col min="6" max="6" width="18.42578125" customWidth="1"/>
    <col min="7" max="8" width="16.5703125" customWidth="1"/>
    <col min="9" max="9" width="19.42578125" customWidth="1"/>
    <col min="10" max="11" width="16.5703125" customWidth="1"/>
    <col min="12" max="12" width="7.140625" customWidth="1"/>
    <col min="13" max="14" width="16.5703125" customWidth="1"/>
    <col min="15" max="15" width="16.5703125" style="2036" customWidth="1"/>
    <col min="16" max="16" width="17.7109375" customWidth="1"/>
    <col min="17" max="17" width="17.28515625" customWidth="1"/>
    <col min="18" max="33" width="16.5703125" customWidth="1"/>
    <col min="34" max="34" width="18.42578125" customWidth="1"/>
    <col min="35" max="35" width="17.5703125" bestFit="1" customWidth="1"/>
  </cols>
  <sheetData>
    <row r="1" spans="1:34" ht="15.75" x14ac:dyDescent="0.25">
      <c r="B1" s="2767" t="str">
        <f>+Index!$A$1</f>
        <v xml:space="preserve">                                                               Office of the State Controller                                                                </v>
      </c>
      <c r="C1" s="2767"/>
      <c r="D1" s="2767"/>
      <c r="E1" s="2767"/>
      <c r="F1" s="2767"/>
      <c r="G1" s="2767"/>
      <c r="H1" s="2767"/>
      <c r="I1" s="272"/>
      <c r="J1" s="272"/>
      <c r="K1" s="272"/>
      <c r="L1" s="272"/>
      <c r="M1" s="272"/>
      <c r="N1" s="272"/>
      <c r="P1" s="272"/>
      <c r="Q1" s="1368"/>
      <c r="R1" s="272"/>
      <c r="S1" s="272"/>
      <c r="T1" s="1368"/>
      <c r="U1" s="272"/>
      <c r="V1" s="272"/>
      <c r="W1" s="272"/>
      <c r="X1" s="272"/>
      <c r="Y1" s="272"/>
      <c r="Z1" s="272"/>
      <c r="AA1" s="272"/>
      <c r="AB1" s="272"/>
      <c r="AC1" s="272"/>
      <c r="AD1" s="272"/>
      <c r="AE1" s="272"/>
      <c r="AF1" s="272"/>
      <c r="AG1" s="272"/>
    </row>
    <row r="2" spans="1:34" ht="15.75" x14ac:dyDescent="0.25">
      <c r="B2" s="2749" t="str">
        <f>+Index!$A$2</f>
        <v>2022 ACFR Worksheets</v>
      </c>
      <c r="C2" s="2749"/>
      <c r="D2" s="2749"/>
      <c r="E2" s="2749"/>
      <c r="F2" s="2749"/>
      <c r="G2" s="2749"/>
      <c r="H2" s="2749"/>
      <c r="I2" s="272"/>
      <c r="J2" s="272"/>
      <c r="K2" s="272"/>
      <c r="L2" s="272"/>
      <c r="M2" s="272"/>
      <c r="N2" s="272"/>
      <c r="P2" s="272"/>
      <c r="Q2" s="272"/>
      <c r="R2" s="272"/>
      <c r="S2" s="272"/>
      <c r="T2" s="272"/>
      <c r="U2" s="272"/>
      <c r="X2" s="272"/>
      <c r="Y2" s="272"/>
      <c r="Z2" s="272"/>
      <c r="AA2" s="272"/>
      <c r="AB2" s="272"/>
      <c r="AC2" s="272"/>
      <c r="AE2" s="272"/>
      <c r="AG2" s="272"/>
    </row>
    <row r="3" spans="1:34" ht="15.75" x14ac:dyDescent="0.25">
      <c r="B3" s="3327" t="s">
        <v>1914</v>
      </c>
      <c r="C3" s="3327"/>
      <c r="D3" s="3327"/>
      <c r="E3" s="3327"/>
      <c r="F3" s="3327"/>
      <c r="G3" s="3327"/>
      <c r="H3" s="3327"/>
      <c r="P3" s="272"/>
      <c r="U3" s="272"/>
      <c r="AG3" s="272"/>
    </row>
    <row r="4" spans="1:34" x14ac:dyDescent="0.2">
      <c r="B4" s="3303" t="s">
        <v>4964</v>
      </c>
      <c r="C4" s="3303"/>
      <c r="D4" s="3303"/>
      <c r="E4" s="3303"/>
      <c r="F4" s="3303"/>
      <c r="G4" s="3303"/>
      <c r="H4" s="3303"/>
      <c r="P4" s="272"/>
    </row>
    <row r="5" spans="1:34" x14ac:dyDescent="0.2">
      <c r="B5" s="200" t="s">
        <v>327</v>
      </c>
      <c r="C5" s="1217" t="str">
        <f>+Index!$E$10</f>
        <v>01</v>
      </c>
      <c r="E5" s="799" t="s">
        <v>972</v>
      </c>
      <c r="F5" s="3326" t="str">
        <f>+CONCATENATE(Index!$E$12," ",Index!$E$14)</f>
        <v xml:space="preserve"> </v>
      </c>
      <c r="G5" s="3326"/>
      <c r="H5" s="3326"/>
      <c r="P5" s="272"/>
    </row>
    <row r="6" spans="1:34" x14ac:dyDescent="0.2">
      <c r="B6" s="200" t="s">
        <v>1154</v>
      </c>
      <c r="C6" s="3305" t="str">
        <f>+Index!$E$11</f>
        <v>North Carolina General Assembly</v>
      </c>
      <c r="D6" s="3305"/>
      <c r="E6" s="3305"/>
      <c r="F6" s="800" t="s">
        <v>348</v>
      </c>
      <c r="G6" s="3386">
        <f>+Index!$E$13</f>
        <v>0</v>
      </c>
      <c r="H6" s="3386"/>
      <c r="P6" s="1610"/>
    </row>
    <row r="7" spans="1:34" ht="13.5" thickBot="1" x14ac:dyDescent="0.25">
      <c r="B7" s="1218"/>
      <c r="C7" s="1214"/>
      <c r="D7" s="838"/>
      <c r="E7" s="1218"/>
      <c r="F7" s="1218"/>
      <c r="G7" s="1219"/>
      <c r="H7" s="1218"/>
      <c r="L7" s="1610" t="s">
        <v>4709</v>
      </c>
      <c r="O7" s="2077"/>
      <c r="P7" s="2038"/>
      <c r="Q7" s="2038"/>
      <c r="R7" s="2077"/>
      <c r="S7" s="2077"/>
      <c r="T7" s="2077"/>
      <c r="X7" s="272"/>
      <c r="Y7" s="272"/>
      <c r="Z7" s="272"/>
      <c r="AA7" s="272"/>
      <c r="AB7" s="272"/>
      <c r="AC7" s="272"/>
      <c r="AD7" s="272"/>
      <c r="AE7" s="272"/>
    </row>
    <row r="8" spans="1:34" x14ac:dyDescent="0.2">
      <c r="B8" s="1220"/>
      <c r="C8" s="38" t="s">
        <v>1755</v>
      </c>
      <c r="D8" s="122"/>
      <c r="E8" s="1221" t="s">
        <v>1461</v>
      </c>
      <c r="F8" s="1233" t="s">
        <v>1473</v>
      </c>
      <c r="G8" s="1221" t="s">
        <v>896</v>
      </c>
      <c r="H8" s="1221" t="s">
        <v>169</v>
      </c>
      <c r="I8" s="1221" t="s">
        <v>168</v>
      </c>
      <c r="J8" s="1221" t="s">
        <v>1304</v>
      </c>
      <c r="K8" s="1221" t="s">
        <v>1399</v>
      </c>
      <c r="L8" s="1221" t="s">
        <v>3524</v>
      </c>
      <c r="M8" s="1968" t="s">
        <v>4590</v>
      </c>
      <c r="N8" s="1221" t="s">
        <v>3525</v>
      </c>
      <c r="O8" s="1968" t="s">
        <v>401</v>
      </c>
      <c r="P8" s="1221" t="s">
        <v>402</v>
      </c>
      <c r="Q8" s="1221" t="s">
        <v>403</v>
      </c>
      <c r="R8" s="1221" t="s">
        <v>404</v>
      </c>
      <c r="S8" s="1221" t="s">
        <v>405</v>
      </c>
      <c r="T8" s="1221" t="s">
        <v>406</v>
      </c>
      <c r="U8" s="1221" t="s">
        <v>64</v>
      </c>
      <c r="V8" s="1221" t="s">
        <v>65</v>
      </c>
      <c r="W8" s="1221" t="s">
        <v>66</v>
      </c>
      <c r="X8" s="1221" t="s">
        <v>67</v>
      </c>
      <c r="Y8" s="1221" t="s">
        <v>741</v>
      </c>
      <c r="Z8" s="1221" t="s">
        <v>742</v>
      </c>
      <c r="AA8" s="1221" t="s">
        <v>743</v>
      </c>
      <c r="AB8" s="1221" t="s">
        <v>744</v>
      </c>
      <c r="AC8" s="1221" t="s">
        <v>745</v>
      </c>
      <c r="AD8" s="1221" t="s">
        <v>746</v>
      </c>
      <c r="AE8" s="1221" t="s">
        <v>747</v>
      </c>
      <c r="AF8" s="1221" t="s">
        <v>1689</v>
      </c>
      <c r="AG8" s="1234" t="s">
        <v>399</v>
      </c>
    </row>
    <row r="9" spans="1:34" x14ac:dyDescent="0.2">
      <c r="C9" t="s">
        <v>1756</v>
      </c>
      <c r="E9" s="357" t="s">
        <v>1480</v>
      </c>
      <c r="F9" s="357" t="s">
        <v>1143</v>
      </c>
      <c r="G9" s="357" t="s">
        <v>1757</v>
      </c>
      <c r="H9" s="357" t="s">
        <v>1757</v>
      </c>
      <c r="I9" s="357" t="s">
        <v>1477</v>
      </c>
      <c r="J9" s="357" t="s">
        <v>1759</v>
      </c>
      <c r="K9" s="357" t="s">
        <v>4332</v>
      </c>
      <c r="L9" s="357" t="s">
        <v>3695</v>
      </c>
      <c r="M9" s="357" t="s">
        <v>4594</v>
      </c>
      <c r="N9" s="357" t="s">
        <v>3697</v>
      </c>
      <c r="O9" s="357" t="s">
        <v>1786</v>
      </c>
      <c r="P9" s="357" t="s">
        <v>1760</v>
      </c>
      <c r="Q9" s="357" t="s">
        <v>1762</v>
      </c>
      <c r="R9" s="357" t="s">
        <v>1760</v>
      </c>
      <c r="S9" s="357" t="s">
        <v>1760</v>
      </c>
      <c r="T9" s="357" t="s">
        <v>1760</v>
      </c>
      <c r="U9" s="357" t="s">
        <v>1760</v>
      </c>
      <c r="V9" s="357" t="s">
        <v>1767</v>
      </c>
      <c r="W9" s="357" t="s">
        <v>1768</v>
      </c>
      <c r="X9" s="357" t="s">
        <v>1770</v>
      </c>
      <c r="Y9" s="357" t="s">
        <v>1771</v>
      </c>
      <c r="Z9" s="357" t="s">
        <v>1760</v>
      </c>
      <c r="AA9" s="357" t="s">
        <v>1774</v>
      </c>
      <c r="AB9" s="357" t="s">
        <v>1789</v>
      </c>
      <c r="AC9" s="357" t="s">
        <v>1775</v>
      </c>
      <c r="AD9" s="357" t="s">
        <v>1776</v>
      </c>
      <c r="AE9" s="357" t="s">
        <v>1777</v>
      </c>
      <c r="AF9" s="357" t="s">
        <v>1785</v>
      </c>
      <c r="AG9" s="357" t="s">
        <v>1779</v>
      </c>
    </row>
    <row r="10" spans="1:34" x14ac:dyDescent="0.2">
      <c r="B10" s="394" t="s">
        <v>1904</v>
      </c>
      <c r="E10" s="357" t="s">
        <v>1781</v>
      </c>
      <c r="F10" s="357" t="s">
        <v>1810</v>
      </c>
      <c r="G10" s="357" t="s">
        <v>1758</v>
      </c>
      <c r="H10" s="357" t="s">
        <v>1790</v>
      </c>
      <c r="I10" s="357" t="s">
        <v>1478</v>
      </c>
      <c r="J10" s="357" t="s">
        <v>1479</v>
      </c>
      <c r="K10" s="357" t="s">
        <v>1788</v>
      </c>
      <c r="L10" s="357" t="s">
        <v>3696</v>
      </c>
      <c r="M10" s="357" t="s">
        <v>4592</v>
      </c>
      <c r="N10" s="357" t="s">
        <v>3698</v>
      </c>
      <c r="O10" s="357" t="s">
        <v>1787</v>
      </c>
      <c r="P10" s="357" t="s">
        <v>1761</v>
      </c>
      <c r="Q10" s="357" t="s">
        <v>1130</v>
      </c>
      <c r="R10" s="357" t="s">
        <v>1763</v>
      </c>
      <c r="S10" s="357" t="s">
        <v>1764</v>
      </c>
      <c r="T10" s="357" t="s">
        <v>1765</v>
      </c>
      <c r="U10" s="357" t="s">
        <v>1766</v>
      </c>
      <c r="V10" s="357" t="s">
        <v>1772</v>
      </c>
      <c r="W10" s="357" t="s">
        <v>1769</v>
      </c>
      <c r="X10" s="357" t="s">
        <v>1772</v>
      </c>
      <c r="Y10" s="357" t="s">
        <v>1769</v>
      </c>
      <c r="Z10" s="357" t="s">
        <v>1773</v>
      </c>
      <c r="AA10" s="357" t="s">
        <v>1769</v>
      </c>
      <c r="AB10" s="357" t="s">
        <v>1769</v>
      </c>
      <c r="AC10" s="357" t="s">
        <v>1769</v>
      </c>
      <c r="AD10" s="357" t="s">
        <v>1130</v>
      </c>
      <c r="AE10" s="357" t="s">
        <v>1778</v>
      </c>
      <c r="AF10" s="357" t="s">
        <v>1784</v>
      </c>
      <c r="AG10" s="357" t="s">
        <v>1780</v>
      </c>
    </row>
    <row r="11" spans="1:34" x14ac:dyDescent="0.2">
      <c r="B11" s="783" t="s">
        <v>628</v>
      </c>
      <c r="E11" s="1087" t="str">
        <f>TEXT(Data!$A$4,"mmmm d,yyyy")</f>
        <v>June 30,2021</v>
      </c>
      <c r="F11" s="1087" t="str">
        <f>TEXT(Data!$A$4,"mmmm d,yyyy")</f>
        <v>June 30,2021</v>
      </c>
      <c r="G11" s="1087" t="str">
        <f>TEXT(Data!$A$4,"mmmm d,yyyy")</f>
        <v>June 30,2021</v>
      </c>
      <c r="H11" s="1087" t="str">
        <f>TEXT(Data!$A$4,"mmmm d,yyyy")</f>
        <v>June 30,2021</v>
      </c>
      <c r="I11" s="1087" t="str">
        <f>TEXT(Data!$A$4,"mmmm d,yyyy")</f>
        <v>June 30,2021</v>
      </c>
      <c r="J11" s="1087" t="str">
        <f>TEXT(Data!$A$4,"mmmm d,yyyy")</f>
        <v>June 30,2021</v>
      </c>
      <c r="K11" s="1087" t="str">
        <f>TEXT(Data!$A$4,"mmmm d,yyyy")</f>
        <v>June 30,2021</v>
      </c>
      <c r="L11" s="1087" t="str">
        <f>TEXT(Data!$A$4,"mmmm d,yyyy")</f>
        <v>June 30,2021</v>
      </c>
      <c r="M11" s="1087" t="str">
        <f>TEXT(Data!$A$4,"mmmm d,yyyy")</f>
        <v>June 30,2021</v>
      </c>
      <c r="N11" s="1087" t="str">
        <f>TEXT(Data!$A$4,"mmmm d,yyyy")</f>
        <v>June 30,2021</v>
      </c>
      <c r="O11" s="1087" t="str">
        <f>TEXT(Data!$A$4,"mmmm d,yyyy")</f>
        <v>June 30,2021</v>
      </c>
      <c r="P11" s="1087" t="str">
        <f>TEXT(Data!$A$4,"mmmm d,yyyy")</f>
        <v>June 30,2021</v>
      </c>
      <c r="Q11" s="1087" t="str">
        <f>TEXT(Data!$A$4,"mmmm d,yyyy")</f>
        <v>June 30,2021</v>
      </c>
      <c r="R11" s="1087" t="str">
        <f>TEXT(Data!$A$4,"mmmm d,yyyy")</f>
        <v>June 30,2021</v>
      </c>
      <c r="S11" s="1087" t="str">
        <f>TEXT(Data!$A$4,"mmmm d,yyyy")</f>
        <v>June 30,2021</v>
      </c>
      <c r="T11" s="1087" t="str">
        <f>TEXT(Data!$A$4,"mmmm d,yyyy")</f>
        <v>June 30,2021</v>
      </c>
      <c r="U11" s="1087" t="str">
        <f>TEXT(Data!$A$4,"mmmm d,yyyy")</f>
        <v>June 30,2021</v>
      </c>
      <c r="V11" s="1087" t="str">
        <f>TEXT(Data!$A$4,"mmmm d,yyyy")</f>
        <v>June 30,2021</v>
      </c>
      <c r="W11" s="1087" t="str">
        <f>TEXT(Data!$A$4,"mmmm d,yyyy")</f>
        <v>June 30,2021</v>
      </c>
      <c r="X11" s="1087" t="str">
        <f>TEXT(Data!$A$4,"mmmm d,yyyy")</f>
        <v>June 30,2021</v>
      </c>
      <c r="Y11" s="1087" t="str">
        <f>TEXT(Data!$A$4,"mmmm d,yyyy")</f>
        <v>June 30,2021</v>
      </c>
      <c r="Z11" s="1087" t="str">
        <f>TEXT(Data!$A$4,"mmmm d,yyyy")</f>
        <v>June 30,2021</v>
      </c>
      <c r="AA11" s="1087" t="str">
        <f>TEXT(Data!$A$4,"mmmm d,yyyy")</f>
        <v>June 30,2021</v>
      </c>
      <c r="AB11" s="1087" t="str">
        <f>TEXT(Data!$A$4,"mmmm d,yyyy")</f>
        <v>June 30,2021</v>
      </c>
      <c r="AC11" s="1087" t="str">
        <f>TEXT(Data!$A$4,"mmmm d,yyyy")</f>
        <v>June 30,2021</v>
      </c>
      <c r="AD11" s="1087" t="str">
        <f>TEXT(Data!$A$4,"mmmm d,yyyy")</f>
        <v>June 30,2021</v>
      </c>
      <c r="AE11" s="1087" t="str">
        <f>TEXT(Data!$A$4,"mmmm d,yyyy")</f>
        <v>June 30,2021</v>
      </c>
      <c r="AF11" s="1087" t="str">
        <f>TEXT(Data!$A$4,"mmmm d,yyyy")</f>
        <v>June 30,2021</v>
      </c>
      <c r="AG11" s="1087" t="str">
        <f>TEXT(Data!$A$4,"mmmm d,yyyy")</f>
        <v>June 30,2021</v>
      </c>
    </row>
    <row r="12" spans="1:34" x14ac:dyDescent="0.2">
      <c r="B12" s="784" t="s">
        <v>629</v>
      </c>
      <c r="C12" s="395"/>
    </row>
    <row r="13" spans="1:34" x14ac:dyDescent="0.2">
      <c r="A13" s="335">
        <v>1000</v>
      </c>
      <c r="B13" s="3357" t="s">
        <v>630</v>
      </c>
      <c r="C13" s="3357"/>
      <c r="D13" t="str">
        <f>IF(SUM(F13:N13)=E13,"OK","prob")</f>
        <v>OK</v>
      </c>
      <c r="E13" s="650">
        <v>347732983.58999997</v>
      </c>
      <c r="F13" s="649">
        <v>-45116560.07</v>
      </c>
      <c r="G13" s="649">
        <v>124028640</v>
      </c>
      <c r="H13" s="649">
        <v>0</v>
      </c>
      <c r="I13" s="649">
        <v>221396074.38</v>
      </c>
      <c r="J13" s="649">
        <v>251784.94</v>
      </c>
      <c r="K13" s="649">
        <v>21910018.789999999</v>
      </c>
      <c r="L13" s="649"/>
      <c r="M13" s="649">
        <v>10108236.640000001</v>
      </c>
      <c r="N13" s="649">
        <v>15154788.91</v>
      </c>
      <c r="O13" s="650">
        <v>2312172.15</v>
      </c>
      <c r="P13" s="650">
        <v>98749275.700000003</v>
      </c>
      <c r="Q13" s="650">
        <v>320240.3</v>
      </c>
      <c r="R13" s="650">
        <v>6704597.4199999999</v>
      </c>
      <c r="S13" s="650">
        <v>939297.26</v>
      </c>
      <c r="T13" s="650">
        <v>25203.29</v>
      </c>
      <c r="U13" s="650">
        <v>144381.03</v>
      </c>
      <c r="V13" s="650">
        <v>185286.37</v>
      </c>
      <c r="W13" s="650">
        <v>8399</v>
      </c>
      <c r="X13" s="650">
        <v>34015</v>
      </c>
      <c r="Y13" s="650">
        <v>10091685.1</v>
      </c>
      <c r="Z13" s="650">
        <v>8757.43</v>
      </c>
      <c r="AA13" s="650">
        <v>0</v>
      </c>
      <c r="AB13" s="650">
        <v>0</v>
      </c>
      <c r="AC13" s="650">
        <v>17173648.390000001</v>
      </c>
      <c r="AD13" s="650">
        <v>2400</v>
      </c>
      <c r="AE13" s="650">
        <v>720.7</v>
      </c>
      <c r="AF13" s="650">
        <v>2458460.25</v>
      </c>
      <c r="AG13" s="650">
        <v>4031821.64</v>
      </c>
    </row>
    <row r="14" spans="1:34" x14ac:dyDescent="0.2">
      <c r="A14" s="335">
        <v>1010</v>
      </c>
      <c r="B14" s="3206" t="s">
        <v>270</v>
      </c>
      <c r="C14" s="3206"/>
      <c r="D14" t="str">
        <f>IF(SUM(F14:N14)-E14=0,"OK","prob")</f>
        <v>OK</v>
      </c>
      <c r="E14" s="649">
        <v>103253374</v>
      </c>
      <c r="F14" s="649">
        <v>98056564</v>
      </c>
      <c r="G14" s="649">
        <v>0</v>
      </c>
      <c r="H14" s="649">
        <v>5196810</v>
      </c>
      <c r="I14" s="649">
        <v>0</v>
      </c>
      <c r="J14" s="649">
        <v>0</v>
      </c>
      <c r="K14" s="649">
        <v>0</v>
      </c>
      <c r="L14" s="649"/>
      <c r="M14" s="649">
        <v>0</v>
      </c>
      <c r="N14" s="649">
        <v>0</v>
      </c>
      <c r="O14" s="1829">
        <v>12211268.310000001</v>
      </c>
      <c r="P14" s="1829">
        <v>556664868.38</v>
      </c>
      <c r="Q14" s="1829">
        <v>192639506.62</v>
      </c>
      <c r="R14" s="1829">
        <v>127452848.67</v>
      </c>
      <c r="S14" s="1829">
        <v>320460934.55000001</v>
      </c>
      <c r="T14" s="1829">
        <v>17767771.210000001</v>
      </c>
      <c r="U14" s="1829">
        <v>124979505.63</v>
      </c>
      <c r="V14" s="1829">
        <v>270202489.25999999</v>
      </c>
      <c r="W14" s="1829">
        <v>111919302.79000001</v>
      </c>
      <c r="X14" s="1829">
        <v>129626126.77</v>
      </c>
      <c r="Y14" s="1829">
        <v>109752012.78</v>
      </c>
      <c r="Z14" s="1829">
        <v>23752990.57</v>
      </c>
      <c r="AA14" s="1829">
        <v>35778077.299999997</v>
      </c>
      <c r="AB14" s="1829">
        <v>19262635.829999998</v>
      </c>
      <c r="AC14" s="1829">
        <v>739321.57</v>
      </c>
      <c r="AD14" s="1829">
        <v>23046990.539999999</v>
      </c>
      <c r="AE14" s="1829">
        <v>23989955</v>
      </c>
      <c r="AF14" s="1829">
        <v>0</v>
      </c>
      <c r="AG14" s="649">
        <v>0</v>
      </c>
    </row>
    <row r="15" spans="1:34" x14ac:dyDescent="0.2">
      <c r="A15" s="335">
        <v>1050</v>
      </c>
      <c r="B15" s="3206" t="s">
        <v>425</v>
      </c>
      <c r="C15" s="3206"/>
      <c r="D15" t="str">
        <f>IF(ROUND(SUM(F15:N15),2)-ROUND(E15,2)=0,"OK","prob")</f>
        <v>OK</v>
      </c>
      <c r="E15" s="649">
        <v>0</v>
      </c>
      <c r="F15" s="649">
        <v>0</v>
      </c>
      <c r="G15" s="649">
        <v>0</v>
      </c>
      <c r="H15" s="649">
        <v>0</v>
      </c>
      <c r="I15" s="649">
        <v>0</v>
      </c>
      <c r="J15" s="649">
        <v>0</v>
      </c>
      <c r="K15" s="649">
        <v>0</v>
      </c>
      <c r="L15" s="649"/>
      <c r="M15" s="649">
        <v>0</v>
      </c>
      <c r="N15" s="649">
        <v>0</v>
      </c>
      <c r="O15" s="1829">
        <v>0</v>
      </c>
      <c r="P15" s="1829">
        <v>412695265.22000003</v>
      </c>
      <c r="Q15" s="1829">
        <v>0</v>
      </c>
      <c r="R15" s="1829">
        <v>307018.83</v>
      </c>
      <c r="S15" s="1829">
        <v>0</v>
      </c>
      <c r="T15" s="1829">
        <v>0</v>
      </c>
      <c r="U15" s="1829">
        <v>0</v>
      </c>
      <c r="V15" s="1829">
        <v>0</v>
      </c>
      <c r="W15" s="1829">
        <v>0</v>
      </c>
      <c r="X15" s="1829">
        <v>0</v>
      </c>
      <c r="Y15" s="1829">
        <v>0</v>
      </c>
      <c r="Z15" s="1829">
        <v>0</v>
      </c>
      <c r="AA15" s="1829">
        <v>0</v>
      </c>
      <c r="AB15" s="1829">
        <v>0</v>
      </c>
      <c r="AC15" s="1829">
        <v>0</v>
      </c>
      <c r="AD15" s="1829">
        <v>0</v>
      </c>
      <c r="AE15" s="1829">
        <v>0</v>
      </c>
      <c r="AF15" s="1829">
        <v>0</v>
      </c>
      <c r="AG15" s="649">
        <v>0</v>
      </c>
    </row>
    <row r="16" spans="1:34" x14ac:dyDescent="0.2">
      <c r="A16" s="335">
        <v>1060</v>
      </c>
      <c r="B16" s="3206" t="s">
        <v>1223</v>
      </c>
      <c r="C16" s="3206"/>
      <c r="D16" t="str">
        <f>IF(SUM(F16:N16)-E16=0,"OK","prob")</f>
        <v>OK</v>
      </c>
      <c r="E16" s="649">
        <v>0</v>
      </c>
      <c r="F16" s="649">
        <v>0</v>
      </c>
      <c r="G16" s="649">
        <v>0</v>
      </c>
      <c r="H16" s="649">
        <v>0</v>
      </c>
      <c r="I16" s="649">
        <v>0</v>
      </c>
      <c r="J16" s="649">
        <v>0</v>
      </c>
      <c r="K16" s="649">
        <v>0</v>
      </c>
      <c r="L16" s="649"/>
      <c r="M16" s="649">
        <v>0</v>
      </c>
      <c r="N16" s="649">
        <v>0</v>
      </c>
      <c r="O16" s="1829">
        <v>0</v>
      </c>
      <c r="P16" s="1829">
        <v>0</v>
      </c>
      <c r="Q16" s="1829">
        <v>0</v>
      </c>
      <c r="R16" s="1829">
        <v>0</v>
      </c>
      <c r="S16" s="1829">
        <v>0</v>
      </c>
      <c r="T16" s="1829">
        <v>0</v>
      </c>
      <c r="U16" s="1829">
        <v>0</v>
      </c>
      <c r="V16" s="1829">
        <v>0</v>
      </c>
      <c r="W16" s="1829">
        <v>0</v>
      </c>
      <c r="X16" s="1829">
        <v>0</v>
      </c>
      <c r="Y16" s="1829">
        <v>0</v>
      </c>
      <c r="Z16" s="1829">
        <v>0</v>
      </c>
      <c r="AA16" s="1829">
        <v>0</v>
      </c>
      <c r="AB16" s="1829">
        <v>0</v>
      </c>
      <c r="AC16" s="1829">
        <v>0</v>
      </c>
      <c r="AD16" s="1829">
        <v>0</v>
      </c>
      <c r="AE16" s="1829">
        <v>0</v>
      </c>
      <c r="AF16" s="1829">
        <v>0</v>
      </c>
      <c r="AG16" s="393">
        <v>0</v>
      </c>
      <c r="AH16" s="397"/>
    </row>
    <row r="17" spans="1:34" x14ac:dyDescent="0.2">
      <c r="A17" s="335">
        <v>1090</v>
      </c>
      <c r="B17" s="3206" t="s">
        <v>1403</v>
      </c>
      <c r="C17" s="3206"/>
      <c r="D17" t="str">
        <f>IF(SUM(F17:N17)-E17=0,"OK","prob")</f>
        <v>OK</v>
      </c>
      <c r="E17" s="649">
        <v>0</v>
      </c>
      <c r="F17" s="649">
        <v>0</v>
      </c>
      <c r="G17" s="649">
        <v>0</v>
      </c>
      <c r="H17" s="649">
        <v>0</v>
      </c>
      <c r="I17" s="649">
        <v>0</v>
      </c>
      <c r="J17" s="649">
        <v>0</v>
      </c>
      <c r="K17" s="649">
        <v>0</v>
      </c>
      <c r="L17" s="649"/>
      <c r="M17" s="649">
        <v>0</v>
      </c>
      <c r="N17" s="649">
        <v>0</v>
      </c>
      <c r="O17" s="1829">
        <v>0</v>
      </c>
      <c r="P17" s="1829">
        <v>0</v>
      </c>
      <c r="Q17" s="1829">
        <v>0</v>
      </c>
      <c r="R17" s="1829">
        <v>0</v>
      </c>
      <c r="S17" s="1829">
        <v>0</v>
      </c>
      <c r="T17" s="1829">
        <v>0</v>
      </c>
      <c r="U17" s="1829">
        <v>0</v>
      </c>
      <c r="V17" s="1829">
        <v>0</v>
      </c>
      <c r="W17" s="1829">
        <v>0</v>
      </c>
      <c r="X17" s="1829">
        <v>0</v>
      </c>
      <c r="Y17" s="1829">
        <v>0</v>
      </c>
      <c r="Z17" s="1829">
        <v>0</v>
      </c>
      <c r="AA17" s="1829">
        <v>0</v>
      </c>
      <c r="AB17" s="1829">
        <v>0</v>
      </c>
      <c r="AC17" s="1829">
        <v>0</v>
      </c>
      <c r="AD17" s="1829">
        <v>0</v>
      </c>
      <c r="AE17" s="1829">
        <v>0</v>
      </c>
      <c r="AF17" s="1829">
        <v>0</v>
      </c>
      <c r="AG17" s="393">
        <v>0</v>
      </c>
      <c r="AH17" s="397"/>
    </row>
    <row r="18" spans="1:34" x14ac:dyDescent="0.2">
      <c r="A18" s="335"/>
      <c r="B18" s="335" t="s">
        <v>198</v>
      </c>
      <c r="C18" s="335"/>
      <c r="E18" s="649"/>
      <c r="F18" s="649"/>
      <c r="G18" s="649"/>
      <c r="H18" s="649"/>
      <c r="I18" s="649"/>
      <c r="J18" s="649"/>
      <c r="K18" s="649"/>
      <c r="L18" s="649"/>
      <c r="M18" s="649"/>
      <c r="N18" s="649"/>
      <c r="O18" s="2039"/>
      <c r="P18" s="1987"/>
      <c r="Q18" s="1987"/>
      <c r="R18" s="1829"/>
      <c r="S18" s="1829"/>
      <c r="T18" s="1829"/>
      <c r="U18" s="1829"/>
      <c r="V18" s="649"/>
      <c r="W18" s="649"/>
      <c r="X18" s="649"/>
      <c r="Y18" s="649"/>
      <c r="Z18" s="649"/>
      <c r="AA18" s="649"/>
      <c r="AB18" s="649"/>
      <c r="AC18" s="649"/>
      <c r="AD18" s="649"/>
      <c r="AE18" s="649"/>
      <c r="AF18" s="649"/>
      <c r="AG18" s="649"/>
    </row>
    <row r="19" spans="1:34" x14ac:dyDescent="0.2">
      <c r="A19" s="335">
        <v>1110</v>
      </c>
      <c r="B19" s="3355" t="s">
        <v>199</v>
      </c>
      <c r="C19" s="3355"/>
      <c r="D19" t="str">
        <f>IF(ROUND(SUM(F19:N19),2)-ROUND(E19,2)=0,"OK","prob")</f>
        <v>OK</v>
      </c>
      <c r="E19" s="649">
        <v>436155307.06999999</v>
      </c>
      <c r="F19" s="649">
        <v>247546044.11000001</v>
      </c>
      <c r="G19" s="649">
        <v>35456780</v>
      </c>
      <c r="H19" s="649">
        <v>0</v>
      </c>
      <c r="I19" s="649">
        <v>121468438.2</v>
      </c>
      <c r="J19" s="649">
        <v>3707675.98</v>
      </c>
      <c r="K19" s="649">
        <v>11827923.08</v>
      </c>
      <c r="L19" s="649"/>
      <c r="M19" s="649">
        <v>4490348.91</v>
      </c>
      <c r="N19" s="649">
        <v>11658096.789999999</v>
      </c>
      <c r="O19" s="1829">
        <v>3560856.84</v>
      </c>
      <c r="P19" s="1829">
        <v>145410579.75</v>
      </c>
      <c r="Q19" s="1829">
        <v>62704834.82</v>
      </c>
      <c r="R19" s="1829">
        <v>7296952.4199999999</v>
      </c>
      <c r="S19" s="1829">
        <v>6411934.8700000001</v>
      </c>
      <c r="T19" s="1829">
        <v>1657236.07</v>
      </c>
      <c r="U19" s="1829">
        <v>5242082.84</v>
      </c>
      <c r="V19" s="1829">
        <v>36662522.640000001</v>
      </c>
      <c r="W19" s="1829">
        <v>2236818.44</v>
      </c>
      <c r="X19" s="1829">
        <v>3111919.47</v>
      </c>
      <c r="Y19" s="1829">
        <v>7828316.6299999999</v>
      </c>
      <c r="Z19" s="1829">
        <v>945810.77</v>
      </c>
      <c r="AA19" s="1829">
        <v>1545013.01</v>
      </c>
      <c r="AB19" s="1829">
        <v>384251.08</v>
      </c>
      <c r="AC19" s="1829">
        <v>6323551.5</v>
      </c>
      <c r="AD19" s="1829">
        <v>15079830.27</v>
      </c>
      <c r="AE19" s="1829">
        <v>7821.4</v>
      </c>
      <c r="AF19" s="1829">
        <v>303946.71999999997</v>
      </c>
      <c r="AG19" s="649">
        <v>116839.22</v>
      </c>
    </row>
    <row r="20" spans="1:34" x14ac:dyDescent="0.2">
      <c r="A20" s="335">
        <v>1120</v>
      </c>
      <c r="B20" s="3355" t="s">
        <v>312</v>
      </c>
      <c r="C20" s="3355"/>
      <c r="D20" t="str">
        <f>IF(SUM(F20:N20)-E20=0,"OK","prob")</f>
        <v>OK</v>
      </c>
      <c r="E20" s="649">
        <v>0</v>
      </c>
      <c r="F20" s="649">
        <v>0</v>
      </c>
      <c r="G20" s="649">
        <v>0</v>
      </c>
      <c r="H20" s="649">
        <v>0</v>
      </c>
      <c r="I20" s="649">
        <v>0</v>
      </c>
      <c r="J20" s="649">
        <v>0</v>
      </c>
      <c r="K20" s="649">
        <v>0</v>
      </c>
      <c r="L20" s="649"/>
      <c r="M20" s="649">
        <v>0</v>
      </c>
      <c r="N20" s="649">
        <v>0</v>
      </c>
      <c r="O20" s="1829">
        <v>2537400.91</v>
      </c>
      <c r="P20" s="1829">
        <v>83049008.680000007</v>
      </c>
      <c r="Q20" s="1829">
        <v>38112159.770000003</v>
      </c>
      <c r="R20" s="1829">
        <v>8626364.8800000008</v>
      </c>
      <c r="S20" s="1829">
        <v>15951602.390000001</v>
      </c>
      <c r="T20" s="1829">
        <v>269452.52</v>
      </c>
      <c r="U20" s="1829">
        <v>960185.87</v>
      </c>
      <c r="V20" s="1829">
        <v>2891755.24</v>
      </c>
      <c r="W20" s="1829">
        <v>10532172.42</v>
      </c>
      <c r="X20" s="1829">
        <v>1422230.68</v>
      </c>
      <c r="Y20" s="1829">
        <v>5142469.2300000004</v>
      </c>
      <c r="Z20" s="1829">
        <v>2851556.03</v>
      </c>
      <c r="AA20" s="1829">
        <v>2497743.0499999998</v>
      </c>
      <c r="AB20" s="1829">
        <v>1510412.27</v>
      </c>
      <c r="AC20" s="1829">
        <v>6920086.6799999997</v>
      </c>
      <c r="AD20" s="1829">
        <v>0</v>
      </c>
      <c r="AE20" s="1829">
        <v>0</v>
      </c>
      <c r="AF20" s="1829">
        <v>0</v>
      </c>
      <c r="AG20" s="649">
        <v>0</v>
      </c>
    </row>
    <row r="21" spans="1:34" x14ac:dyDescent="0.2">
      <c r="A21" s="335">
        <v>1130</v>
      </c>
      <c r="B21" s="3355" t="s">
        <v>200</v>
      </c>
      <c r="C21" s="3355"/>
      <c r="D21" t="str">
        <f>IF(SUM(F21:N21)-E21=0,"OK","prob")</f>
        <v>OK</v>
      </c>
      <c r="E21" s="649">
        <v>0</v>
      </c>
      <c r="F21" s="649">
        <v>0</v>
      </c>
      <c r="G21" s="649">
        <v>0</v>
      </c>
      <c r="H21" s="649">
        <v>0</v>
      </c>
      <c r="I21" s="649">
        <v>0</v>
      </c>
      <c r="J21" s="649">
        <v>0</v>
      </c>
      <c r="K21" s="649">
        <v>0</v>
      </c>
      <c r="L21" s="649"/>
      <c r="M21" s="649">
        <v>0</v>
      </c>
      <c r="N21" s="649">
        <v>0</v>
      </c>
      <c r="O21" s="1829">
        <v>0</v>
      </c>
      <c r="P21" s="1829">
        <v>1220589.25</v>
      </c>
      <c r="Q21" s="1829">
        <v>26996.04</v>
      </c>
      <c r="R21" s="1829">
        <v>106236.23</v>
      </c>
      <c r="S21" s="1829">
        <v>83225.45</v>
      </c>
      <c r="T21" s="1829">
        <v>155908.56</v>
      </c>
      <c r="U21" s="1829">
        <v>79126.399999999994</v>
      </c>
      <c r="V21" s="1829">
        <v>627057.30000000005</v>
      </c>
      <c r="W21" s="1829">
        <v>16198.01</v>
      </c>
      <c r="X21" s="1829">
        <v>78216.33</v>
      </c>
      <c r="Y21" s="1829">
        <v>36578.720000000001</v>
      </c>
      <c r="Z21" s="1829">
        <v>0</v>
      </c>
      <c r="AA21" s="1829">
        <v>247952.09</v>
      </c>
      <c r="AB21" s="1829">
        <v>0</v>
      </c>
      <c r="AC21" s="1829">
        <v>7929.62</v>
      </c>
      <c r="AD21" s="1829">
        <v>423052.83</v>
      </c>
      <c r="AE21" s="1829">
        <v>0</v>
      </c>
      <c r="AF21" s="1829">
        <v>0</v>
      </c>
      <c r="AG21" s="649">
        <v>0</v>
      </c>
    </row>
    <row r="22" spans="1:34" x14ac:dyDescent="0.2">
      <c r="A22" s="335">
        <v>1160</v>
      </c>
      <c r="B22" s="3355" t="s">
        <v>637</v>
      </c>
      <c r="C22" s="3355"/>
      <c r="D22" t="str">
        <f>IF(SUM(F22:N22)-E22=0,"OK","prob")</f>
        <v>OK</v>
      </c>
      <c r="E22" s="649">
        <v>158280210.78</v>
      </c>
      <c r="F22" s="649">
        <v>54453258.399999999</v>
      </c>
      <c r="G22" s="649">
        <v>14372110</v>
      </c>
      <c r="H22" s="649">
        <v>0</v>
      </c>
      <c r="I22" s="649">
        <v>10588662.050000001</v>
      </c>
      <c r="J22" s="649">
        <v>647181.94999999995</v>
      </c>
      <c r="K22" s="649">
        <v>73588591.180000007</v>
      </c>
      <c r="L22" s="649"/>
      <c r="M22" s="649">
        <v>1962343.19</v>
      </c>
      <c r="N22" s="649">
        <v>2668064.0099999998</v>
      </c>
      <c r="O22" s="1829">
        <v>120145.46</v>
      </c>
      <c r="P22" s="1829">
        <v>43822791.579999998</v>
      </c>
      <c r="Q22" s="1829">
        <v>21060.89</v>
      </c>
      <c r="R22" s="1829">
        <v>2632351.6800000002</v>
      </c>
      <c r="S22" s="1829">
        <v>37517.25</v>
      </c>
      <c r="T22" s="1829">
        <v>743.67</v>
      </c>
      <c r="U22" s="1829">
        <v>3164926.49</v>
      </c>
      <c r="V22" s="1829">
        <v>11313634.630000001</v>
      </c>
      <c r="W22" s="1829">
        <v>1893507.28</v>
      </c>
      <c r="X22" s="1829">
        <v>983910.3</v>
      </c>
      <c r="Y22" s="1829">
        <v>6832111.2699999996</v>
      </c>
      <c r="Z22" s="1829">
        <v>69282.28</v>
      </c>
      <c r="AA22" s="1829">
        <v>512.20000000000005</v>
      </c>
      <c r="AB22" s="1829">
        <v>94435.64</v>
      </c>
      <c r="AC22" s="1829">
        <v>305056.01</v>
      </c>
      <c r="AD22" s="1829">
        <v>1351600.08</v>
      </c>
      <c r="AE22" s="1829">
        <v>31668.32</v>
      </c>
      <c r="AF22" s="1829">
        <v>0</v>
      </c>
      <c r="AG22" s="649">
        <v>0</v>
      </c>
    </row>
    <row r="23" spans="1:34" s="2209" customFormat="1" x14ac:dyDescent="0.2">
      <c r="A23" s="2080">
        <v>1175</v>
      </c>
      <c r="B23" s="3306" t="s">
        <v>4827</v>
      </c>
      <c r="C23" s="3306"/>
      <c r="D23" s="2209" t="str">
        <f>IF(SUM(F23:N23)-E23=0,"OK","prob")</f>
        <v>OK</v>
      </c>
      <c r="E23" s="649">
        <v>0</v>
      </c>
      <c r="F23" s="649">
        <v>0</v>
      </c>
      <c r="G23" s="649">
        <v>0</v>
      </c>
      <c r="H23" s="649">
        <v>0</v>
      </c>
      <c r="I23" s="649">
        <v>0</v>
      </c>
      <c r="J23" s="649">
        <v>0</v>
      </c>
      <c r="K23" s="649">
        <v>0</v>
      </c>
      <c r="L23" s="649"/>
      <c r="M23" s="649">
        <v>0</v>
      </c>
      <c r="N23" s="649">
        <v>0</v>
      </c>
      <c r="O23" s="2212">
        <v>205690.75</v>
      </c>
      <c r="P23" s="1829">
        <v>0</v>
      </c>
      <c r="Q23" s="1829">
        <v>0</v>
      </c>
      <c r="R23" s="1829">
        <v>0</v>
      </c>
      <c r="S23" s="1829">
        <v>0</v>
      </c>
      <c r="T23" s="1829">
        <v>0</v>
      </c>
      <c r="U23" s="1829">
        <v>0</v>
      </c>
      <c r="V23" s="1829">
        <v>0</v>
      </c>
      <c r="W23" s="1829">
        <v>0</v>
      </c>
      <c r="X23" s="1829">
        <v>0</v>
      </c>
      <c r="Y23" s="1829">
        <v>0</v>
      </c>
      <c r="Z23" s="1829">
        <v>0</v>
      </c>
      <c r="AA23" s="1829">
        <v>0</v>
      </c>
      <c r="AB23" s="1829">
        <v>0</v>
      </c>
      <c r="AC23" s="1829">
        <v>0</v>
      </c>
      <c r="AD23" s="1829">
        <v>0</v>
      </c>
      <c r="AE23" s="1829">
        <v>0</v>
      </c>
      <c r="AF23" s="1829">
        <v>0</v>
      </c>
      <c r="AG23" s="649">
        <v>0</v>
      </c>
    </row>
    <row r="24" spans="1:34" x14ac:dyDescent="0.2">
      <c r="A24" s="1129">
        <v>1190</v>
      </c>
      <c r="B24" s="3206" t="s">
        <v>638</v>
      </c>
      <c r="C24" s="3206"/>
      <c r="D24" t="str">
        <f>IF(ROUND(SUM(F24:N24),2)-ROUND(E24,2)=0,"OK","prob")</f>
        <v>OK</v>
      </c>
      <c r="E24" s="1823">
        <v>308879930.94999999</v>
      </c>
      <c r="F24" s="1823">
        <v>170739520.5</v>
      </c>
      <c r="G24" s="1823">
        <v>87221028.930000007</v>
      </c>
      <c r="H24" s="1823">
        <v>0</v>
      </c>
      <c r="I24" s="1823">
        <v>40365436.609999999</v>
      </c>
      <c r="J24" s="1823">
        <v>1159085.8899999999</v>
      </c>
      <c r="K24" s="1823">
        <v>4922426.2</v>
      </c>
      <c r="L24" s="1823"/>
      <c r="M24" s="1823">
        <v>0</v>
      </c>
      <c r="N24" s="1823">
        <v>4472432.82</v>
      </c>
      <c r="O24" s="2054">
        <v>1150969.17</v>
      </c>
      <c r="P24" s="2054">
        <v>156987721.56999999</v>
      </c>
      <c r="Q24" s="2054">
        <v>1687334.85</v>
      </c>
      <c r="R24" s="2054">
        <v>0</v>
      </c>
      <c r="S24" s="2054">
        <v>0</v>
      </c>
      <c r="T24" s="2054">
        <v>0</v>
      </c>
      <c r="U24" s="2054">
        <v>0</v>
      </c>
      <c r="V24" s="2054">
        <v>0</v>
      </c>
      <c r="W24" s="2054">
        <v>0</v>
      </c>
      <c r="X24" s="2054">
        <v>0</v>
      </c>
      <c r="Y24" s="2054">
        <v>0</v>
      </c>
      <c r="Z24" s="2054">
        <v>0</v>
      </c>
      <c r="AA24" s="2054">
        <v>0</v>
      </c>
      <c r="AB24" s="2054">
        <v>0</v>
      </c>
      <c r="AC24" s="2054">
        <v>0</v>
      </c>
      <c r="AD24" s="2054">
        <v>0</v>
      </c>
      <c r="AE24" s="2054">
        <v>0</v>
      </c>
      <c r="AF24" s="2054">
        <v>0</v>
      </c>
      <c r="AG24" s="1036">
        <v>0</v>
      </c>
    </row>
    <row r="25" spans="1:34" x14ac:dyDescent="0.2">
      <c r="A25" s="1129">
        <v>1195</v>
      </c>
      <c r="B25" s="3206" t="s">
        <v>1531</v>
      </c>
      <c r="C25" s="3206"/>
      <c r="D25" t="str">
        <f t="shared" ref="D25:D37" si="0">IF(SUM(F25:N25)-E25=0,"OK","prob")</f>
        <v>OK</v>
      </c>
      <c r="E25" s="1823">
        <v>0</v>
      </c>
      <c r="F25" s="1823">
        <v>0</v>
      </c>
      <c r="G25" s="1823">
        <v>0</v>
      </c>
      <c r="H25" s="1823">
        <v>0</v>
      </c>
      <c r="I25" s="1823">
        <v>0</v>
      </c>
      <c r="J25" s="1823">
        <v>0</v>
      </c>
      <c r="K25" s="1823">
        <v>0</v>
      </c>
      <c r="L25" s="1823"/>
      <c r="M25" s="1823">
        <v>0</v>
      </c>
      <c r="N25" s="1823">
        <v>0</v>
      </c>
      <c r="O25" s="2054">
        <v>0</v>
      </c>
      <c r="P25" s="2054">
        <v>0</v>
      </c>
      <c r="Q25" s="2054">
        <v>3674049.77</v>
      </c>
      <c r="R25" s="2054">
        <v>0</v>
      </c>
      <c r="S25" s="2054">
        <v>0</v>
      </c>
      <c r="T25" s="2054">
        <v>0</v>
      </c>
      <c r="U25" s="2054">
        <v>0</v>
      </c>
      <c r="V25" s="2054">
        <v>47867.32</v>
      </c>
      <c r="W25" s="2054">
        <v>1382676.52</v>
      </c>
      <c r="X25" s="2054">
        <v>0</v>
      </c>
      <c r="Y25" s="2054">
        <v>0</v>
      </c>
      <c r="Z25" s="2054">
        <v>0</v>
      </c>
      <c r="AA25" s="2054">
        <v>0</v>
      </c>
      <c r="AB25" s="2054">
        <v>0</v>
      </c>
      <c r="AC25" s="2054">
        <v>0</v>
      </c>
      <c r="AD25" s="2054">
        <v>125595.73</v>
      </c>
      <c r="AE25" s="2054">
        <v>47465.97</v>
      </c>
      <c r="AF25" s="2054">
        <v>0</v>
      </c>
      <c r="AG25" s="1036">
        <v>0</v>
      </c>
    </row>
    <row r="26" spans="1:34" x14ac:dyDescent="0.2">
      <c r="A26" s="1129">
        <v>1200</v>
      </c>
      <c r="B26" s="3206" t="s">
        <v>361</v>
      </c>
      <c r="C26" s="3206"/>
      <c r="D26" t="str">
        <f t="shared" si="0"/>
        <v>OK</v>
      </c>
      <c r="E26" s="1823">
        <v>3074845</v>
      </c>
      <c r="F26" s="1823">
        <v>3074845</v>
      </c>
      <c r="G26" s="1823">
        <v>0</v>
      </c>
      <c r="H26" s="1823">
        <v>0</v>
      </c>
      <c r="I26" s="1823">
        <v>0</v>
      </c>
      <c r="J26" s="1823">
        <v>0</v>
      </c>
      <c r="K26" s="1823">
        <v>0</v>
      </c>
      <c r="L26" s="1823"/>
      <c r="M26" s="1823">
        <v>0</v>
      </c>
      <c r="N26" s="1823">
        <v>0</v>
      </c>
      <c r="O26" s="2054">
        <v>0</v>
      </c>
      <c r="P26" s="2054">
        <v>2636894.39</v>
      </c>
      <c r="Q26" s="2054">
        <v>2179535</v>
      </c>
      <c r="R26" s="2054">
        <v>0</v>
      </c>
      <c r="S26" s="2054">
        <v>0</v>
      </c>
      <c r="T26" s="2054">
        <v>0</v>
      </c>
      <c r="U26" s="2054">
        <v>26324753</v>
      </c>
      <c r="V26" s="2054">
        <v>0</v>
      </c>
      <c r="W26" s="2054">
        <v>0</v>
      </c>
      <c r="X26" s="2054">
        <v>0</v>
      </c>
      <c r="Y26" s="2054">
        <v>0</v>
      </c>
      <c r="Z26" s="2054">
        <v>0</v>
      </c>
      <c r="AA26" s="2054">
        <v>0</v>
      </c>
      <c r="AB26" s="2054">
        <v>0</v>
      </c>
      <c r="AC26" s="2054">
        <v>0</v>
      </c>
      <c r="AD26" s="2054">
        <v>0</v>
      </c>
      <c r="AE26" s="2054">
        <v>0</v>
      </c>
      <c r="AF26" s="2054">
        <v>0</v>
      </c>
      <c r="AG26" s="1036">
        <v>0</v>
      </c>
    </row>
    <row r="27" spans="1:34" x14ac:dyDescent="0.2">
      <c r="A27" s="335">
        <v>1220</v>
      </c>
      <c r="B27" s="3206" t="s">
        <v>931</v>
      </c>
      <c r="C27" s="3206"/>
      <c r="D27" t="str">
        <f t="shared" si="0"/>
        <v>OK</v>
      </c>
      <c r="E27" s="649">
        <v>123587374.59</v>
      </c>
      <c r="F27" s="649">
        <v>95691405.209999993</v>
      </c>
      <c r="G27" s="649">
        <v>199783</v>
      </c>
      <c r="H27" s="649">
        <v>0</v>
      </c>
      <c r="I27" s="649">
        <v>22048451.510000002</v>
      </c>
      <c r="J27" s="649">
        <v>669347.01</v>
      </c>
      <c r="K27" s="649">
        <v>0</v>
      </c>
      <c r="L27" s="649"/>
      <c r="M27" s="649">
        <v>1044053.73</v>
      </c>
      <c r="N27" s="649">
        <v>3934334.13</v>
      </c>
      <c r="O27" s="1829">
        <v>31913.68</v>
      </c>
      <c r="P27" s="1829">
        <v>21516297.539999999</v>
      </c>
      <c r="Q27" s="1829">
        <v>6777945.0099999998</v>
      </c>
      <c r="R27" s="1829">
        <v>582571.43000000005</v>
      </c>
      <c r="S27" s="1829">
        <v>377146.21</v>
      </c>
      <c r="T27" s="1829">
        <v>410117.61</v>
      </c>
      <c r="U27" s="1829">
        <v>454727.26</v>
      </c>
      <c r="V27" s="1829">
        <v>2740304.67</v>
      </c>
      <c r="W27" s="1829">
        <v>703096.21</v>
      </c>
      <c r="X27" s="1829">
        <v>7128388.3799999999</v>
      </c>
      <c r="Y27" s="1829">
        <v>12539690.67</v>
      </c>
      <c r="Z27" s="1829">
        <v>35510.9</v>
      </c>
      <c r="AA27" s="1829">
        <v>232777</v>
      </c>
      <c r="AB27" s="1829">
        <v>94843.06</v>
      </c>
      <c r="AC27" s="1829">
        <v>211794.57</v>
      </c>
      <c r="AD27" s="1829">
        <v>812612.72</v>
      </c>
      <c r="AE27" s="1829">
        <v>136030.73000000001</v>
      </c>
      <c r="AF27" s="1829">
        <v>0</v>
      </c>
      <c r="AG27" s="649">
        <v>278898.24</v>
      </c>
    </row>
    <row r="28" spans="1:34" x14ac:dyDescent="0.2">
      <c r="A28" s="335">
        <v>1230</v>
      </c>
      <c r="B28" s="3206" t="s">
        <v>631</v>
      </c>
      <c r="C28" s="3206"/>
      <c r="D28" s="2078" t="str">
        <f t="shared" si="0"/>
        <v>prob</v>
      </c>
      <c r="E28" s="649">
        <v>61220717.149999999</v>
      </c>
      <c r="F28" s="649">
        <v>192484316.96000001</v>
      </c>
      <c r="G28" s="649">
        <v>35305550.130000003</v>
      </c>
      <c r="H28" s="649">
        <v>0</v>
      </c>
      <c r="I28" s="649">
        <v>18472178.109999999</v>
      </c>
      <c r="J28" s="649">
        <v>517500.2</v>
      </c>
      <c r="K28" s="649">
        <v>2454001.6</v>
      </c>
      <c r="L28" s="649"/>
      <c r="M28" s="649">
        <v>605783.02</v>
      </c>
      <c r="N28" s="649">
        <v>2747276.13</v>
      </c>
      <c r="O28" s="1829">
        <v>2747974.09</v>
      </c>
      <c r="P28" s="1829">
        <v>21004536.460000001</v>
      </c>
      <c r="Q28" s="1829">
        <v>0</v>
      </c>
      <c r="R28" s="1829">
        <v>0</v>
      </c>
      <c r="S28" s="1829">
        <v>14019657.550000001</v>
      </c>
      <c r="T28" s="1829">
        <v>436058.5</v>
      </c>
      <c r="U28" s="1829">
        <v>56371.07</v>
      </c>
      <c r="V28" s="1829">
        <v>4315843.95</v>
      </c>
      <c r="W28" s="1829">
        <v>0</v>
      </c>
      <c r="X28" s="1829">
        <v>178832.22</v>
      </c>
      <c r="Y28" s="1829">
        <v>3202685.26</v>
      </c>
      <c r="Z28" s="1829">
        <v>0</v>
      </c>
      <c r="AA28" s="1829">
        <v>0</v>
      </c>
      <c r="AB28" s="1829">
        <v>379567.93</v>
      </c>
      <c r="AC28" s="1829">
        <v>294528.89</v>
      </c>
      <c r="AD28" s="1829">
        <v>0</v>
      </c>
      <c r="AE28" s="1829">
        <v>28282.32</v>
      </c>
      <c r="AF28" s="1829">
        <v>71347.460000000006</v>
      </c>
      <c r="AG28" s="649">
        <v>190535.99</v>
      </c>
    </row>
    <row r="29" spans="1:34" x14ac:dyDescent="0.2">
      <c r="A29" s="335">
        <v>1210</v>
      </c>
      <c r="B29" s="3206" t="s">
        <v>549</v>
      </c>
      <c r="C29" s="3206"/>
      <c r="D29" t="str">
        <f t="shared" si="0"/>
        <v>OK</v>
      </c>
      <c r="E29" s="649">
        <v>25583793.710000001</v>
      </c>
      <c r="F29" s="649">
        <v>0</v>
      </c>
      <c r="G29" s="649">
        <v>25460680</v>
      </c>
      <c r="H29" s="649">
        <v>0</v>
      </c>
      <c r="I29" s="649">
        <v>123113.71</v>
      </c>
      <c r="J29" s="649">
        <v>0</v>
      </c>
      <c r="K29" s="649">
        <v>0</v>
      </c>
      <c r="L29" s="649"/>
      <c r="M29" s="649">
        <v>0</v>
      </c>
      <c r="N29" s="649">
        <v>0</v>
      </c>
      <c r="O29" s="2212">
        <v>0</v>
      </c>
      <c r="P29" s="1829">
        <v>4143935.12</v>
      </c>
      <c r="Q29" s="1829">
        <v>2513071</v>
      </c>
      <c r="R29" s="1829">
        <v>862574.93</v>
      </c>
      <c r="S29" s="1829">
        <v>397019.77</v>
      </c>
      <c r="T29" s="1829">
        <v>310298.90000000002</v>
      </c>
      <c r="U29" s="1829">
        <v>547956.17000000004</v>
      </c>
      <c r="V29" s="1829">
        <v>1293812.23</v>
      </c>
      <c r="W29" s="1829">
        <v>25668.63</v>
      </c>
      <c r="X29" s="1829">
        <v>931800.6</v>
      </c>
      <c r="Y29" s="1829">
        <v>630389.06000000006</v>
      </c>
      <c r="Z29" s="1829">
        <v>14207.76</v>
      </c>
      <c r="AA29" s="1829">
        <v>4225.62</v>
      </c>
      <c r="AB29" s="1829">
        <v>6026.6</v>
      </c>
      <c r="AC29" s="1829">
        <v>0</v>
      </c>
      <c r="AD29" s="1829">
        <v>0</v>
      </c>
      <c r="AE29" s="1829">
        <v>0</v>
      </c>
      <c r="AF29" s="1829">
        <v>0</v>
      </c>
      <c r="AG29" s="649">
        <v>0</v>
      </c>
    </row>
    <row r="30" spans="1:34" s="2630" customFormat="1" x14ac:dyDescent="0.2">
      <c r="A30" s="2156">
        <v>1211</v>
      </c>
      <c r="B30" s="3307" t="s">
        <v>5531</v>
      </c>
      <c r="C30" s="3307"/>
      <c r="D30" s="2630" t="str">
        <f t="shared" si="0"/>
        <v>OK</v>
      </c>
      <c r="E30" s="649">
        <v>0</v>
      </c>
      <c r="F30" s="649">
        <v>0</v>
      </c>
      <c r="G30" s="649">
        <v>0</v>
      </c>
      <c r="H30" s="649">
        <v>0</v>
      </c>
      <c r="I30" s="649">
        <v>0</v>
      </c>
      <c r="J30" s="649">
        <v>0</v>
      </c>
      <c r="K30" s="649">
        <v>0</v>
      </c>
      <c r="L30" s="649">
        <v>0</v>
      </c>
      <c r="M30" s="649">
        <v>0</v>
      </c>
      <c r="N30" s="649">
        <v>0</v>
      </c>
      <c r="O30" s="2212">
        <v>0</v>
      </c>
      <c r="P30" s="1829">
        <v>0</v>
      </c>
      <c r="Q30" s="1829">
        <v>0</v>
      </c>
      <c r="R30" s="1829">
        <v>0</v>
      </c>
      <c r="S30" s="1829">
        <v>0</v>
      </c>
      <c r="T30" s="1829">
        <v>0</v>
      </c>
      <c r="U30" s="1829">
        <v>0</v>
      </c>
      <c r="V30" s="1829">
        <v>0</v>
      </c>
      <c r="W30" s="1829">
        <v>0</v>
      </c>
      <c r="X30" s="1829">
        <v>0</v>
      </c>
      <c r="Y30" s="1829">
        <v>0</v>
      </c>
      <c r="Z30" s="1829">
        <v>0</v>
      </c>
      <c r="AA30" s="1829">
        <v>0</v>
      </c>
      <c r="AB30" s="1829">
        <v>0</v>
      </c>
      <c r="AC30" s="1829">
        <v>0</v>
      </c>
      <c r="AD30" s="1829">
        <v>0</v>
      </c>
      <c r="AE30" s="1829">
        <v>0</v>
      </c>
      <c r="AF30" s="1829">
        <v>0</v>
      </c>
      <c r="AG30" s="649">
        <v>0</v>
      </c>
    </row>
    <row r="31" spans="1:34" x14ac:dyDescent="0.2">
      <c r="A31" s="335">
        <v>1020</v>
      </c>
      <c r="B31" s="3357" t="s">
        <v>641</v>
      </c>
      <c r="C31" s="3357"/>
      <c r="D31" t="str">
        <f t="shared" si="0"/>
        <v>OK</v>
      </c>
      <c r="E31" s="649">
        <v>14534478.619999999</v>
      </c>
      <c r="F31" s="649">
        <v>99361</v>
      </c>
      <c r="G31" s="649">
        <v>0</v>
      </c>
      <c r="H31" s="649">
        <v>0</v>
      </c>
      <c r="I31" s="649">
        <v>14435117.619999999</v>
      </c>
      <c r="J31" s="649">
        <v>0</v>
      </c>
      <c r="K31" s="649">
        <v>0</v>
      </c>
      <c r="L31" s="649"/>
      <c r="M31" s="649">
        <v>0</v>
      </c>
      <c r="N31" s="649">
        <v>0</v>
      </c>
      <c r="O31" s="1829">
        <v>5257601.57</v>
      </c>
      <c r="P31" s="1829">
        <v>7766672.3899999997</v>
      </c>
      <c r="Q31" s="1829">
        <v>3612021.52</v>
      </c>
      <c r="R31" s="1829">
        <v>4222452.6900000004</v>
      </c>
      <c r="S31" s="1829">
        <v>854205.02</v>
      </c>
      <c r="T31" s="1829">
        <v>4419.0200000000004</v>
      </c>
      <c r="U31" s="1829">
        <v>455020.93</v>
      </c>
      <c r="V31" s="1829">
        <v>0</v>
      </c>
      <c r="W31" s="1829">
        <v>48904.03</v>
      </c>
      <c r="X31" s="1829">
        <v>763452.06</v>
      </c>
      <c r="Y31" s="1829">
        <v>15329.14</v>
      </c>
      <c r="Z31" s="1829">
        <v>15963696</v>
      </c>
      <c r="AA31" s="1829">
        <v>0</v>
      </c>
      <c r="AB31" s="1829">
        <v>0</v>
      </c>
      <c r="AC31" s="1829">
        <v>0</v>
      </c>
      <c r="AD31" s="1829">
        <v>262533.3</v>
      </c>
      <c r="AE31" s="1829">
        <v>1873222.67</v>
      </c>
      <c r="AF31" s="1829">
        <v>0</v>
      </c>
      <c r="AG31" s="649">
        <v>2698512.82</v>
      </c>
    </row>
    <row r="32" spans="1:34" x14ac:dyDescent="0.2">
      <c r="A32" s="335">
        <v>1030</v>
      </c>
      <c r="B32" s="3206" t="s">
        <v>1532</v>
      </c>
      <c r="C32" s="3357"/>
      <c r="D32" t="str">
        <f t="shared" si="0"/>
        <v>OK</v>
      </c>
      <c r="E32" s="649">
        <v>1382273</v>
      </c>
      <c r="F32" s="649">
        <v>1382273</v>
      </c>
      <c r="G32" s="649">
        <v>0</v>
      </c>
      <c r="H32" s="649">
        <v>0</v>
      </c>
      <c r="I32" s="649">
        <v>0</v>
      </c>
      <c r="J32" s="649">
        <v>0</v>
      </c>
      <c r="K32" s="649">
        <v>0</v>
      </c>
      <c r="L32" s="649"/>
      <c r="M32" s="649">
        <v>0</v>
      </c>
      <c r="N32" s="649">
        <v>0</v>
      </c>
      <c r="O32" s="1829">
        <v>121485152.22</v>
      </c>
      <c r="P32" s="1829">
        <v>346373702.19</v>
      </c>
      <c r="Q32" s="1829">
        <v>173545741.25999999</v>
      </c>
      <c r="R32" s="1829">
        <v>23385750.620000001</v>
      </c>
      <c r="S32" s="1829">
        <v>39722628.219999999</v>
      </c>
      <c r="T32" s="1829">
        <v>2121657.7200000002</v>
      </c>
      <c r="U32" s="1829">
        <v>37620786.270000003</v>
      </c>
      <c r="V32" s="1829">
        <v>50464306.060000002</v>
      </c>
      <c r="W32" s="1829">
        <v>24074781.079999998</v>
      </c>
      <c r="X32" s="1829">
        <v>34090529.450000003</v>
      </c>
      <c r="Y32" s="1829">
        <v>36455774.619999997</v>
      </c>
      <c r="Z32" s="1829">
        <v>0</v>
      </c>
      <c r="AA32" s="1829">
        <v>9340705.1799999997</v>
      </c>
      <c r="AB32" s="1829">
        <v>5150537.67</v>
      </c>
      <c r="AC32" s="1829">
        <v>7596800.7000000002</v>
      </c>
      <c r="AD32" s="1829">
        <v>13265243.58</v>
      </c>
      <c r="AE32" s="1829">
        <v>11377900.49</v>
      </c>
      <c r="AF32" s="1829">
        <v>0</v>
      </c>
      <c r="AG32" s="649">
        <v>0</v>
      </c>
    </row>
    <row r="33" spans="1:35" x14ac:dyDescent="0.2">
      <c r="A33" s="335">
        <v>1070</v>
      </c>
      <c r="B33" s="3206" t="s">
        <v>426</v>
      </c>
      <c r="C33" s="3206"/>
      <c r="D33" t="str">
        <f t="shared" si="0"/>
        <v>OK</v>
      </c>
      <c r="E33" s="649">
        <v>0</v>
      </c>
      <c r="F33" s="649">
        <v>0</v>
      </c>
      <c r="G33" s="649">
        <v>0</v>
      </c>
      <c r="H33" s="649">
        <v>0</v>
      </c>
      <c r="I33" s="649">
        <v>0</v>
      </c>
      <c r="J33" s="649">
        <v>0</v>
      </c>
      <c r="K33" s="649">
        <v>0</v>
      </c>
      <c r="L33" s="649"/>
      <c r="M33" s="649">
        <v>0</v>
      </c>
      <c r="N33" s="649">
        <v>0</v>
      </c>
      <c r="O33" s="1829">
        <v>0</v>
      </c>
      <c r="P33" s="1829">
        <v>152658924.02000001</v>
      </c>
      <c r="Q33" s="1829">
        <v>0</v>
      </c>
      <c r="R33" s="1829">
        <v>9366418.4499999993</v>
      </c>
      <c r="S33" s="1829">
        <v>0</v>
      </c>
      <c r="T33" s="1829">
        <v>402.48</v>
      </c>
      <c r="U33" s="1829">
        <v>0</v>
      </c>
      <c r="V33" s="1829">
        <v>0</v>
      </c>
      <c r="W33" s="1829">
        <v>90539</v>
      </c>
      <c r="X33" s="1829">
        <v>0</v>
      </c>
      <c r="Y33" s="1829">
        <v>0</v>
      </c>
      <c r="Z33" s="1829">
        <v>1462258.84</v>
      </c>
      <c r="AA33" s="1829">
        <v>2.78</v>
      </c>
      <c r="AB33" s="1829">
        <v>0</v>
      </c>
      <c r="AC33" s="1829">
        <v>0</v>
      </c>
      <c r="AD33" s="1829">
        <v>1899725.12</v>
      </c>
      <c r="AE33" s="1829">
        <v>0</v>
      </c>
      <c r="AF33" s="1829">
        <v>0</v>
      </c>
      <c r="AG33" s="649">
        <v>0</v>
      </c>
    </row>
    <row r="34" spans="1:35" x14ac:dyDescent="0.2">
      <c r="A34" s="335">
        <v>1232</v>
      </c>
      <c r="B34" s="3206" t="s">
        <v>1928</v>
      </c>
      <c r="C34" s="3206"/>
      <c r="D34" t="str">
        <f t="shared" si="0"/>
        <v>OK</v>
      </c>
      <c r="E34" s="649">
        <v>0</v>
      </c>
      <c r="F34" s="649">
        <v>0</v>
      </c>
      <c r="G34" s="649">
        <v>0</v>
      </c>
      <c r="H34" s="649">
        <v>0</v>
      </c>
      <c r="I34" s="649">
        <v>0</v>
      </c>
      <c r="J34" s="649">
        <v>0</v>
      </c>
      <c r="K34" s="649">
        <v>0</v>
      </c>
      <c r="L34" s="649"/>
      <c r="M34" s="649">
        <v>0</v>
      </c>
      <c r="N34" s="649">
        <v>0</v>
      </c>
      <c r="O34" s="1829">
        <v>0</v>
      </c>
      <c r="P34" s="1829">
        <v>0</v>
      </c>
      <c r="Q34" s="1829">
        <v>0</v>
      </c>
      <c r="R34" s="1829">
        <v>0</v>
      </c>
      <c r="S34" s="1829">
        <v>0</v>
      </c>
      <c r="T34" s="1829">
        <v>0</v>
      </c>
      <c r="U34" s="1829">
        <v>0</v>
      </c>
      <c r="V34" s="1829">
        <v>0</v>
      </c>
      <c r="W34" s="1829">
        <v>0</v>
      </c>
      <c r="X34" s="1829">
        <v>0</v>
      </c>
      <c r="Y34" s="1829">
        <v>0</v>
      </c>
      <c r="Z34" s="1829">
        <v>0</v>
      </c>
      <c r="AA34" s="1829">
        <v>0</v>
      </c>
      <c r="AB34" s="1829">
        <v>0</v>
      </c>
      <c r="AC34" s="1829">
        <v>0</v>
      </c>
      <c r="AD34" s="1829">
        <v>0</v>
      </c>
      <c r="AE34" s="1829">
        <v>0</v>
      </c>
      <c r="AF34" s="1829">
        <v>0</v>
      </c>
      <c r="AG34" s="649">
        <v>0</v>
      </c>
      <c r="AH34" s="649">
        <f>SUM(E34:AG34)</f>
        <v>0</v>
      </c>
    </row>
    <row r="35" spans="1:35" x14ac:dyDescent="0.2">
      <c r="A35" s="335">
        <v>1235</v>
      </c>
      <c r="B35" s="3306" t="s">
        <v>4454</v>
      </c>
      <c r="C35" s="3306"/>
      <c r="D35" t="str">
        <f t="shared" si="0"/>
        <v>OK</v>
      </c>
      <c r="E35" s="649">
        <v>0</v>
      </c>
      <c r="F35" s="649">
        <v>0</v>
      </c>
      <c r="G35" s="649">
        <v>0</v>
      </c>
      <c r="H35" s="649">
        <v>0</v>
      </c>
      <c r="I35" s="649">
        <v>0</v>
      </c>
      <c r="J35" s="649">
        <v>0</v>
      </c>
      <c r="K35" s="649">
        <v>0</v>
      </c>
      <c r="L35" s="649"/>
      <c r="M35" s="649">
        <v>0</v>
      </c>
      <c r="N35" s="649">
        <v>0</v>
      </c>
      <c r="O35" s="1829">
        <v>0</v>
      </c>
      <c r="P35" s="1829">
        <v>0</v>
      </c>
      <c r="Q35" s="1829">
        <v>0</v>
      </c>
      <c r="R35" s="1829">
        <v>0</v>
      </c>
      <c r="S35" s="1829">
        <v>0</v>
      </c>
      <c r="T35" s="1829">
        <v>0</v>
      </c>
      <c r="U35" s="1829">
        <v>0</v>
      </c>
      <c r="V35" s="1829">
        <v>0</v>
      </c>
      <c r="W35" s="1829">
        <v>0</v>
      </c>
      <c r="X35" s="1829">
        <v>0</v>
      </c>
      <c r="Y35" s="1829">
        <v>0</v>
      </c>
      <c r="Z35" s="1829">
        <v>0</v>
      </c>
      <c r="AA35" s="1829">
        <v>0</v>
      </c>
      <c r="AB35" s="1829">
        <v>0</v>
      </c>
      <c r="AC35" s="1829">
        <v>0</v>
      </c>
      <c r="AD35" s="1829">
        <v>0</v>
      </c>
      <c r="AE35" s="1829">
        <v>0</v>
      </c>
      <c r="AF35" s="1829">
        <v>0</v>
      </c>
      <c r="AG35" s="649">
        <v>0</v>
      </c>
      <c r="AH35" s="649"/>
    </row>
    <row r="36" spans="1:35" x14ac:dyDescent="0.2">
      <c r="A36" s="335">
        <v>1233</v>
      </c>
      <c r="B36" s="3306" t="s">
        <v>4450</v>
      </c>
      <c r="C36" s="3306"/>
      <c r="D36" t="str">
        <f t="shared" si="0"/>
        <v>OK</v>
      </c>
      <c r="E36" s="649">
        <v>0</v>
      </c>
      <c r="F36" s="649">
        <v>0</v>
      </c>
      <c r="G36" s="649">
        <v>0</v>
      </c>
      <c r="H36" s="649">
        <v>0</v>
      </c>
      <c r="I36" s="649">
        <v>0</v>
      </c>
      <c r="J36" s="649">
        <v>0</v>
      </c>
      <c r="K36" s="649">
        <v>0</v>
      </c>
      <c r="L36" s="649"/>
      <c r="M36" s="649">
        <v>0</v>
      </c>
      <c r="N36" s="649">
        <v>0</v>
      </c>
      <c r="O36" s="1829">
        <v>0</v>
      </c>
      <c r="P36" s="1829">
        <v>0</v>
      </c>
      <c r="Q36" s="1829">
        <v>0</v>
      </c>
      <c r="R36" s="1829">
        <v>0</v>
      </c>
      <c r="S36" s="1829">
        <v>0</v>
      </c>
      <c r="T36" s="1829">
        <v>0</v>
      </c>
      <c r="U36" s="1829">
        <v>0</v>
      </c>
      <c r="V36" s="1829">
        <v>0</v>
      </c>
      <c r="W36" s="1829">
        <v>0</v>
      </c>
      <c r="X36" s="1829">
        <v>0</v>
      </c>
      <c r="Y36" s="1829">
        <v>0</v>
      </c>
      <c r="Z36" s="1829">
        <v>0</v>
      </c>
      <c r="AA36" s="1829">
        <v>0</v>
      </c>
      <c r="AB36" s="1829">
        <v>0</v>
      </c>
      <c r="AC36" s="1829">
        <v>0</v>
      </c>
      <c r="AD36" s="1829">
        <v>0</v>
      </c>
      <c r="AE36" s="1829">
        <v>0</v>
      </c>
      <c r="AF36" s="1829">
        <v>0</v>
      </c>
      <c r="AG36" s="649">
        <v>0</v>
      </c>
      <c r="AH36" s="649"/>
    </row>
    <row r="37" spans="1:35" x14ac:dyDescent="0.2">
      <c r="B37" s="3206" t="s">
        <v>639</v>
      </c>
      <c r="C37" s="3206"/>
      <c r="D37" s="2078" t="str">
        <f t="shared" si="0"/>
        <v>prob</v>
      </c>
      <c r="E37" s="661">
        <f t="shared" ref="E37:AG37" si="1">SUM(E12:E36)</f>
        <v>1583685288.46</v>
      </c>
      <c r="F37" s="661">
        <f t="shared" si="1"/>
        <v>818411028.11000001</v>
      </c>
      <c r="G37" s="661">
        <f t="shared" si="1"/>
        <v>322044572.06</v>
      </c>
      <c r="H37" s="661">
        <f t="shared" si="1"/>
        <v>5196810</v>
      </c>
      <c r="I37" s="661">
        <f t="shared" si="1"/>
        <v>448897472.19</v>
      </c>
      <c r="J37" s="661">
        <f t="shared" si="1"/>
        <v>6952575.9699999997</v>
      </c>
      <c r="K37" s="661">
        <f t="shared" si="1"/>
        <v>114702960.84999999</v>
      </c>
      <c r="L37" s="661">
        <f t="shared" si="1"/>
        <v>0</v>
      </c>
      <c r="M37" s="661">
        <f t="shared" si="1"/>
        <v>18210765.489999998</v>
      </c>
      <c r="N37" s="661">
        <f t="shared" si="1"/>
        <v>40634992.789999999</v>
      </c>
      <c r="O37" s="706">
        <f t="shared" si="1"/>
        <v>151621145.15000001</v>
      </c>
      <c r="P37" s="661">
        <f t="shared" si="1"/>
        <v>2054701062.24</v>
      </c>
      <c r="Q37" s="661">
        <f t="shared" si="1"/>
        <v>487814496.85000002</v>
      </c>
      <c r="R37" s="661">
        <f t="shared" si="1"/>
        <v>191546138.25</v>
      </c>
      <c r="S37" s="661">
        <f t="shared" si="1"/>
        <v>399255168.54000002</v>
      </c>
      <c r="T37" s="661">
        <f t="shared" si="1"/>
        <v>23159269.550000001</v>
      </c>
      <c r="U37" s="661">
        <f t="shared" si="1"/>
        <v>200029822.96000001</v>
      </c>
      <c r="V37" s="661">
        <f t="shared" si="1"/>
        <v>380744879.67000002</v>
      </c>
      <c r="W37" s="661">
        <f t="shared" si="1"/>
        <v>152932063.41</v>
      </c>
      <c r="X37" s="661">
        <f t="shared" si="1"/>
        <v>178349421.25999999</v>
      </c>
      <c r="Y37" s="661">
        <f t="shared" si="1"/>
        <v>192527042.47999999</v>
      </c>
      <c r="Z37" s="661">
        <f t="shared" si="1"/>
        <v>45104070.579999998</v>
      </c>
      <c r="AA37" s="661">
        <f t="shared" si="1"/>
        <v>49647008.229999997</v>
      </c>
      <c r="AB37" s="661">
        <f t="shared" si="1"/>
        <v>26882710.079999998</v>
      </c>
      <c r="AC37" s="661">
        <f t="shared" si="1"/>
        <v>39572717.93</v>
      </c>
      <c r="AD37" s="661">
        <f t="shared" si="1"/>
        <v>56269584.170000002</v>
      </c>
      <c r="AE37" s="661">
        <f t="shared" si="1"/>
        <v>37493067.600000001</v>
      </c>
      <c r="AF37" s="661">
        <f t="shared" si="1"/>
        <v>2833754.43</v>
      </c>
      <c r="AG37" s="661">
        <f t="shared" si="1"/>
        <v>7316607.9100000001</v>
      </c>
    </row>
    <row r="38" spans="1:35" x14ac:dyDescent="0.2">
      <c r="B38" s="415"/>
      <c r="C38" s="415"/>
      <c r="E38" s="649"/>
      <c r="F38" s="649"/>
      <c r="G38" s="649"/>
      <c r="H38" s="649"/>
      <c r="I38" s="649"/>
      <c r="J38" s="649"/>
      <c r="K38" s="649"/>
      <c r="L38" s="649"/>
      <c r="M38" s="649"/>
      <c r="N38" s="649"/>
      <c r="O38" s="393"/>
      <c r="P38" s="649"/>
      <c r="Q38" s="649"/>
      <c r="R38" s="649"/>
      <c r="S38" s="649"/>
      <c r="T38" s="649"/>
      <c r="U38" s="649"/>
      <c r="V38" s="649"/>
      <c r="W38" s="649"/>
      <c r="X38" s="649"/>
      <c r="Y38" s="649"/>
      <c r="Z38" s="649"/>
      <c r="AA38" s="649"/>
      <c r="AB38" s="649"/>
      <c r="AC38" s="649"/>
      <c r="AD38" s="649"/>
      <c r="AE38" s="649"/>
      <c r="AF38" s="649"/>
      <c r="AG38" s="649"/>
    </row>
    <row r="39" spans="1:35" x14ac:dyDescent="0.2">
      <c r="B39" s="395" t="s">
        <v>640</v>
      </c>
      <c r="C39" s="395"/>
      <c r="E39" s="649"/>
      <c r="F39" s="649"/>
      <c r="G39" s="649"/>
      <c r="H39" s="649"/>
      <c r="I39" s="649"/>
      <c r="J39" s="649"/>
      <c r="K39" s="649"/>
      <c r="L39" s="649"/>
      <c r="M39" s="649"/>
      <c r="N39" s="649"/>
      <c r="O39" s="393"/>
      <c r="P39" s="649"/>
      <c r="Q39" s="649"/>
      <c r="R39" s="649"/>
      <c r="S39" s="649"/>
      <c r="T39" s="649"/>
      <c r="U39" s="649"/>
      <c r="V39" s="649"/>
      <c r="W39" s="649"/>
      <c r="X39" s="649"/>
      <c r="Y39" s="649"/>
      <c r="Z39" s="649"/>
      <c r="AA39" s="649"/>
      <c r="AB39" s="649"/>
      <c r="AC39" s="649"/>
      <c r="AD39" s="649"/>
      <c r="AE39" s="649"/>
      <c r="AF39" s="649"/>
      <c r="AG39" s="649"/>
    </row>
    <row r="40" spans="1:35" x14ac:dyDescent="0.2">
      <c r="A40" s="335">
        <v>1300</v>
      </c>
      <c r="B40" s="3206" t="s">
        <v>548</v>
      </c>
      <c r="C40" s="3206"/>
      <c r="D40" t="str">
        <f>IF(SUM(F40:N40)-E40=0,"OK","prob")</f>
        <v>OK</v>
      </c>
      <c r="E40" s="649">
        <v>2462081437.96</v>
      </c>
      <c r="F40" s="649">
        <v>1285584995.7</v>
      </c>
      <c r="G40" s="649">
        <v>543561770</v>
      </c>
      <c r="H40" s="649">
        <v>49321998</v>
      </c>
      <c r="I40" s="649">
        <v>583045987.16999996</v>
      </c>
      <c r="J40" s="649">
        <v>566687.09</v>
      </c>
      <c r="K40" s="649">
        <v>0</v>
      </c>
      <c r="L40" s="649"/>
      <c r="M40" s="649">
        <v>0</v>
      </c>
      <c r="N40" s="649">
        <v>0</v>
      </c>
      <c r="O40" s="2040">
        <v>0</v>
      </c>
      <c r="P40" s="2040">
        <v>41403893.549999997</v>
      </c>
      <c r="Q40" s="2040">
        <v>176462653.19</v>
      </c>
      <c r="R40" s="2040">
        <v>1507836.7</v>
      </c>
      <c r="S40" s="2040">
        <v>47149.32</v>
      </c>
      <c r="T40" s="2040">
        <v>0</v>
      </c>
      <c r="U40" s="2040">
        <v>6027739.7599999998</v>
      </c>
      <c r="V40" s="2040">
        <v>0</v>
      </c>
      <c r="W40" s="2040">
        <v>3174.85</v>
      </c>
      <c r="X40" s="2040">
        <v>1767473.61</v>
      </c>
      <c r="Y40" s="2040">
        <v>11250699.720000001</v>
      </c>
      <c r="Z40" s="2040">
        <v>0</v>
      </c>
      <c r="AA40" s="2040">
        <v>0</v>
      </c>
      <c r="AB40" s="2040">
        <v>11677247.17</v>
      </c>
      <c r="AC40" s="2040">
        <v>0</v>
      </c>
      <c r="AD40" s="2040">
        <v>0</v>
      </c>
      <c r="AE40" s="2040">
        <v>0</v>
      </c>
      <c r="AF40" s="2040">
        <v>0</v>
      </c>
      <c r="AG40" s="649">
        <v>0</v>
      </c>
      <c r="AI40" s="649">
        <f t="shared" ref="AI40:AI67" si="2">SUM(F40:AF40)</f>
        <v>2712229305.8299999</v>
      </c>
    </row>
    <row r="41" spans="1:35" x14ac:dyDescent="0.2">
      <c r="A41" s="335">
        <v>1310</v>
      </c>
      <c r="B41" s="3206" t="s">
        <v>1297</v>
      </c>
      <c r="C41" s="3206"/>
      <c r="D41" t="str">
        <f>IF(SUM(F41:N41)-E41=0,"OK","prob")</f>
        <v>OK</v>
      </c>
      <c r="E41" s="649">
        <v>0</v>
      </c>
      <c r="F41" s="649">
        <v>0</v>
      </c>
      <c r="G41" s="649">
        <v>0</v>
      </c>
      <c r="H41" s="649">
        <v>0</v>
      </c>
      <c r="I41" s="649">
        <v>0</v>
      </c>
      <c r="J41" s="649">
        <v>0</v>
      </c>
      <c r="K41" s="649">
        <v>0</v>
      </c>
      <c r="L41" s="649"/>
      <c r="M41" s="649">
        <v>0</v>
      </c>
      <c r="N41" s="649">
        <v>0</v>
      </c>
      <c r="O41" s="2040">
        <v>0</v>
      </c>
      <c r="P41" s="2040">
        <v>0</v>
      </c>
      <c r="Q41" s="2040">
        <v>0</v>
      </c>
      <c r="R41" s="2040">
        <v>0</v>
      </c>
      <c r="S41" s="2040">
        <v>0</v>
      </c>
      <c r="T41" s="2040">
        <v>0</v>
      </c>
      <c r="U41" s="2040">
        <v>0</v>
      </c>
      <c r="V41" s="2040">
        <v>0</v>
      </c>
      <c r="W41" s="2040">
        <v>0</v>
      </c>
      <c r="X41" s="2040">
        <v>0</v>
      </c>
      <c r="Y41" s="2040">
        <v>0</v>
      </c>
      <c r="Z41" s="2040">
        <v>0</v>
      </c>
      <c r="AA41" s="2040">
        <v>0</v>
      </c>
      <c r="AB41" s="2040">
        <v>0</v>
      </c>
      <c r="AC41" s="2040">
        <v>0</v>
      </c>
      <c r="AD41" s="2040">
        <v>0</v>
      </c>
      <c r="AE41" s="2040">
        <v>0</v>
      </c>
      <c r="AF41" s="2040">
        <v>0</v>
      </c>
      <c r="AG41" s="393">
        <v>0</v>
      </c>
      <c r="AI41" s="649">
        <f t="shared" si="2"/>
        <v>0</v>
      </c>
    </row>
    <row r="42" spans="1:35" x14ac:dyDescent="0.2">
      <c r="A42" s="335"/>
      <c r="B42" s="335" t="s">
        <v>198</v>
      </c>
      <c r="C42" s="335"/>
      <c r="E42" s="649"/>
      <c r="F42" s="649"/>
      <c r="G42" s="649"/>
      <c r="H42" s="649"/>
      <c r="I42" s="649"/>
      <c r="J42" s="649"/>
      <c r="K42" s="649"/>
      <c r="L42" s="649"/>
      <c r="M42" s="649"/>
      <c r="N42" s="649"/>
      <c r="O42" s="2040"/>
      <c r="P42" s="568"/>
      <c r="Q42" s="568"/>
      <c r="R42" s="568"/>
      <c r="S42" s="568"/>
      <c r="T42" s="568"/>
      <c r="U42" s="568"/>
      <c r="V42" s="568"/>
      <c r="W42" s="568"/>
      <c r="X42" s="568"/>
      <c r="Y42" s="568"/>
      <c r="Z42" s="568"/>
      <c r="AA42" s="568"/>
      <c r="AB42" s="568"/>
      <c r="AC42" s="568"/>
      <c r="AD42" s="568"/>
      <c r="AE42" s="568"/>
      <c r="AF42" s="568"/>
      <c r="AG42" s="649"/>
      <c r="AI42" s="649">
        <f t="shared" si="2"/>
        <v>0</v>
      </c>
    </row>
    <row r="43" spans="1:35" x14ac:dyDescent="0.2">
      <c r="A43" s="335">
        <v>1340</v>
      </c>
      <c r="B43" s="3355" t="s">
        <v>199</v>
      </c>
      <c r="C43" s="3355"/>
      <c r="D43" t="str">
        <f t="shared" ref="D43:D59" si="3">IF(SUM(F43:N43)-E43=0,"OK","prob")</f>
        <v>OK</v>
      </c>
      <c r="E43" s="649">
        <v>4728910.1100000003</v>
      </c>
      <c r="F43" s="649">
        <v>4728910.1100000003</v>
      </c>
      <c r="G43" s="649">
        <v>0</v>
      </c>
      <c r="H43" s="649">
        <v>0</v>
      </c>
      <c r="I43" s="649">
        <v>0</v>
      </c>
      <c r="J43" s="649">
        <v>0</v>
      </c>
      <c r="K43" s="649">
        <v>0</v>
      </c>
      <c r="L43" s="649"/>
      <c r="M43" s="649">
        <v>0</v>
      </c>
      <c r="N43" s="649">
        <v>0</v>
      </c>
      <c r="O43" s="2040">
        <v>0</v>
      </c>
      <c r="P43" s="2040">
        <v>0</v>
      </c>
      <c r="Q43" s="2040">
        <v>0</v>
      </c>
      <c r="R43" s="2040">
        <v>0</v>
      </c>
      <c r="S43" s="2040">
        <v>0</v>
      </c>
      <c r="T43" s="2040">
        <v>0</v>
      </c>
      <c r="U43" s="2040">
        <v>0</v>
      </c>
      <c r="V43" s="2040">
        <v>0</v>
      </c>
      <c r="W43" s="2040">
        <v>1894071.91</v>
      </c>
      <c r="X43" s="2040">
        <v>0</v>
      </c>
      <c r="Y43" s="2040">
        <v>0</v>
      </c>
      <c r="Z43" s="2040">
        <v>0</v>
      </c>
      <c r="AA43" s="2040">
        <v>0</v>
      </c>
      <c r="AB43" s="2040">
        <v>0</v>
      </c>
      <c r="AC43" s="2040">
        <v>16615</v>
      </c>
      <c r="AD43" s="2040">
        <v>0</v>
      </c>
      <c r="AE43" s="2040">
        <v>0</v>
      </c>
      <c r="AF43" s="2040">
        <v>0</v>
      </c>
      <c r="AG43" s="649">
        <v>0</v>
      </c>
      <c r="AI43" s="649">
        <f t="shared" si="2"/>
        <v>6639597.0199999996</v>
      </c>
    </row>
    <row r="44" spans="1:35" x14ac:dyDescent="0.2">
      <c r="A44" s="335">
        <v>1345</v>
      </c>
      <c r="B44" s="3355" t="s">
        <v>312</v>
      </c>
      <c r="C44" s="3355"/>
      <c r="D44" t="str">
        <f t="shared" si="3"/>
        <v>OK</v>
      </c>
      <c r="E44" s="649">
        <v>0</v>
      </c>
      <c r="F44" s="649">
        <v>0</v>
      </c>
      <c r="G44" s="649">
        <v>0</v>
      </c>
      <c r="H44" s="649">
        <v>0</v>
      </c>
      <c r="I44" s="649">
        <v>0</v>
      </c>
      <c r="J44" s="649">
        <v>0</v>
      </c>
      <c r="K44" s="649">
        <v>0</v>
      </c>
      <c r="L44" s="649"/>
      <c r="M44" s="649">
        <v>0</v>
      </c>
      <c r="N44" s="649">
        <v>0</v>
      </c>
      <c r="O44" s="2040">
        <v>0</v>
      </c>
      <c r="P44" s="2040">
        <v>0</v>
      </c>
      <c r="Q44" s="2040">
        <v>0</v>
      </c>
      <c r="R44" s="2040">
        <v>0</v>
      </c>
      <c r="S44" s="2040">
        <v>0</v>
      </c>
      <c r="T44" s="2040">
        <v>0</v>
      </c>
      <c r="U44" s="2040">
        <v>0</v>
      </c>
      <c r="V44" s="2040">
        <v>0</v>
      </c>
      <c r="W44" s="2040">
        <v>0</v>
      </c>
      <c r="X44" s="2040">
        <v>0</v>
      </c>
      <c r="Y44" s="2040">
        <v>0</v>
      </c>
      <c r="Z44" s="2040">
        <v>0</v>
      </c>
      <c r="AA44" s="2040">
        <v>0</v>
      </c>
      <c r="AB44" s="2040">
        <v>0</v>
      </c>
      <c r="AC44" s="2040">
        <v>0</v>
      </c>
      <c r="AD44" s="2040">
        <v>0</v>
      </c>
      <c r="AE44" s="2040">
        <v>0</v>
      </c>
      <c r="AF44" s="2040">
        <v>0</v>
      </c>
      <c r="AG44" s="649">
        <v>0</v>
      </c>
      <c r="AI44" s="649">
        <f t="shared" si="2"/>
        <v>0</v>
      </c>
    </row>
    <row r="45" spans="1:35" x14ac:dyDescent="0.2">
      <c r="A45" s="335">
        <v>1350</v>
      </c>
      <c r="B45" s="3355" t="s">
        <v>200</v>
      </c>
      <c r="C45" s="3355"/>
      <c r="D45" t="str">
        <f t="shared" si="3"/>
        <v>OK</v>
      </c>
      <c r="E45" s="649">
        <v>0</v>
      </c>
      <c r="F45" s="649">
        <v>0</v>
      </c>
      <c r="G45" s="649">
        <v>0</v>
      </c>
      <c r="H45" s="649">
        <v>0</v>
      </c>
      <c r="I45" s="649">
        <v>0</v>
      </c>
      <c r="J45" s="649">
        <v>0</v>
      </c>
      <c r="K45" s="649">
        <v>0</v>
      </c>
      <c r="L45" s="649"/>
      <c r="M45" s="649">
        <v>0</v>
      </c>
      <c r="N45" s="649">
        <v>0</v>
      </c>
      <c r="O45" s="2040">
        <v>0</v>
      </c>
      <c r="P45" s="2040">
        <v>0</v>
      </c>
      <c r="Q45" s="2040">
        <v>0</v>
      </c>
      <c r="R45" s="2040">
        <v>0</v>
      </c>
      <c r="S45" s="2040">
        <v>0</v>
      </c>
      <c r="T45" s="2040">
        <v>0</v>
      </c>
      <c r="U45" s="2040">
        <v>0</v>
      </c>
      <c r="V45" s="2040">
        <v>0</v>
      </c>
      <c r="W45" s="2040">
        <v>0</v>
      </c>
      <c r="X45" s="2040">
        <v>0</v>
      </c>
      <c r="Y45" s="2040">
        <v>0</v>
      </c>
      <c r="Z45" s="2040">
        <v>0</v>
      </c>
      <c r="AA45" s="2040">
        <v>0</v>
      </c>
      <c r="AB45" s="2040">
        <v>0</v>
      </c>
      <c r="AC45" s="2040">
        <v>0</v>
      </c>
      <c r="AD45" s="2040">
        <v>0</v>
      </c>
      <c r="AE45" s="2040">
        <v>0</v>
      </c>
      <c r="AF45" s="2040">
        <v>0</v>
      </c>
      <c r="AG45" s="649">
        <v>0</v>
      </c>
      <c r="AI45" s="649">
        <f t="shared" si="2"/>
        <v>0</v>
      </c>
    </row>
    <row r="46" spans="1:35" x14ac:dyDescent="0.2">
      <c r="A46" s="335">
        <v>1370</v>
      </c>
      <c r="B46" s="3355" t="s">
        <v>637</v>
      </c>
      <c r="C46" s="3355"/>
      <c r="D46" t="str">
        <f t="shared" si="3"/>
        <v>OK</v>
      </c>
      <c r="E46" s="649">
        <v>20127824.170000002</v>
      </c>
      <c r="F46" s="649">
        <v>16713536.75</v>
      </c>
      <c r="G46" s="649">
        <v>0</v>
      </c>
      <c r="H46" s="649">
        <v>0</v>
      </c>
      <c r="I46" s="649">
        <v>1521693.42</v>
      </c>
      <c r="J46" s="649">
        <v>0</v>
      </c>
      <c r="K46" s="649">
        <v>0</v>
      </c>
      <c r="L46" s="649"/>
      <c r="M46" s="649">
        <v>0</v>
      </c>
      <c r="N46" s="649">
        <v>1892594</v>
      </c>
      <c r="O46" s="2040">
        <v>0</v>
      </c>
      <c r="P46" s="2040">
        <v>64744881.969999999</v>
      </c>
      <c r="Q46" s="2040">
        <v>0</v>
      </c>
      <c r="R46" s="2040">
        <v>2831914.26</v>
      </c>
      <c r="S46" s="2040">
        <v>0</v>
      </c>
      <c r="T46" s="2040">
        <v>0</v>
      </c>
      <c r="U46" s="2040">
        <v>4462754.5</v>
      </c>
      <c r="V46" s="2040">
        <v>9180195.8900000006</v>
      </c>
      <c r="W46" s="2040">
        <v>0</v>
      </c>
      <c r="X46" s="2040">
        <v>598012.5</v>
      </c>
      <c r="Y46" s="2040">
        <v>13332372</v>
      </c>
      <c r="Z46" s="2040">
        <v>192510.31</v>
      </c>
      <c r="AA46" s="2040">
        <v>0</v>
      </c>
      <c r="AB46" s="2040">
        <v>0</v>
      </c>
      <c r="AC46" s="2040">
        <v>0</v>
      </c>
      <c r="AD46" s="2040">
        <v>0</v>
      </c>
      <c r="AE46" s="2040">
        <v>0</v>
      </c>
      <c r="AF46" s="2040">
        <v>0</v>
      </c>
      <c r="AG46" s="649">
        <v>0</v>
      </c>
      <c r="AI46" s="649">
        <f t="shared" si="2"/>
        <v>115470465.59999999</v>
      </c>
    </row>
    <row r="47" spans="1:35" x14ac:dyDescent="0.2">
      <c r="A47" s="335">
        <v>1400</v>
      </c>
      <c r="B47" s="3206" t="s">
        <v>549</v>
      </c>
      <c r="C47" s="3206"/>
      <c r="D47" t="str">
        <f t="shared" si="3"/>
        <v>OK</v>
      </c>
      <c r="E47" s="649">
        <v>19558770.359999999</v>
      </c>
      <c r="F47" s="649">
        <v>0</v>
      </c>
      <c r="G47" s="649">
        <v>16217367</v>
      </c>
      <c r="H47" s="649">
        <v>0</v>
      </c>
      <c r="I47" s="649">
        <v>3341403.36</v>
      </c>
      <c r="J47" s="649">
        <v>0</v>
      </c>
      <c r="K47" s="649">
        <v>0</v>
      </c>
      <c r="L47" s="649"/>
      <c r="M47" s="649">
        <v>0</v>
      </c>
      <c r="N47" s="649">
        <v>0</v>
      </c>
      <c r="O47" s="2040">
        <v>0</v>
      </c>
      <c r="P47" s="2040">
        <v>28988341.609999999</v>
      </c>
      <c r="Q47" s="2040">
        <v>3290511.34</v>
      </c>
      <c r="R47" s="2040">
        <v>896721.59</v>
      </c>
      <c r="S47" s="2040">
        <v>1834377</v>
      </c>
      <c r="T47" s="2040">
        <v>110436.7</v>
      </c>
      <c r="U47" s="2040">
        <v>1984833.79</v>
      </c>
      <c r="V47" s="2040">
        <v>5805431.71</v>
      </c>
      <c r="W47" s="2040">
        <v>161606.54</v>
      </c>
      <c r="X47" s="2040">
        <v>1874306.76</v>
      </c>
      <c r="Y47" s="2040">
        <v>979504.64000000001</v>
      </c>
      <c r="Z47" s="2040">
        <v>116745.35</v>
      </c>
      <c r="AA47" s="2040">
        <v>236236.86</v>
      </c>
      <c r="AB47" s="2040">
        <v>0</v>
      </c>
      <c r="AC47" s="2040">
        <v>668606.57999999996</v>
      </c>
      <c r="AD47" s="2040">
        <v>634360.03</v>
      </c>
      <c r="AE47" s="2040">
        <v>0</v>
      </c>
      <c r="AF47" s="2040">
        <v>0</v>
      </c>
      <c r="AG47" s="649">
        <v>0</v>
      </c>
      <c r="AI47" s="649">
        <f t="shared" si="2"/>
        <v>67140790.859999999</v>
      </c>
    </row>
    <row r="48" spans="1:35" s="2630" customFormat="1" x14ac:dyDescent="0.2">
      <c r="A48" s="2156">
        <v>1401</v>
      </c>
      <c r="B48" s="3307" t="s">
        <v>5531</v>
      </c>
      <c r="C48" s="3307"/>
      <c r="D48" s="2630" t="str">
        <f t="shared" si="3"/>
        <v>OK</v>
      </c>
      <c r="E48" s="649">
        <v>0</v>
      </c>
      <c r="F48" s="649">
        <v>0</v>
      </c>
      <c r="G48" s="649">
        <v>0</v>
      </c>
      <c r="H48" s="649">
        <v>0</v>
      </c>
      <c r="I48" s="649">
        <v>0</v>
      </c>
      <c r="J48" s="649">
        <v>0</v>
      </c>
      <c r="K48" s="649">
        <v>0</v>
      </c>
      <c r="L48" s="649">
        <v>0</v>
      </c>
      <c r="M48" s="649">
        <v>0</v>
      </c>
      <c r="N48" s="649">
        <v>0</v>
      </c>
      <c r="O48" s="2040">
        <v>0</v>
      </c>
      <c r="P48" s="2040">
        <v>0</v>
      </c>
      <c r="Q48" s="2040">
        <v>0</v>
      </c>
      <c r="R48" s="2040">
        <v>0</v>
      </c>
      <c r="S48" s="2040">
        <v>0</v>
      </c>
      <c r="T48" s="2040">
        <v>0</v>
      </c>
      <c r="U48" s="2040">
        <v>0</v>
      </c>
      <c r="V48" s="2040">
        <v>0</v>
      </c>
      <c r="W48" s="2040">
        <v>0</v>
      </c>
      <c r="X48" s="2040">
        <v>0</v>
      </c>
      <c r="Y48" s="2040">
        <v>0</v>
      </c>
      <c r="Z48" s="2040">
        <v>0</v>
      </c>
      <c r="AA48" s="2040">
        <v>0</v>
      </c>
      <c r="AB48" s="2040">
        <v>0</v>
      </c>
      <c r="AC48" s="2040">
        <v>0</v>
      </c>
      <c r="AD48" s="2040">
        <v>0</v>
      </c>
      <c r="AE48" s="2040">
        <v>0</v>
      </c>
      <c r="AF48" s="2040">
        <v>0</v>
      </c>
      <c r="AG48" s="649">
        <v>0</v>
      </c>
      <c r="AI48" s="649"/>
    </row>
    <row r="49" spans="1:35" x14ac:dyDescent="0.2">
      <c r="A49" s="335">
        <v>1415</v>
      </c>
      <c r="B49" s="3206" t="s">
        <v>1417</v>
      </c>
      <c r="C49" s="3206"/>
      <c r="D49" t="str">
        <f t="shared" si="3"/>
        <v>OK</v>
      </c>
      <c r="E49" s="649">
        <v>181850946.61000001</v>
      </c>
      <c r="F49" s="649">
        <v>27313776.59</v>
      </c>
      <c r="G49" s="649">
        <v>110975389</v>
      </c>
      <c r="H49" s="649">
        <v>0</v>
      </c>
      <c r="I49" s="649">
        <v>43327148.810000002</v>
      </c>
      <c r="J49" s="649">
        <v>0</v>
      </c>
      <c r="K49" s="649">
        <v>0</v>
      </c>
      <c r="L49" s="649"/>
      <c r="M49" s="649">
        <v>0</v>
      </c>
      <c r="N49" s="649">
        <v>234632.21</v>
      </c>
      <c r="O49" s="2040">
        <v>0</v>
      </c>
      <c r="P49" s="2040">
        <v>17516217.66</v>
      </c>
      <c r="Q49" s="2040">
        <v>0</v>
      </c>
      <c r="R49" s="2040">
        <v>0</v>
      </c>
      <c r="S49" s="2040">
        <v>0</v>
      </c>
      <c r="T49" s="2040">
        <v>0</v>
      </c>
      <c r="U49" s="2040">
        <v>0</v>
      </c>
      <c r="V49" s="2040">
        <v>267715.02</v>
      </c>
      <c r="W49" s="2040">
        <v>0</v>
      </c>
      <c r="X49" s="2040">
        <v>0</v>
      </c>
      <c r="Y49" s="2040">
        <v>0</v>
      </c>
      <c r="Z49" s="2040">
        <v>0</v>
      </c>
      <c r="AA49" s="2040">
        <v>0</v>
      </c>
      <c r="AB49" s="2040">
        <v>0</v>
      </c>
      <c r="AC49" s="2040">
        <v>0</v>
      </c>
      <c r="AD49" s="2040">
        <v>0</v>
      </c>
      <c r="AE49" s="2040">
        <v>0</v>
      </c>
      <c r="AF49" s="2040">
        <v>0</v>
      </c>
      <c r="AG49" s="649">
        <v>0</v>
      </c>
      <c r="AI49" s="649">
        <f t="shared" si="2"/>
        <v>199634879.28999999</v>
      </c>
    </row>
    <row r="50" spans="1:35" x14ac:dyDescent="0.2">
      <c r="A50" s="335">
        <v>1420</v>
      </c>
      <c r="B50" s="3206" t="s">
        <v>631</v>
      </c>
      <c r="C50" s="3206"/>
      <c r="D50" t="str">
        <f t="shared" si="3"/>
        <v>OK</v>
      </c>
      <c r="E50" s="649">
        <v>46280578.57</v>
      </c>
      <c r="F50" s="649">
        <v>292108.17</v>
      </c>
      <c r="G50" s="649">
        <v>0</v>
      </c>
      <c r="H50" s="649">
        <v>0</v>
      </c>
      <c r="I50" s="649">
        <v>34443015.719999999</v>
      </c>
      <c r="J50" s="649">
        <v>834601.03</v>
      </c>
      <c r="K50" s="649">
        <v>3985654.07</v>
      </c>
      <c r="L50" s="649"/>
      <c r="M50" s="649">
        <v>1054968</v>
      </c>
      <c r="N50" s="649">
        <v>5670231.5800000001</v>
      </c>
      <c r="O50" s="2040">
        <v>0</v>
      </c>
      <c r="P50" s="2040">
        <v>0</v>
      </c>
      <c r="Q50" s="2040">
        <v>0</v>
      </c>
      <c r="R50" s="2040">
        <v>0</v>
      </c>
      <c r="S50" s="2040">
        <v>0</v>
      </c>
      <c r="T50" s="2040">
        <v>0</v>
      </c>
      <c r="U50" s="2040">
        <v>0</v>
      </c>
      <c r="V50" s="2040">
        <v>0</v>
      </c>
      <c r="W50" s="2040">
        <v>0</v>
      </c>
      <c r="X50" s="2040">
        <v>85785.03</v>
      </c>
      <c r="Y50" s="2040">
        <v>728941.74</v>
      </c>
      <c r="Z50" s="2040">
        <v>0</v>
      </c>
      <c r="AA50" s="2040">
        <v>0</v>
      </c>
      <c r="AB50" s="2040">
        <v>0</v>
      </c>
      <c r="AC50" s="2040">
        <v>0</v>
      </c>
      <c r="AD50" s="2040">
        <v>0</v>
      </c>
      <c r="AE50" s="2040">
        <v>0</v>
      </c>
      <c r="AF50" s="2040">
        <v>13488.65</v>
      </c>
      <c r="AG50" s="649">
        <v>0</v>
      </c>
      <c r="AI50" s="649">
        <f t="shared" si="2"/>
        <v>47108793.990000002</v>
      </c>
    </row>
    <row r="51" spans="1:35" x14ac:dyDescent="0.2">
      <c r="A51" s="335">
        <v>1270</v>
      </c>
      <c r="B51" s="3206" t="s">
        <v>641</v>
      </c>
      <c r="C51" s="3206"/>
      <c r="D51" t="str">
        <f t="shared" si="3"/>
        <v>OK</v>
      </c>
      <c r="E51" s="649">
        <v>65795900.329999998</v>
      </c>
      <c r="F51" s="649">
        <v>0</v>
      </c>
      <c r="G51" s="649">
        <v>0</v>
      </c>
      <c r="H51" s="649">
        <v>0</v>
      </c>
      <c r="I51" s="649">
        <v>65795900.329999998</v>
      </c>
      <c r="J51" s="649">
        <v>0</v>
      </c>
      <c r="K51" s="649">
        <v>0</v>
      </c>
      <c r="L51" s="649"/>
      <c r="M51" s="649">
        <v>0</v>
      </c>
      <c r="N51" s="649">
        <v>0</v>
      </c>
      <c r="O51" s="2040">
        <v>0</v>
      </c>
      <c r="P51" s="2040">
        <v>0</v>
      </c>
      <c r="Q51" s="2040">
        <v>403.98</v>
      </c>
      <c r="R51" s="2040">
        <v>237970.9</v>
      </c>
      <c r="S51" s="2040">
        <v>2428338.71</v>
      </c>
      <c r="T51" s="2040">
        <v>0</v>
      </c>
      <c r="U51" s="2040">
        <v>0</v>
      </c>
      <c r="V51" s="2040">
        <v>0</v>
      </c>
      <c r="W51" s="2040">
        <v>0</v>
      </c>
      <c r="X51" s="2040">
        <v>4459634.51</v>
      </c>
      <c r="Y51" s="2040">
        <v>63888376.170000002</v>
      </c>
      <c r="Z51" s="2040">
        <v>6894511.71</v>
      </c>
      <c r="AA51" s="2040">
        <v>0</v>
      </c>
      <c r="AB51" s="2040">
        <v>3324169.39</v>
      </c>
      <c r="AC51" s="2040">
        <v>0</v>
      </c>
      <c r="AD51" s="2040">
        <v>0</v>
      </c>
      <c r="AE51" s="2040">
        <v>0</v>
      </c>
      <c r="AF51" s="2040">
        <v>0</v>
      </c>
      <c r="AG51" s="649">
        <v>0</v>
      </c>
      <c r="AI51" s="649">
        <f t="shared" si="2"/>
        <v>147029305.69999999</v>
      </c>
    </row>
    <row r="52" spans="1:35" x14ac:dyDescent="0.2">
      <c r="A52" s="335">
        <v>1280</v>
      </c>
      <c r="B52" s="3206" t="s">
        <v>1422</v>
      </c>
      <c r="C52" s="3206"/>
      <c r="D52" t="str">
        <f t="shared" si="3"/>
        <v>OK</v>
      </c>
      <c r="E52" s="649">
        <v>152903052</v>
      </c>
      <c r="F52" s="649">
        <v>152903052</v>
      </c>
      <c r="G52" s="649">
        <v>0</v>
      </c>
      <c r="H52" s="649">
        <v>0</v>
      </c>
      <c r="I52" s="649">
        <v>0</v>
      </c>
      <c r="J52" s="649">
        <v>0</v>
      </c>
      <c r="K52" s="649">
        <v>0</v>
      </c>
      <c r="L52" s="649"/>
      <c r="M52" s="649">
        <v>0</v>
      </c>
      <c r="N52" s="649">
        <v>0</v>
      </c>
      <c r="O52" s="2040">
        <v>4441416.24</v>
      </c>
      <c r="P52" s="2040">
        <v>122400846.38</v>
      </c>
      <c r="Q52" s="2040">
        <v>163699179.87</v>
      </c>
      <c r="R52" s="2040">
        <v>7786279.4299999997</v>
      </c>
      <c r="S52" s="2040">
        <v>34337327.609999999</v>
      </c>
      <c r="T52" s="2040">
        <v>1598106.57</v>
      </c>
      <c r="U52" s="2040">
        <v>25384583.079999998</v>
      </c>
      <c r="V52" s="2040">
        <v>47151406.530000001</v>
      </c>
      <c r="W52" s="2040">
        <v>11579557.84</v>
      </c>
      <c r="X52" s="2040">
        <v>96528298.909999996</v>
      </c>
      <c r="Y52" s="2040">
        <v>11686904.73</v>
      </c>
      <c r="Z52" s="2040">
        <v>0</v>
      </c>
      <c r="AA52" s="2040">
        <v>3143648.22</v>
      </c>
      <c r="AB52" s="2040">
        <v>12708718.960000001</v>
      </c>
      <c r="AC52" s="2040">
        <v>5985451.6299999999</v>
      </c>
      <c r="AD52" s="2040">
        <v>16169569.439999999</v>
      </c>
      <c r="AE52" s="2040">
        <v>25343513.93</v>
      </c>
      <c r="AF52" s="2040">
        <v>0</v>
      </c>
      <c r="AG52" s="649">
        <v>0</v>
      </c>
      <c r="AI52" s="649">
        <f t="shared" si="2"/>
        <v>742847861.37</v>
      </c>
    </row>
    <row r="53" spans="1:35" x14ac:dyDescent="0.2">
      <c r="A53" s="335">
        <v>1410</v>
      </c>
      <c r="B53" s="3206" t="s">
        <v>642</v>
      </c>
      <c r="C53" s="3206"/>
      <c r="D53" t="str">
        <f t="shared" si="3"/>
        <v>OK</v>
      </c>
      <c r="E53" s="649">
        <v>406976764.37</v>
      </c>
      <c r="F53" s="649">
        <v>401983458.38</v>
      </c>
      <c r="G53" s="649">
        <v>0</v>
      </c>
      <c r="H53" s="649">
        <v>0</v>
      </c>
      <c r="I53" s="649">
        <v>4993305.99</v>
      </c>
      <c r="J53" s="649">
        <v>0</v>
      </c>
      <c r="K53" s="649">
        <v>0</v>
      </c>
      <c r="L53" s="649"/>
      <c r="M53" s="649">
        <v>0</v>
      </c>
      <c r="N53" s="649">
        <v>0</v>
      </c>
      <c r="O53" s="2040">
        <v>121639333.23</v>
      </c>
      <c r="P53" s="2057">
        <v>3173504846.46</v>
      </c>
      <c r="Q53" s="2058">
        <v>522702478.19</v>
      </c>
      <c r="R53" s="2058">
        <v>394717536.45999998</v>
      </c>
      <c r="S53" s="2058">
        <v>189603049.33000001</v>
      </c>
      <c r="T53" s="2058">
        <v>22110209.440000001</v>
      </c>
      <c r="U53" s="2058">
        <v>128598867.59</v>
      </c>
      <c r="V53" s="2058">
        <v>75002377.719999999</v>
      </c>
      <c r="W53" s="2058">
        <v>143143941.03</v>
      </c>
      <c r="X53" s="2058">
        <v>122773384.51000001</v>
      </c>
      <c r="Y53" s="2058">
        <v>176023984.86000001</v>
      </c>
      <c r="Z53" s="2058">
        <v>32803274.420000002</v>
      </c>
      <c r="AA53" s="2058">
        <v>50570115.689999998</v>
      </c>
      <c r="AB53" s="2058">
        <v>16932732.260000002</v>
      </c>
      <c r="AC53" s="2058">
        <v>28927328.190000001</v>
      </c>
      <c r="AD53" s="2058">
        <v>53951354.380000003</v>
      </c>
      <c r="AE53" s="2058">
        <v>40335395.299999997</v>
      </c>
      <c r="AF53" s="2058">
        <v>0</v>
      </c>
      <c r="AG53" s="649">
        <v>0</v>
      </c>
      <c r="AI53" s="649">
        <f t="shared" si="2"/>
        <v>5700316973.4300003</v>
      </c>
    </row>
    <row r="54" spans="1:35" x14ac:dyDescent="0.2">
      <c r="A54" s="335"/>
      <c r="B54" s="3206" t="s">
        <v>1224</v>
      </c>
      <c r="C54" s="3206"/>
      <c r="D54" t="str">
        <f t="shared" si="3"/>
        <v>OK</v>
      </c>
      <c r="E54" s="649"/>
      <c r="F54" s="393"/>
      <c r="G54" s="393"/>
      <c r="H54" s="393"/>
      <c r="I54" s="393"/>
      <c r="J54" s="393"/>
      <c r="K54" s="393"/>
      <c r="L54" s="393"/>
      <c r="M54" s="393"/>
      <c r="N54" s="393"/>
      <c r="O54" s="2040"/>
      <c r="P54" s="568"/>
      <c r="Q54" s="568"/>
      <c r="R54" s="568"/>
      <c r="S54" s="568"/>
      <c r="T54" s="568"/>
      <c r="U54" s="568"/>
      <c r="V54" s="568"/>
      <c r="W54" s="568"/>
      <c r="X54" s="568"/>
      <c r="Y54" s="568"/>
      <c r="Z54" s="568"/>
      <c r="AA54" s="568"/>
      <c r="AB54" s="568"/>
      <c r="AC54" s="568"/>
      <c r="AD54" s="568"/>
      <c r="AE54" s="568"/>
      <c r="AF54" s="568"/>
      <c r="AG54" s="393"/>
      <c r="AI54" s="649">
        <f t="shared" si="2"/>
        <v>0</v>
      </c>
    </row>
    <row r="55" spans="1:35" x14ac:dyDescent="0.2">
      <c r="A55" s="1129">
        <v>1395</v>
      </c>
      <c r="B55" s="3206" t="s">
        <v>1213</v>
      </c>
      <c r="C55" s="3206"/>
      <c r="D55" t="str">
        <f t="shared" si="3"/>
        <v>OK</v>
      </c>
      <c r="E55" s="1823">
        <v>0</v>
      </c>
      <c r="F55" s="1823">
        <v>0</v>
      </c>
      <c r="G55" s="1823">
        <v>0</v>
      </c>
      <c r="H55" s="1823">
        <v>0</v>
      </c>
      <c r="I55" s="1823">
        <v>0</v>
      </c>
      <c r="J55" s="1823">
        <v>0</v>
      </c>
      <c r="K55" s="1823">
        <v>0</v>
      </c>
      <c r="L55" s="1823"/>
      <c r="M55" s="1823">
        <v>0</v>
      </c>
      <c r="N55" s="1823">
        <v>0</v>
      </c>
      <c r="O55" s="2045">
        <v>0</v>
      </c>
      <c r="P55" s="2045">
        <v>0</v>
      </c>
      <c r="Q55" s="2045">
        <v>0</v>
      </c>
      <c r="R55" s="2045">
        <v>0</v>
      </c>
      <c r="S55" s="2045">
        <v>0</v>
      </c>
      <c r="T55" s="2045">
        <v>0</v>
      </c>
      <c r="U55" s="2045">
        <v>0</v>
      </c>
      <c r="V55" s="2045">
        <v>0</v>
      </c>
      <c r="W55" s="2045">
        <v>0</v>
      </c>
      <c r="X55" s="2045">
        <v>0</v>
      </c>
      <c r="Y55" s="2045">
        <v>0</v>
      </c>
      <c r="Z55" s="2045">
        <v>0</v>
      </c>
      <c r="AA55" s="2045">
        <v>0</v>
      </c>
      <c r="AB55" s="2045">
        <v>0</v>
      </c>
      <c r="AC55" s="2045">
        <v>0</v>
      </c>
      <c r="AD55" s="2045">
        <v>0</v>
      </c>
      <c r="AE55" s="2045">
        <v>0</v>
      </c>
      <c r="AF55" s="2045">
        <v>0</v>
      </c>
      <c r="AG55" s="1823">
        <v>0</v>
      </c>
      <c r="AI55" s="649">
        <f t="shared" si="2"/>
        <v>0</v>
      </c>
    </row>
    <row r="56" spans="1:35" x14ac:dyDescent="0.2">
      <c r="A56" s="1129">
        <v>1390</v>
      </c>
      <c r="B56" s="3206" t="s">
        <v>646</v>
      </c>
      <c r="C56" s="3206"/>
      <c r="D56" t="str">
        <f t="shared" si="3"/>
        <v>OK</v>
      </c>
      <c r="E56" s="1823">
        <v>0</v>
      </c>
      <c r="F56" s="1823">
        <v>0</v>
      </c>
      <c r="G56" s="1823">
        <v>0</v>
      </c>
      <c r="H56" s="1823">
        <v>0</v>
      </c>
      <c r="I56" s="1823">
        <v>0</v>
      </c>
      <c r="J56" s="1823">
        <v>0</v>
      </c>
      <c r="K56" s="1823">
        <v>0</v>
      </c>
      <c r="L56" s="1823"/>
      <c r="M56" s="1823">
        <v>0</v>
      </c>
      <c r="N56" s="1823">
        <v>0</v>
      </c>
      <c r="O56" s="2045">
        <v>0</v>
      </c>
      <c r="P56" s="2045">
        <v>0</v>
      </c>
      <c r="Q56" s="2045">
        <v>0</v>
      </c>
      <c r="R56" s="2045">
        <v>0</v>
      </c>
      <c r="S56" s="2045">
        <v>0</v>
      </c>
      <c r="T56" s="2045">
        <v>0</v>
      </c>
      <c r="U56" s="2045">
        <v>0</v>
      </c>
      <c r="V56" s="2045">
        <v>0</v>
      </c>
      <c r="W56" s="2045">
        <v>0</v>
      </c>
      <c r="X56" s="2045">
        <v>0</v>
      </c>
      <c r="Y56" s="2045">
        <v>0</v>
      </c>
      <c r="Z56" s="2045">
        <v>0</v>
      </c>
      <c r="AA56" s="2045">
        <v>0</v>
      </c>
      <c r="AB56" s="2045">
        <v>0</v>
      </c>
      <c r="AC56" s="2045">
        <v>0</v>
      </c>
      <c r="AD56" s="2045">
        <v>0</v>
      </c>
      <c r="AE56" s="2045">
        <v>0</v>
      </c>
      <c r="AF56" s="2045">
        <v>0</v>
      </c>
      <c r="AG56" s="1823">
        <v>0</v>
      </c>
      <c r="AI56" s="649">
        <f t="shared" si="2"/>
        <v>0</v>
      </c>
    </row>
    <row r="57" spans="1:35" x14ac:dyDescent="0.2">
      <c r="A57" s="335">
        <v>1432</v>
      </c>
      <c r="B57" s="3206" t="s">
        <v>1346</v>
      </c>
      <c r="C57" s="3206"/>
      <c r="D57" t="str">
        <f t="shared" si="3"/>
        <v>OK</v>
      </c>
      <c r="E57" s="649">
        <v>0</v>
      </c>
      <c r="F57" s="649">
        <v>0</v>
      </c>
      <c r="G57" s="649">
        <v>0</v>
      </c>
      <c r="H57" s="649">
        <v>0</v>
      </c>
      <c r="I57" s="649">
        <v>0</v>
      </c>
      <c r="J57" s="649">
        <v>0</v>
      </c>
      <c r="K57" s="649">
        <v>0</v>
      </c>
      <c r="L57" s="649"/>
      <c r="M57" s="649">
        <v>0</v>
      </c>
      <c r="N57" s="649">
        <v>0</v>
      </c>
      <c r="O57" s="2040">
        <v>0</v>
      </c>
      <c r="P57" s="2040">
        <v>0</v>
      </c>
      <c r="Q57" s="2040">
        <v>0</v>
      </c>
      <c r="R57" s="2040">
        <v>0</v>
      </c>
      <c r="S57" s="2040">
        <v>0</v>
      </c>
      <c r="T57" s="2040">
        <v>0</v>
      </c>
      <c r="U57" s="2040">
        <v>0</v>
      </c>
      <c r="V57" s="2040">
        <v>0</v>
      </c>
      <c r="W57" s="2040">
        <v>0</v>
      </c>
      <c r="X57" s="2040">
        <v>0</v>
      </c>
      <c r="Y57" s="2040">
        <v>0</v>
      </c>
      <c r="Z57" s="2040">
        <v>0</v>
      </c>
      <c r="AA57" s="2040">
        <v>0</v>
      </c>
      <c r="AB57" s="2040">
        <v>0</v>
      </c>
      <c r="AC57" s="2040">
        <v>0</v>
      </c>
      <c r="AD57" s="2040">
        <v>0</v>
      </c>
      <c r="AE57" s="2040">
        <v>0</v>
      </c>
      <c r="AF57" s="2040">
        <v>0</v>
      </c>
      <c r="AG57" s="649">
        <v>0</v>
      </c>
      <c r="AI57" s="649">
        <f t="shared" si="2"/>
        <v>0</v>
      </c>
    </row>
    <row r="58" spans="1:35" x14ac:dyDescent="0.2">
      <c r="A58" s="335">
        <v>1434</v>
      </c>
      <c r="B58" s="3306" t="s">
        <v>4454</v>
      </c>
      <c r="C58" s="3306"/>
      <c r="D58" t="str">
        <f t="shared" si="3"/>
        <v>OK</v>
      </c>
      <c r="E58" s="649">
        <v>0</v>
      </c>
      <c r="F58" s="649">
        <v>0</v>
      </c>
      <c r="G58" s="649">
        <v>0</v>
      </c>
      <c r="H58" s="649">
        <v>0</v>
      </c>
      <c r="I58" s="649">
        <v>0</v>
      </c>
      <c r="J58" s="649">
        <v>0</v>
      </c>
      <c r="K58" s="649">
        <v>0</v>
      </c>
      <c r="L58" s="649"/>
      <c r="M58" s="649">
        <v>0</v>
      </c>
      <c r="N58" s="649">
        <v>0</v>
      </c>
      <c r="O58" s="2040">
        <v>179780.09</v>
      </c>
      <c r="P58" s="2040">
        <v>1283580.25</v>
      </c>
      <c r="Q58" s="2040">
        <v>0</v>
      </c>
      <c r="R58" s="2040">
        <v>0</v>
      </c>
      <c r="S58" s="2040">
        <v>0</v>
      </c>
      <c r="T58" s="2040">
        <v>0</v>
      </c>
      <c r="U58" s="2040">
        <v>0</v>
      </c>
      <c r="V58" s="2040">
        <v>0</v>
      </c>
      <c r="W58" s="2040">
        <v>0</v>
      </c>
      <c r="X58" s="2040">
        <v>0</v>
      </c>
      <c r="Y58" s="2040">
        <v>2003261</v>
      </c>
      <c r="Z58" s="2040">
        <v>0</v>
      </c>
      <c r="AA58" s="2040">
        <v>0</v>
      </c>
      <c r="AB58" s="2040">
        <v>0</v>
      </c>
      <c r="AC58" s="2040">
        <v>0</v>
      </c>
      <c r="AD58" s="2040">
        <v>0</v>
      </c>
      <c r="AE58" s="2040">
        <v>0</v>
      </c>
      <c r="AF58" s="2040">
        <v>0</v>
      </c>
      <c r="AG58" s="649">
        <v>0</v>
      </c>
      <c r="AI58" s="649">
        <f t="shared" si="2"/>
        <v>3466621.34</v>
      </c>
    </row>
    <row r="59" spans="1:35" x14ac:dyDescent="0.2">
      <c r="A59" s="335">
        <v>1433</v>
      </c>
      <c r="B59" s="3306" t="s">
        <v>4450</v>
      </c>
      <c r="C59" s="3306"/>
      <c r="D59" t="str">
        <f t="shared" si="3"/>
        <v>OK</v>
      </c>
      <c r="E59" s="649">
        <v>2176844.17</v>
      </c>
      <c r="F59" s="649">
        <v>1732999.17</v>
      </c>
      <c r="G59" s="649">
        <v>443845</v>
      </c>
      <c r="H59" s="649">
        <v>0</v>
      </c>
      <c r="I59" s="649">
        <v>0</v>
      </c>
      <c r="J59" s="649">
        <v>0</v>
      </c>
      <c r="K59" s="649">
        <v>0</v>
      </c>
      <c r="L59" s="649"/>
      <c r="M59" s="649">
        <v>0</v>
      </c>
      <c r="N59" s="649">
        <v>0</v>
      </c>
      <c r="O59" s="2040">
        <v>87014</v>
      </c>
      <c r="P59" s="2040">
        <v>3489129</v>
      </c>
      <c r="Q59" s="2040">
        <v>1946380</v>
      </c>
      <c r="R59" s="2040">
        <v>514850</v>
      </c>
      <c r="S59" s="2040">
        <v>787458</v>
      </c>
      <c r="T59" s="2040">
        <v>120697</v>
      </c>
      <c r="U59" s="2040">
        <v>415950</v>
      </c>
      <c r="V59" s="2040">
        <v>1221364</v>
      </c>
      <c r="W59" s="2040">
        <v>303429</v>
      </c>
      <c r="X59" s="2040">
        <v>291617</v>
      </c>
      <c r="Y59" s="2040">
        <v>532589</v>
      </c>
      <c r="Z59" s="2040">
        <v>157588.01</v>
      </c>
      <c r="AA59" s="2040">
        <v>140685</v>
      </c>
      <c r="AB59" s="2040">
        <v>58039</v>
      </c>
      <c r="AC59" s="2040">
        <v>132957</v>
      </c>
      <c r="AD59" s="2040">
        <v>219902</v>
      </c>
      <c r="AE59" s="2040">
        <v>77397</v>
      </c>
      <c r="AF59" s="2040">
        <v>0</v>
      </c>
      <c r="AG59" s="649">
        <v>1504</v>
      </c>
      <c r="AI59" s="649">
        <f t="shared" si="2"/>
        <v>12673889.18</v>
      </c>
    </row>
    <row r="60" spans="1:35" x14ac:dyDescent="0.2">
      <c r="A60" s="335"/>
      <c r="B60" s="335" t="s">
        <v>1533</v>
      </c>
      <c r="C60" s="335"/>
      <c r="E60" s="649"/>
      <c r="F60" s="649"/>
      <c r="G60" s="649"/>
      <c r="H60" s="649"/>
      <c r="I60" s="649"/>
      <c r="J60" s="649"/>
      <c r="K60" s="649"/>
      <c r="L60" s="649"/>
      <c r="M60" s="649"/>
      <c r="N60" s="649"/>
      <c r="O60" s="2040"/>
      <c r="P60" s="2050"/>
      <c r="Q60" s="568"/>
      <c r="R60" s="568"/>
      <c r="S60" s="568"/>
      <c r="T60" s="568"/>
      <c r="AC60" s="568"/>
      <c r="AG60" s="649"/>
      <c r="AI60" s="649">
        <f t="shared" si="2"/>
        <v>0</v>
      </c>
    </row>
    <row r="61" spans="1:35" x14ac:dyDescent="0.2">
      <c r="A61" s="1129">
        <v>1480</v>
      </c>
      <c r="B61" s="3355" t="s">
        <v>1407</v>
      </c>
      <c r="C61" s="3355"/>
      <c r="D61" t="str">
        <f t="shared" ref="D61:D67" si="4">IF(SUM(F61:N61)-E61=0,"OK","prob")</f>
        <v>OK</v>
      </c>
      <c r="E61" s="1823">
        <v>97224772.5</v>
      </c>
      <c r="F61" s="1823">
        <v>37867360</v>
      </c>
      <c r="G61" s="1823">
        <v>22580955</v>
      </c>
      <c r="H61" s="1823">
        <v>0</v>
      </c>
      <c r="I61" s="1823">
        <v>28920644</v>
      </c>
      <c r="J61" s="1823">
        <v>402081</v>
      </c>
      <c r="K61" s="1823">
        <v>0</v>
      </c>
      <c r="L61" s="1823"/>
      <c r="M61" s="1823">
        <v>3221580</v>
      </c>
      <c r="N61" s="1823">
        <v>4232152.5</v>
      </c>
      <c r="O61" s="2045">
        <v>802658</v>
      </c>
      <c r="P61" s="2045">
        <v>70302204.019999996</v>
      </c>
      <c r="Q61" s="2045">
        <v>78542761.129999995</v>
      </c>
      <c r="R61" s="2045">
        <v>50637031.289999999</v>
      </c>
      <c r="S61" s="2045">
        <v>12884085.439999999</v>
      </c>
      <c r="T61" s="2045">
        <v>10275310.619999999</v>
      </c>
      <c r="U61" s="2045">
        <v>14848968.369999999</v>
      </c>
      <c r="V61" s="2045">
        <v>52713163.049999997</v>
      </c>
      <c r="W61" s="2045">
        <v>13367021.289999999</v>
      </c>
      <c r="X61" s="2045">
        <v>15155111.34</v>
      </c>
      <c r="Y61" s="2045">
        <v>67526348.280000001</v>
      </c>
      <c r="Z61" s="2045">
        <v>4460325.29</v>
      </c>
      <c r="AA61" s="2045">
        <v>5231051.5599999996</v>
      </c>
      <c r="AB61" s="2045">
        <v>2230872.2000000002</v>
      </c>
      <c r="AC61" s="2045">
        <v>1766577.98</v>
      </c>
      <c r="AD61" s="2045">
        <v>11213084.85</v>
      </c>
      <c r="AE61" s="2045">
        <v>4313652.83</v>
      </c>
      <c r="AF61" s="2045">
        <v>0</v>
      </c>
      <c r="AG61" s="1823">
        <v>97425.8</v>
      </c>
      <c r="AI61" s="649">
        <f t="shared" si="2"/>
        <v>513495000.04000002</v>
      </c>
    </row>
    <row r="62" spans="1:35" x14ac:dyDescent="0.2">
      <c r="A62" s="1129">
        <v>1490</v>
      </c>
      <c r="B62" s="3355" t="s">
        <v>1408</v>
      </c>
      <c r="C62" s="3355"/>
      <c r="D62" t="str">
        <f t="shared" si="4"/>
        <v>OK</v>
      </c>
      <c r="E62" s="1823">
        <v>0</v>
      </c>
      <c r="F62" s="1823">
        <v>0</v>
      </c>
      <c r="G62" s="1823">
        <v>0</v>
      </c>
      <c r="H62" s="1823">
        <v>0</v>
      </c>
      <c r="I62" s="1823">
        <v>0</v>
      </c>
      <c r="J62" s="1823">
        <v>0</v>
      </c>
      <c r="K62" s="1823">
        <v>0</v>
      </c>
      <c r="L62" s="1823"/>
      <c r="M62" s="1823">
        <v>0</v>
      </c>
      <c r="N62" s="1823">
        <v>0</v>
      </c>
      <c r="O62" s="2634">
        <v>0</v>
      </c>
      <c r="P62" s="2045">
        <v>165557993.84999999</v>
      </c>
      <c r="Q62" s="2045">
        <v>0</v>
      </c>
      <c r="R62" s="2045">
        <v>24513160.030000001</v>
      </c>
      <c r="S62" s="2045">
        <v>37244739.280000001</v>
      </c>
      <c r="T62" s="2045">
        <v>226100</v>
      </c>
      <c r="U62" s="2045">
        <v>2173325</v>
      </c>
      <c r="V62" s="2045">
        <v>0</v>
      </c>
      <c r="W62" s="2045">
        <v>2563797</v>
      </c>
      <c r="X62" s="2045">
        <v>1712368.83</v>
      </c>
      <c r="Y62" s="2045">
        <v>4082763.76</v>
      </c>
      <c r="Z62" s="2045">
        <v>178729.87</v>
      </c>
      <c r="AA62" s="2045">
        <v>953772</v>
      </c>
      <c r="AB62" s="2045">
        <v>0</v>
      </c>
      <c r="AC62" s="2045">
        <v>0</v>
      </c>
      <c r="AD62" s="2045">
        <v>864840</v>
      </c>
      <c r="AE62" s="2045">
        <v>1853008.62</v>
      </c>
      <c r="AF62" s="2045">
        <v>0</v>
      </c>
      <c r="AG62" s="1823">
        <v>0</v>
      </c>
      <c r="AI62" s="649">
        <f t="shared" si="2"/>
        <v>241924598.24000001</v>
      </c>
    </row>
    <row r="63" spans="1:35" x14ac:dyDescent="0.2">
      <c r="A63" s="1129">
        <v>1500</v>
      </c>
      <c r="B63" s="3355" t="s">
        <v>1409</v>
      </c>
      <c r="C63" s="3355"/>
      <c r="D63" t="str">
        <f t="shared" si="4"/>
        <v>OK</v>
      </c>
      <c r="E63" s="1823">
        <v>489024840.75999999</v>
      </c>
      <c r="F63" s="1823">
        <v>254397164</v>
      </c>
      <c r="G63" s="1823">
        <v>14690797.67</v>
      </c>
      <c r="H63" s="1823">
        <v>0</v>
      </c>
      <c r="I63" s="1823">
        <v>211490373</v>
      </c>
      <c r="J63" s="1823">
        <v>334222</v>
      </c>
      <c r="K63" s="1823">
        <v>5098651</v>
      </c>
      <c r="L63" s="1823"/>
      <c r="M63" s="1823">
        <v>2975985.39</v>
      </c>
      <c r="N63" s="1823">
        <v>37647.699999999997</v>
      </c>
      <c r="O63" s="2045">
        <v>11332.82</v>
      </c>
      <c r="P63" s="2045">
        <v>145373665.09999999</v>
      </c>
      <c r="Q63" s="2045">
        <v>122538599.48999999</v>
      </c>
      <c r="R63" s="2045">
        <v>584412.41</v>
      </c>
      <c r="S63" s="2045">
        <v>93656545.799999997</v>
      </c>
      <c r="T63" s="2045">
        <v>18343120.969999999</v>
      </c>
      <c r="U63" s="2045">
        <v>25951647.850000001</v>
      </c>
      <c r="V63" s="2045">
        <v>84980166.329999998</v>
      </c>
      <c r="W63" s="2045">
        <v>81522588.400000006</v>
      </c>
      <c r="X63" s="2045">
        <v>155021437.75999999</v>
      </c>
      <c r="Y63" s="2045">
        <v>28898499.02</v>
      </c>
      <c r="Z63" s="2045">
        <v>38605176.530000001</v>
      </c>
      <c r="AA63" s="2045">
        <v>1296077.69</v>
      </c>
      <c r="AB63" s="2045">
        <v>1274823.31</v>
      </c>
      <c r="AC63" s="2045">
        <v>10828198.720000001</v>
      </c>
      <c r="AD63" s="2045">
        <v>54603245.689999998</v>
      </c>
      <c r="AE63" s="2045">
        <v>31800470.050000001</v>
      </c>
      <c r="AF63" s="2045">
        <v>85959.11</v>
      </c>
      <c r="AG63" s="1823">
        <v>72010.7</v>
      </c>
      <c r="AI63" s="649">
        <f t="shared" si="2"/>
        <v>1384400807.8099999</v>
      </c>
    </row>
    <row r="64" spans="1:35" x14ac:dyDescent="0.2">
      <c r="A64" s="1129">
        <v>1503</v>
      </c>
      <c r="B64" s="3355" t="s">
        <v>1534</v>
      </c>
      <c r="C64" s="3355"/>
      <c r="D64" t="str">
        <f t="shared" si="4"/>
        <v>OK</v>
      </c>
      <c r="E64" s="1823">
        <v>0</v>
      </c>
      <c r="F64" s="1823">
        <v>0</v>
      </c>
      <c r="G64" s="1823">
        <v>0</v>
      </c>
      <c r="H64" s="1823">
        <v>0</v>
      </c>
      <c r="I64" s="1823">
        <v>0</v>
      </c>
      <c r="J64" s="1823">
        <v>0</v>
      </c>
      <c r="K64" s="1823">
        <v>0</v>
      </c>
      <c r="L64" s="1823"/>
      <c r="M64" s="1823">
        <v>0</v>
      </c>
      <c r="N64" s="1823">
        <v>0</v>
      </c>
      <c r="O64" s="2634">
        <v>0</v>
      </c>
      <c r="P64" s="2045">
        <v>0</v>
      </c>
      <c r="Q64" s="2045">
        <v>712725.88</v>
      </c>
      <c r="R64" s="2045">
        <v>0</v>
      </c>
      <c r="S64" s="2045">
        <v>0</v>
      </c>
      <c r="T64" s="2045">
        <v>0</v>
      </c>
      <c r="U64" s="2045">
        <v>0</v>
      </c>
      <c r="V64" s="2045">
        <v>0</v>
      </c>
      <c r="W64" s="2045">
        <v>0</v>
      </c>
      <c r="X64" s="2045">
        <v>0</v>
      </c>
      <c r="Y64" s="2045">
        <v>0</v>
      </c>
      <c r="Z64" s="2045">
        <v>0</v>
      </c>
      <c r="AA64" s="2045">
        <v>0</v>
      </c>
      <c r="AB64" s="2045">
        <v>0</v>
      </c>
      <c r="AC64" s="2045">
        <v>0</v>
      </c>
      <c r="AD64" s="2045">
        <v>0</v>
      </c>
      <c r="AE64" s="2045">
        <v>0</v>
      </c>
      <c r="AF64" s="2045">
        <v>0</v>
      </c>
      <c r="AG64" s="1823">
        <v>0</v>
      </c>
      <c r="AI64" s="649">
        <f t="shared" si="2"/>
        <v>712725.88</v>
      </c>
    </row>
    <row r="65" spans="1:35" x14ac:dyDescent="0.2">
      <c r="A65" s="1129">
        <v>1505</v>
      </c>
      <c r="B65" s="3355" t="s">
        <v>1410</v>
      </c>
      <c r="C65" s="3355"/>
      <c r="D65" t="str">
        <f t="shared" si="4"/>
        <v>OK</v>
      </c>
      <c r="E65" s="1823">
        <v>0</v>
      </c>
      <c r="F65" s="1823">
        <v>0</v>
      </c>
      <c r="G65" s="1823">
        <v>0</v>
      </c>
      <c r="H65" s="1823">
        <v>0</v>
      </c>
      <c r="I65" s="1823">
        <v>0</v>
      </c>
      <c r="J65" s="1823">
        <v>0</v>
      </c>
      <c r="K65" s="1823">
        <v>0</v>
      </c>
      <c r="L65" s="1823"/>
      <c r="M65" s="1823">
        <v>0</v>
      </c>
      <c r="N65" s="1823">
        <v>0</v>
      </c>
      <c r="O65" s="2634">
        <v>0</v>
      </c>
      <c r="P65" s="2045">
        <v>0</v>
      </c>
      <c r="Q65" s="2045">
        <v>0</v>
      </c>
      <c r="R65" s="2045">
        <v>0</v>
      </c>
      <c r="S65" s="2045">
        <v>0</v>
      </c>
      <c r="T65" s="2045">
        <v>0</v>
      </c>
      <c r="U65" s="2045">
        <v>0</v>
      </c>
      <c r="V65" s="2045">
        <v>0</v>
      </c>
      <c r="W65" s="2045">
        <v>0</v>
      </c>
      <c r="X65" s="2045">
        <v>0</v>
      </c>
      <c r="Y65" s="2045">
        <v>0</v>
      </c>
      <c r="Z65" s="2045">
        <v>0</v>
      </c>
      <c r="AA65" s="2045">
        <v>0</v>
      </c>
      <c r="AB65" s="2045">
        <v>0</v>
      </c>
      <c r="AC65" s="2045">
        <v>0</v>
      </c>
      <c r="AD65" s="2045">
        <v>0</v>
      </c>
      <c r="AE65" s="2045">
        <v>0</v>
      </c>
      <c r="AF65" s="2045">
        <v>0</v>
      </c>
      <c r="AG65" s="1823">
        <v>0</v>
      </c>
      <c r="AI65" s="649">
        <f t="shared" si="2"/>
        <v>0</v>
      </c>
    </row>
    <row r="66" spans="1:35" x14ac:dyDescent="0.2">
      <c r="A66" s="1129">
        <v>1506</v>
      </c>
      <c r="B66" s="3355" t="s">
        <v>1806</v>
      </c>
      <c r="C66" s="3355"/>
      <c r="D66" t="str">
        <f t="shared" si="4"/>
        <v>OK</v>
      </c>
      <c r="E66" s="1823">
        <v>7704529</v>
      </c>
      <c r="F66" s="1823">
        <v>7704529</v>
      </c>
      <c r="G66" s="1823">
        <v>0</v>
      </c>
      <c r="H66" s="1823">
        <v>0</v>
      </c>
      <c r="I66" s="1823">
        <v>0</v>
      </c>
      <c r="J66" s="1823">
        <v>0</v>
      </c>
      <c r="K66" s="1823">
        <v>0</v>
      </c>
      <c r="L66" s="1823"/>
      <c r="M66" s="1823">
        <v>0</v>
      </c>
      <c r="N66" s="1823">
        <v>0</v>
      </c>
      <c r="O66" s="2634">
        <v>0</v>
      </c>
      <c r="P66" s="2045">
        <v>2212777</v>
      </c>
      <c r="Q66" s="2045">
        <v>0</v>
      </c>
      <c r="R66" s="2045">
        <v>0</v>
      </c>
      <c r="S66" s="2045">
        <v>0</v>
      </c>
      <c r="T66" s="2045">
        <v>0</v>
      </c>
      <c r="U66" s="2045">
        <v>0</v>
      </c>
      <c r="V66" s="2045">
        <v>0</v>
      </c>
      <c r="W66" s="2045">
        <v>0</v>
      </c>
      <c r="X66" s="2045">
        <v>0</v>
      </c>
      <c r="Y66" s="2045">
        <v>0</v>
      </c>
      <c r="Z66" s="2045">
        <v>0</v>
      </c>
      <c r="AA66" s="2045">
        <v>0</v>
      </c>
      <c r="AB66" s="2045">
        <v>0</v>
      </c>
      <c r="AC66" s="2045">
        <v>0</v>
      </c>
      <c r="AD66" s="2045">
        <v>0</v>
      </c>
      <c r="AE66" s="2045">
        <v>0</v>
      </c>
      <c r="AF66" s="2045">
        <v>0</v>
      </c>
      <c r="AG66" s="1823">
        <v>0</v>
      </c>
      <c r="AI66" s="649">
        <f t="shared" si="2"/>
        <v>9917306</v>
      </c>
    </row>
    <row r="67" spans="1:35" x14ac:dyDescent="0.2">
      <c r="A67" s="335"/>
      <c r="B67" s="3206" t="s">
        <v>1535</v>
      </c>
      <c r="C67" s="3206"/>
      <c r="D67" t="str">
        <f t="shared" si="4"/>
        <v>prob</v>
      </c>
      <c r="E67" s="661">
        <f t="shared" ref="E67:U67" si="5">SUM(E61:E66)</f>
        <v>593954142.25999999</v>
      </c>
      <c r="F67" s="661">
        <f t="shared" si="5"/>
        <v>299969053</v>
      </c>
      <c r="G67" s="661">
        <f t="shared" si="5"/>
        <v>37271752.670000002</v>
      </c>
      <c r="H67" s="661">
        <f t="shared" si="5"/>
        <v>0</v>
      </c>
      <c r="I67" s="661">
        <f t="shared" si="5"/>
        <v>240411017</v>
      </c>
      <c r="J67" s="661">
        <f t="shared" si="5"/>
        <v>736303</v>
      </c>
      <c r="K67" s="661">
        <f t="shared" si="5"/>
        <v>5098651</v>
      </c>
      <c r="L67" s="661">
        <f>SUM(L61:L66)</f>
        <v>0</v>
      </c>
      <c r="M67" s="661">
        <f>SUM(M61:M66)</f>
        <v>6197565.3899999997</v>
      </c>
      <c r="N67" s="661">
        <f>SUM(N61:N66)</f>
        <v>4269800.2</v>
      </c>
      <c r="O67" s="706">
        <f t="shared" si="5"/>
        <v>813990.82</v>
      </c>
      <c r="P67" s="661">
        <f t="shared" si="5"/>
        <v>383446639.97000003</v>
      </c>
      <c r="Q67" s="661">
        <f t="shared" si="5"/>
        <v>201794086.5</v>
      </c>
      <c r="R67" s="661">
        <f t="shared" si="5"/>
        <v>75734603.730000004</v>
      </c>
      <c r="S67" s="661">
        <f t="shared" si="5"/>
        <v>143785370.52000001</v>
      </c>
      <c r="T67" s="661">
        <f t="shared" si="5"/>
        <v>28844531.59</v>
      </c>
      <c r="U67" s="661">
        <f t="shared" si="5"/>
        <v>42973941.219999999</v>
      </c>
      <c r="V67" s="661">
        <f>SUM(V61:V66)</f>
        <v>137693329.38</v>
      </c>
      <c r="W67" s="661">
        <f t="shared" ref="W67:AG67" si="6">SUM(W61:W66)</f>
        <v>97453406.689999998</v>
      </c>
      <c r="X67" s="661">
        <f t="shared" si="6"/>
        <v>171888917.93000001</v>
      </c>
      <c r="Y67" s="661">
        <f>SUM(Y61:Y66)</f>
        <v>100507611.06</v>
      </c>
      <c r="Z67" s="661">
        <f t="shared" si="6"/>
        <v>43244231.689999998</v>
      </c>
      <c r="AA67" s="661">
        <f t="shared" si="6"/>
        <v>7480901.25</v>
      </c>
      <c r="AB67" s="661">
        <f t="shared" si="6"/>
        <v>3505695.51</v>
      </c>
      <c r="AC67" s="661">
        <f t="shared" si="6"/>
        <v>12594776.699999999</v>
      </c>
      <c r="AD67" s="661">
        <f t="shared" si="6"/>
        <v>66681170.539999999</v>
      </c>
      <c r="AE67" s="661">
        <f t="shared" si="6"/>
        <v>37967131.5</v>
      </c>
      <c r="AF67" s="661">
        <f t="shared" si="6"/>
        <v>85959.11</v>
      </c>
      <c r="AG67" s="661">
        <f t="shared" si="6"/>
        <v>169436.5</v>
      </c>
      <c r="AI67" s="649">
        <f t="shared" si="2"/>
        <v>2150450437.9699998</v>
      </c>
    </row>
    <row r="68" spans="1:35" x14ac:dyDescent="0.2">
      <c r="A68" s="335"/>
      <c r="B68" s="335" t="s">
        <v>1536</v>
      </c>
      <c r="C68" s="335"/>
      <c r="E68" s="649"/>
      <c r="F68" s="649"/>
      <c r="G68" s="649"/>
      <c r="H68" s="649"/>
      <c r="I68" s="649"/>
      <c r="J68" s="649"/>
      <c r="K68" s="649"/>
      <c r="L68" s="649"/>
      <c r="M68" s="649"/>
      <c r="N68" s="649"/>
      <c r="O68" s="393"/>
      <c r="P68" s="649"/>
      <c r="Q68" s="649"/>
      <c r="R68" s="649"/>
      <c r="S68" s="649"/>
      <c r="T68" s="649"/>
      <c r="U68" s="649"/>
      <c r="V68" s="649"/>
      <c r="W68" s="649"/>
      <c r="X68" s="649"/>
      <c r="Y68" s="649"/>
      <c r="Z68" s="649"/>
      <c r="AA68" s="649"/>
      <c r="AB68" s="649"/>
      <c r="AC68" s="649"/>
      <c r="AD68" s="649"/>
      <c r="AE68" s="649"/>
      <c r="AF68" s="649"/>
      <c r="AG68" s="649"/>
    </row>
    <row r="69" spans="1:35" x14ac:dyDescent="0.2">
      <c r="A69" s="1129">
        <v>1520</v>
      </c>
      <c r="B69" s="3355" t="s">
        <v>617</v>
      </c>
      <c r="C69" s="3355"/>
      <c r="D69" t="str">
        <f t="shared" ref="D69:D79" si="7">IF(SUM(F69:N69)-E69=0,"OK","prob")</f>
        <v>prob</v>
      </c>
      <c r="E69" s="1823">
        <v>1768784212.22</v>
      </c>
      <c r="F69" s="1823">
        <v>940938710</v>
      </c>
      <c r="G69" s="1823">
        <v>185231789.77000001</v>
      </c>
      <c r="H69" s="1823">
        <v>0</v>
      </c>
      <c r="I69" s="1823">
        <v>518150388</v>
      </c>
      <c r="J69" s="1823">
        <v>19518068</v>
      </c>
      <c r="K69" s="1823">
        <v>5793459.8600000003</v>
      </c>
      <c r="L69" s="1823"/>
      <c r="M69" s="1823">
        <v>10583773.970000001</v>
      </c>
      <c r="N69" s="1823">
        <v>88568022.620000005</v>
      </c>
      <c r="O69" s="1065">
        <v>84444447.109999999</v>
      </c>
      <c r="P69" s="1065">
        <v>3461421672.04</v>
      </c>
      <c r="Q69" s="1065">
        <v>2610874413.1399999</v>
      </c>
      <c r="R69" s="1065">
        <v>916393529.73000002</v>
      </c>
      <c r="S69" s="1065">
        <v>1324352865.26</v>
      </c>
      <c r="T69" s="1065">
        <v>301029654.99000001</v>
      </c>
      <c r="U69" s="1065">
        <v>799208779.50999999</v>
      </c>
      <c r="V69" s="1065">
        <v>1191556995.3699999</v>
      </c>
      <c r="W69" s="1065">
        <v>474023350.92000002</v>
      </c>
      <c r="X69" s="1065">
        <v>499706883.79000002</v>
      </c>
      <c r="Y69" s="1065">
        <v>910993053.64999998</v>
      </c>
      <c r="Z69" s="1065">
        <v>209231572.72</v>
      </c>
      <c r="AA69" s="1065">
        <v>333009619.37</v>
      </c>
      <c r="AB69" s="1065">
        <v>189298958.47</v>
      </c>
      <c r="AC69" s="1065">
        <v>203533046.69999999</v>
      </c>
      <c r="AD69" s="1065">
        <v>395634689.08999997</v>
      </c>
      <c r="AE69" s="1065">
        <v>160416235.03999999</v>
      </c>
      <c r="AF69" s="1065">
        <v>90911460.799999997</v>
      </c>
      <c r="AG69" s="1823">
        <v>1172596.54</v>
      </c>
      <c r="AI69" s="649">
        <f t="shared" ref="AI69:AI81" si="8">SUM(F69:AF69)</f>
        <v>15924825439.92</v>
      </c>
    </row>
    <row r="70" spans="1:35" x14ac:dyDescent="0.2">
      <c r="A70" s="1129">
        <v>1530</v>
      </c>
      <c r="B70" s="3355" t="s">
        <v>1411</v>
      </c>
      <c r="C70" s="3355"/>
      <c r="D70" t="str">
        <f t="shared" si="7"/>
        <v>OK</v>
      </c>
      <c r="E70" s="1823">
        <v>1122910686.8299999</v>
      </c>
      <c r="F70" s="1823">
        <v>497508490</v>
      </c>
      <c r="G70" s="1823">
        <v>182314275.63</v>
      </c>
      <c r="H70" s="1823">
        <v>0</v>
      </c>
      <c r="I70" s="1823">
        <v>346306952</v>
      </c>
      <c r="J70" s="1823">
        <v>16718340</v>
      </c>
      <c r="K70" s="1823">
        <v>4665553.5</v>
      </c>
      <c r="L70" s="1823"/>
      <c r="M70" s="1823">
        <v>7316927.4299999997</v>
      </c>
      <c r="N70" s="1823">
        <v>68080148.269999996</v>
      </c>
      <c r="O70" s="1065">
        <v>36088862.969999999</v>
      </c>
      <c r="P70" s="1065">
        <v>496036414.75</v>
      </c>
      <c r="Q70" s="1065">
        <v>449495349.13999999</v>
      </c>
      <c r="R70" s="1065">
        <v>68505367.780000001</v>
      </c>
      <c r="S70" s="1065">
        <v>139087829.68000001</v>
      </c>
      <c r="T70" s="1065">
        <v>10838528.75</v>
      </c>
      <c r="U70" s="1065">
        <v>60124617.850000001</v>
      </c>
      <c r="V70" s="1065">
        <v>178562497.43000001</v>
      </c>
      <c r="W70" s="1065">
        <v>90151963.620000005</v>
      </c>
      <c r="X70" s="1065">
        <v>48804274.859999999</v>
      </c>
      <c r="Y70" s="1065">
        <v>61028362.93</v>
      </c>
      <c r="Z70" s="1065">
        <v>36345909.700000003</v>
      </c>
      <c r="AA70" s="1065">
        <v>22036896.899999999</v>
      </c>
      <c r="AB70" s="1065">
        <v>17836812.100000001</v>
      </c>
      <c r="AC70" s="1065">
        <v>23540097.07</v>
      </c>
      <c r="AD70" s="1065">
        <v>49340878.619999997</v>
      </c>
      <c r="AE70" s="1065">
        <v>17862422.48</v>
      </c>
      <c r="AF70" s="1065">
        <v>11511026.039999999</v>
      </c>
      <c r="AG70" s="1823">
        <v>332029.03000000003</v>
      </c>
      <c r="AI70" s="649">
        <f t="shared" si="8"/>
        <v>2940108799.5</v>
      </c>
    </row>
    <row r="71" spans="1:35" x14ac:dyDescent="0.2">
      <c r="A71" s="1129">
        <v>1540</v>
      </c>
      <c r="B71" s="3355" t="s">
        <v>1537</v>
      </c>
      <c r="C71" s="3355"/>
      <c r="D71" t="str">
        <f t="shared" si="7"/>
        <v>OK</v>
      </c>
      <c r="E71" s="1823">
        <v>0</v>
      </c>
      <c r="F71" s="1823">
        <v>0</v>
      </c>
      <c r="G71" s="1823">
        <v>0</v>
      </c>
      <c r="H71" s="1823">
        <v>0</v>
      </c>
      <c r="I71" s="1823">
        <v>0</v>
      </c>
      <c r="J71" s="1823">
        <v>0</v>
      </c>
      <c r="K71" s="1823">
        <v>0</v>
      </c>
      <c r="L71" s="1823"/>
      <c r="M71" s="1823">
        <v>0</v>
      </c>
      <c r="N71" s="1823">
        <v>0</v>
      </c>
      <c r="O71" s="2635">
        <v>0</v>
      </c>
      <c r="P71" s="1065">
        <v>0</v>
      </c>
      <c r="Q71" s="1065">
        <v>0</v>
      </c>
      <c r="R71" s="1065">
        <v>0</v>
      </c>
      <c r="S71" s="1065">
        <v>0</v>
      </c>
      <c r="T71" s="1065">
        <v>201500</v>
      </c>
      <c r="U71" s="1065">
        <v>0</v>
      </c>
      <c r="V71" s="1065">
        <v>0</v>
      </c>
      <c r="W71" s="1065">
        <v>0</v>
      </c>
      <c r="X71" s="1065">
        <v>0</v>
      </c>
      <c r="Y71" s="1065">
        <v>0</v>
      </c>
      <c r="Z71" s="1065">
        <v>0</v>
      </c>
      <c r="AA71" s="1065">
        <v>0</v>
      </c>
      <c r="AB71" s="1065">
        <v>0</v>
      </c>
      <c r="AC71" s="1065">
        <v>0</v>
      </c>
      <c r="AD71" s="1065">
        <v>0</v>
      </c>
      <c r="AE71" s="1065">
        <v>0</v>
      </c>
      <c r="AF71" s="1065">
        <v>0</v>
      </c>
      <c r="AG71" s="1823">
        <v>0</v>
      </c>
      <c r="AI71" s="649">
        <f t="shared" si="8"/>
        <v>201500</v>
      </c>
    </row>
    <row r="72" spans="1:35" x14ac:dyDescent="0.2">
      <c r="A72" s="1129">
        <v>1550</v>
      </c>
      <c r="B72" s="3355" t="s">
        <v>1412</v>
      </c>
      <c r="C72" s="3355"/>
      <c r="D72" t="str">
        <f t="shared" si="7"/>
        <v>OK</v>
      </c>
      <c r="E72" s="1823">
        <v>41692485</v>
      </c>
      <c r="F72" s="1823">
        <v>5254227</v>
      </c>
      <c r="G72" s="1823">
        <v>0</v>
      </c>
      <c r="H72" s="1823">
        <v>0</v>
      </c>
      <c r="I72" s="1823">
        <v>33966638</v>
      </c>
      <c r="J72" s="1823">
        <v>2434298</v>
      </c>
      <c r="K72" s="1823">
        <v>0</v>
      </c>
      <c r="L72" s="1823"/>
      <c r="M72" s="1823">
        <v>37322</v>
      </c>
      <c r="N72" s="1823">
        <v>0</v>
      </c>
      <c r="O72" s="1065">
        <v>25962324.390000001</v>
      </c>
      <c r="P72" s="1065">
        <v>998349179.23000002</v>
      </c>
      <c r="Q72" s="1065">
        <v>261249231.63</v>
      </c>
      <c r="R72" s="1065">
        <v>86209121.090000004</v>
      </c>
      <c r="S72" s="1065">
        <v>270979089.30000001</v>
      </c>
      <c r="T72" s="1065">
        <v>22137493.629999999</v>
      </c>
      <c r="U72" s="1065">
        <v>71065699.170000002</v>
      </c>
      <c r="V72" s="1065">
        <v>203362054.88</v>
      </c>
      <c r="W72" s="1065">
        <v>20402739.960000001</v>
      </c>
      <c r="X72" s="1065">
        <v>70426676.989999995</v>
      </c>
      <c r="Y72" s="1065">
        <v>89807902.219999999</v>
      </c>
      <c r="Z72" s="1065">
        <v>26800091.43</v>
      </c>
      <c r="AA72" s="1065">
        <v>19385761.149999999</v>
      </c>
      <c r="AB72" s="1065">
        <v>22823521.550000001</v>
      </c>
      <c r="AC72" s="1065">
        <v>20442473.370000001</v>
      </c>
      <c r="AD72" s="1065">
        <v>22319280.52</v>
      </c>
      <c r="AE72" s="1065">
        <v>7653979.4900000002</v>
      </c>
      <c r="AF72" s="1065">
        <v>134611.54999999999</v>
      </c>
      <c r="AG72" s="1823">
        <v>7104015.5</v>
      </c>
      <c r="AI72" s="649">
        <f t="shared" si="8"/>
        <v>2281203716.5500002</v>
      </c>
    </row>
    <row r="73" spans="1:35" s="2630" customFormat="1" x14ac:dyDescent="0.2">
      <c r="A73" s="1129">
        <v>1481</v>
      </c>
      <c r="B73" s="3354" t="s">
        <v>5667</v>
      </c>
      <c r="C73" s="3354"/>
      <c r="D73" s="2630" t="str">
        <f t="shared" si="7"/>
        <v>OK</v>
      </c>
      <c r="E73" s="1823">
        <v>0</v>
      </c>
      <c r="F73" s="1823">
        <v>0</v>
      </c>
      <c r="G73" s="1823">
        <v>0</v>
      </c>
      <c r="H73" s="1823">
        <v>0</v>
      </c>
      <c r="I73" s="1823">
        <v>0</v>
      </c>
      <c r="J73" s="1823">
        <v>0</v>
      </c>
      <c r="K73" s="1823">
        <v>0</v>
      </c>
      <c r="L73" s="1823">
        <v>0</v>
      </c>
      <c r="M73" s="1823">
        <v>0</v>
      </c>
      <c r="N73" s="1823">
        <v>0</v>
      </c>
      <c r="O73" s="2635">
        <v>0</v>
      </c>
      <c r="P73" s="1065">
        <v>0</v>
      </c>
      <c r="Q73" s="1065">
        <v>0</v>
      </c>
      <c r="R73" s="1065">
        <v>0</v>
      </c>
      <c r="S73" s="1065">
        <v>0</v>
      </c>
      <c r="T73" s="1065">
        <v>0</v>
      </c>
      <c r="U73" s="1065">
        <v>0</v>
      </c>
      <c r="V73" s="1065">
        <v>0</v>
      </c>
      <c r="W73" s="1065">
        <v>0</v>
      </c>
      <c r="X73" s="1065">
        <v>0</v>
      </c>
      <c r="Y73" s="1065">
        <v>0</v>
      </c>
      <c r="Z73" s="1065">
        <v>0</v>
      </c>
      <c r="AA73" s="1065">
        <v>0</v>
      </c>
      <c r="AB73" s="1065">
        <v>0</v>
      </c>
      <c r="AC73" s="1065">
        <v>0</v>
      </c>
      <c r="AD73" s="1065">
        <v>0</v>
      </c>
      <c r="AE73" s="1065">
        <v>0</v>
      </c>
      <c r="AF73" s="1065">
        <v>0</v>
      </c>
      <c r="AG73" s="1823">
        <v>0</v>
      </c>
      <c r="AI73" s="649"/>
    </row>
    <row r="74" spans="1:35" s="2630" customFormat="1" x14ac:dyDescent="0.2">
      <c r="A74" s="1129">
        <v>1521</v>
      </c>
      <c r="B74" s="3354" t="s">
        <v>5668</v>
      </c>
      <c r="C74" s="3354"/>
      <c r="D74" s="2630" t="str">
        <f t="shared" si="7"/>
        <v>OK</v>
      </c>
      <c r="E74" s="1823">
        <v>0</v>
      </c>
      <c r="F74" s="1823">
        <v>0</v>
      </c>
      <c r="G74" s="1823">
        <v>0</v>
      </c>
      <c r="H74" s="1823">
        <v>0</v>
      </c>
      <c r="I74" s="1823">
        <v>0</v>
      </c>
      <c r="J74" s="1823">
        <v>0</v>
      </c>
      <c r="K74" s="1823">
        <v>0</v>
      </c>
      <c r="L74" s="1823">
        <v>0</v>
      </c>
      <c r="M74" s="1823">
        <v>0</v>
      </c>
      <c r="N74" s="1823">
        <v>0</v>
      </c>
      <c r="O74" s="2635">
        <v>0</v>
      </c>
      <c r="P74" s="1065">
        <v>0</v>
      </c>
      <c r="Q74" s="1065">
        <v>0</v>
      </c>
      <c r="R74" s="1065">
        <v>0</v>
      </c>
      <c r="S74" s="1065">
        <v>0</v>
      </c>
      <c r="T74" s="1065">
        <v>0</v>
      </c>
      <c r="U74" s="1065">
        <v>0</v>
      </c>
      <c r="V74" s="1065">
        <v>0</v>
      </c>
      <c r="W74" s="1065">
        <v>0</v>
      </c>
      <c r="X74" s="1065">
        <v>0</v>
      </c>
      <c r="Y74" s="1065">
        <v>0</v>
      </c>
      <c r="Z74" s="1065">
        <v>0</v>
      </c>
      <c r="AA74" s="1065">
        <v>0</v>
      </c>
      <c r="AB74" s="1065">
        <v>0</v>
      </c>
      <c r="AC74" s="1065">
        <v>0</v>
      </c>
      <c r="AD74" s="1065">
        <v>0</v>
      </c>
      <c r="AE74" s="1065">
        <v>0</v>
      </c>
      <c r="AF74" s="1065">
        <v>0</v>
      </c>
      <c r="AG74" s="1823">
        <v>0</v>
      </c>
      <c r="AI74" s="649"/>
    </row>
    <row r="75" spans="1:35" s="2630" customFormat="1" x14ac:dyDescent="0.2">
      <c r="A75" s="1129">
        <v>1531</v>
      </c>
      <c r="B75" s="3354" t="s">
        <v>5669</v>
      </c>
      <c r="C75" s="3354"/>
      <c r="D75" s="2630" t="str">
        <f t="shared" si="7"/>
        <v>OK</v>
      </c>
      <c r="E75" s="1823">
        <v>0</v>
      </c>
      <c r="F75" s="1823">
        <v>0</v>
      </c>
      <c r="G75" s="1823">
        <v>0</v>
      </c>
      <c r="H75" s="1823">
        <v>0</v>
      </c>
      <c r="I75" s="1823">
        <v>0</v>
      </c>
      <c r="J75" s="1823">
        <v>0</v>
      </c>
      <c r="K75" s="1823">
        <v>0</v>
      </c>
      <c r="L75" s="1823">
        <v>0</v>
      </c>
      <c r="M75" s="1823">
        <v>0</v>
      </c>
      <c r="N75" s="1823">
        <v>0</v>
      </c>
      <c r="O75" s="2635">
        <v>0</v>
      </c>
      <c r="P75" s="1065">
        <v>0</v>
      </c>
      <c r="Q75" s="1065">
        <v>0</v>
      </c>
      <c r="R75" s="1065">
        <v>0</v>
      </c>
      <c r="S75" s="1065">
        <v>0</v>
      </c>
      <c r="T75" s="1065">
        <v>0</v>
      </c>
      <c r="U75" s="1065">
        <v>0</v>
      </c>
      <c r="V75" s="1065">
        <v>0</v>
      </c>
      <c r="W75" s="1065">
        <v>0</v>
      </c>
      <c r="X75" s="1065">
        <v>0</v>
      </c>
      <c r="Y75" s="1065">
        <v>0</v>
      </c>
      <c r="Z75" s="1065">
        <v>0</v>
      </c>
      <c r="AA75" s="1065">
        <v>0</v>
      </c>
      <c r="AB75" s="1065">
        <v>0</v>
      </c>
      <c r="AC75" s="1065">
        <v>0</v>
      </c>
      <c r="AD75" s="1065">
        <v>0</v>
      </c>
      <c r="AE75" s="1065">
        <v>0</v>
      </c>
      <c r="AF75" s="1065">
        <v>0</v>
      </c>
      <c r="AG75" s="1823">
        <v>0</v>
      </c>
      <c r="AI75" s="649"/>
    </row>
    <row r="76" spans="1:35" s="2630" customFormat="1" x14ac:dyDescent="0.2">
      <c r="A76" s="1129">
        <v>1551</v>
      </c>
      <c r="B76" s="3354" t="s">
        <v>5670</v>
      </c>
      <c r="C76" s="3354"/>
      <c r="D76" s="2630" t="str">
        <f t="shared" si="7"/>
        <v>OK</v>
      </c>
      <c r="E76" s="1823">
        <v>0</v>
      </c>
      <c r="F76" s="1823">
        <v>0</v>
      </c>
      <c r="G76" s="1823">
        <v>0</v>
      </c>
      <c r="H76" s="1823">
        <v>0</v>
      </c>
      <c r="I76" s="1823">
        <v>0</v>
      </c>
      <c r="J76" s="1823">
        <v>0</v>
      </c>
      <c r="K76" s="1823">
        <v>0</v>
      </c>
      <c r="L76" s="1823">
        <v>0</v>
      </c>
      <c r="M76" s="1823">
        <v>0</v>
      </c>
      <c r="N76" s="1823">
        <v>0</v>
      </c>
      <c r="O76" s="2635">
        <v>0</v>
      </c>
      <c r="P76" s="1065">
        <v>0</v>
      </c>
      <c r="Q76" s="1065">
        <v>0</v>
      </c>
      <c r="R76" s="1065">
        <v>0</v>
      </c>
      <c r="S76" s="1065">
        <v>0</v>
      </c>
      <c r="T76" s="1065">
        <v>0</v>
      </c>
      <c r="U76" s="1065">
        <v>0</v>
      </c>
      <c r="V76" s="1065">
        <v>0</v>
      </c>
      <c r="W76" s="1065">
        <v>0</v>
      </c>
      <c r="X76" s="1065">
        <v>0</v>
      </c>
      <c r="Y76" s="1065">
        <v>0</v>
      </c>
      <c r="Z76" s="1065">
        <v>0</v>
      </c>
      <c r="AA76" s="1065">
        <v>0</v>
      </c>
      <c r="AB76" s="1065">
        <v>0</v>
      </c>
      <c r="AC76" s="1065">
        <v>0</v>
      </c>
      <c r="AD76" s="1065">
        <v>0</v>
      </c>
      <c r="AE76" s="1065">
        <v>0</v>
      </c>
      <c r="AF76" s="1065">
        <v>0</v>
      </c>
      <c r="AG76" s="1823">
        <v>0</v>
      </c>
      <c r="AI76" s="649"/>
    </row>
    <row r="77" spans="1:35" x14ac:dyDescent="0.2">
      <c r="A77" s="1129">
        <v>1553</v>
      </c>
      <c r="B77" s="3355" t="s">
        <v>1538</v>
      </c>
      <c r="C77" s="3355"/>
      <c r="D77" t="str">
        <f t="shared" si="7"/>
        <v>OK</v>
      </c>
      <c r="E77" s="1823">
        <v>230374176.59999999</v>
      </c>
      <c r="F77" s="1823">
        <v>10370833</v>
      </c>
      <c r="G77" s="1823">
        <v>219933053.59999999</v>
      </c>
      <c r="H77" s="1823">
        <v>0</v>
      </c>
      <c r="I77" s="1823">
        <v>0</v>
      </c>
      <c r="J77" s="1823">
        <v>31712</v>
      </c>
      <c r="K77" s="1823">
        <v>38578</v>
      </c>
      <c r="L77" s="1823"/>
      <c r="M77" s="1823">
        <v>0</v>
      </c>
      <c r="N77" s="1823">
        <v>0</v>
      </c>
      <c r="O77" s="2635">
        <v>0</v>
      </c>
      <c r="P77" s="1065">
        <v>121695628.47</v>
      </c>
      <c r="Q77" s="1065">
        <v>38176504.009999998</v>
      </c>
      <c r="R77" s="1065">
        <v>0</v>
      </c>
      <c r="S77" s="1065">
        <v>13643949</v>
      </c>
      <c r="T77" s="1065">
        <v>0</v>
      </c>
      <c r="U77" s="1065">
        <v>0</v>
      </c>
      <c r="V77" s="1065">
        <v>13335538.09</v>
      </c>
      <c r="W77" s="1065">
        <v>0</v>
      </c>
      <c r="X77" s="1065">
        <v>267380.84999999998</v>
      </c>
      <c r="Y77" s="1065">
        <v>918616.55</v>
      </c>
      <c r="Z77" s="1065">
        <v>0</v>
      </c>
      <c r="AA77" s="1065">
        <v>358251</v>
      </c>
      <c r="AB77" s="1065">
        <v>0</v>
      </c>
      <c r="AC77" s="1065">
        <v>0</v>
      </c>
      <c r="AD77" s="1065">
        <v>0</v>
      </c>
      <c r="AE77" s="1065">
        <v>0</v>
      </c>
      <c r="AF77" s="1065">
        <v>0</v>
      </c>
      <c r="AG77" s="1823">
        <v>0</v>
      </c>
      <c r="AI77" s="649">
        <f t="shared" si="8"/>
        <v>418770044.56999999</v>
      </c>
    </row>
    <row r="78" spans="1:35" x14ac:dyDescent="0.2">
      <c r="A78" s="1129">
        <v>1555</v>
      </c>
      <c r="B78" s="3355" t="s">
        <v>1413</v>
      </c>
      <c r="C78" s="3355"/>
      <c r="D78" t="str">
        <f t="shared" si="7"/>
        <v>OK</v>
      </c>
      <c r="E78" s="1823">
        <v>0</v>
      </c>
      <c r="F78" s="1823">
        <v>0</v>
      </c>
      <c r="G78" s="1823">
        <v>0</v>
      </c>
      <c r="H78" s="1823">
        <v>0</v>
      </c>
      <c r="I78" s="1823">
        <v>0</v>
      </c>
      <c r="J78" s="1823">
        <v>0</v>
      </c>
      <c r="K78" s="1823">
        <v>0</v>
      </c>
      <c r="L78" s="1823"/>
      <c r="M78" s="1823">
        <v>0</v>
      </c>
      <c r="N78" s="1823">
        <v>0</v>
      </c>
      <c r="O78" s="2635">
        <v>0</v>
      </c>
      <c r="P78" s="1065">
        <v>0</v>
      </c>
      <c r="Q78" s="1065">
        <v>0</v>
      </c>
      <c r="R78" s="1065">
        <v>0</v>
      </c>
      <c r="S78" s="1065">
        <v>0</v>
      </c>
      <c r="T78" s="1065">
        <v>0</v>
      </c>
      <c r="U78" s="1065">
        <v>0</v>
      </c>
      <c r="V78" s="1065">
        <v>0</v>
      </c>
      <c r="W78" s="1065">
        <v>0</v>
      </c>
      <c r="X78" s="1065">
        <v>0</v>
      </c>
      <c r="Y78" s="1065">
        <v>0</v>
      </c>
      <c r="Z78" s="1065">
        <v>0</v>
      </c>
      <c r="AA78" s="1065">
        <v>0</v>
      </c>
      <c r="AB78" s="1065">
        <v>0</v>
      </c>
      <c r="AC78" s="1065">
        <v>0</v>
      </c>
      <c r="AD78" s="1065">
        <v>0</v>
      </c>
      <c r="AE78" s="1065">
        <v>0</v>
      </c>
      <c r="AF78" s="1065">
        <v>0</v>
      </c>
      <c r="AG78" s="1823">
        <v>0</v>
      </c>
      <c r="AI78" s="649">
        <f t="shared" si="8"/>
        <v>0</v>
      </c>
    </row>
    <row r="79" spans="1:35" x14ac:dyDescent="0.2">
      <c r="A79" s="1129">
        <v>1560</v>
      </c>
      <c r="B79" s="3355" t="s">
        <v>1807</v>
      </c>
      <c r="C79" s="3355"/>
      <c r="D79" t="str">
        <f t="shared" si="7"/>
        <v>OK</v>
      </c>
      <c r="E79" s="1823">
        <v>20386810.129999999</v>
      </c>
      <c r="F79" s="1823">
        <v>0</v>
      </c>
      <c r="G79" s="1823">
        <v>20386810.129999999</v>
      </c>
      <c r="H79" s="1823">
        <v>0</v>
      </c>
      <c r="I79" s="1823">
        <v>0</v>
      </c>
      <c r="J79" s="1823">
        <v>0</v>
      </c>
      <c r="K79" s="1823">
        <v>0</v>
      </c>
      <c r="L79" s="1823"/>
      <c r="M79" s="1823">
        <v>0</v>
      </c>
      <c r="N79" s="1823">
        <v>0</v>
      </c>
      <c r="O79" s="2635">
        <v>0</v>
      </c>
      <c r="P79" s="1065">
        <v>0</v>
      </c>
      <c r="Q79" s="1065">
        <v>0</v>
      </c>
      <c r="R79" s="1065">
        <v>0</v>
      </c>
      <c r="S79" s="1065">
        <v>0</v>
      </c>
      <c r="T79" s="1065">
        <v>0</v>
      </c>
      <c r="U79" s="1065">
        <v>0</v>
      </c>
      <c r="V79" s="1065">
        <v>0</v>
      </c>
      <c r="W79" s="1065">
        <v>0</v>
      </c>
      <c r="X79" s="1065">
        <v>1190218.76</v>
      </c>
      <c r="Y79" s="1065">
        <v>0</v>
      </c>
      <c r="Z79" s="1065">
        <v>0</v>
      </c>
      <c r="AA79" s="1065">
        <v>0</v>
      </c>
      <c r="AB79" s="1065">
        <v>0</v>
      </c>
      <c r="AC79" s="1065">
        <v>0</v>
      </c>
      <c r="AD79" s="1065">
        <v>0</v>
      </c>
      <c r="AE79" s="1065">
        <v>0</v>
      </c>
      <c r="AF79" s="1065">
        <v>0</v>
      </c>
      <c r="AG79" s="1823">
        <v>0</v>
      </c>
      <c r="AI79" s="649">
        <f t="shared" si="8"/>
        <v>21577028.890000001</v>
      </c>
    </row>
    <row r="80" spans="1:35" x14ac:dyDescent="0.2">
      <c r="A80" s="1129">
        <v>1570</v>
      </c>
      <c r="B80" s="3206" t="s">
        <v>1539</v>
      </c>
      <c r="C80" s="3206"/>
      <c r="D80" t="str">
        <f>IF(ROUND(SUM(F80:N80),2)-ROUND(E80,2)=0,"OK","prob")</f>
        <v>OK</v>
      </c>
      <c r="E80" s="1823">
        <v>-1817429891.78</v>
      </c>
      <c r="F80" s="1823">
        <v>-858543114</v>
      </c>
      <c r="G80" s="1823">
        <v>-272577799.85000002</v>
      </c>
      <c r="H80" s="1823">
        <v>0</v>
      </c>
      <c r="I80" s="1823">
        <v>-554762904.24000001</v>
      </c>
      <c r="J80" s="1823">
        <v>-21252445</v>
      </c>
      <c r="K80" s="1823">
        <v>-4218700.45</v>
      </c>
      <c r="L80" s="1823"/>
      <c r="M80" s="1823">
        <v>-4179698.86</v>
      </c>
      <c r="N80" s="1823">
        <v>-101895229.38</v>
      </c>
      <c r="O80" s="1065">
        <v>-87345173.030000001</v>
      </c>
      <c r="P80" s="1065">
        <v>-2401254460.1900001</v>
      </c>
      <c r="Q80" s="1065">
        <v>-1339929578.3199999</v>
      </c>
      <c r="R80" s="1065">
        <v>-320476736.61000001</v>
      </c>
      <c r="S80" s="1065">
        <v>-404156738.50999999</v>
      </c>
      <c r="T80" s="1065">
        <v>-112361944.88</v>
      </c>
      <c r="U80" s="1065">
        <v>-252035701.38</v>
      </c>
      <c r="V80" s="1065">
        <v>-481117053.02999997</v>
      </c>
      <c r="W80" s="1065">
        <v>-217257812.94</v>
      </c>
      <c r="X80" s="1065">
        <v>-170110766.22999999</v>
      </c>
      <c r="Y80" s="1065">
        <v>-364581609.52999997</v>
      </c>
      <c r="Z80" s="1065">
        <v>-104353599.7</v>
      </c>
      <c r="AA80" s="1065">
        <v>-129901906.34</v>
      </c>
      <c r="AB80" s="1065">
        <v>-80605500.319999993</v>
      </c>
      <c r="AC80" s="1065">
        <v>-78354747.200000003</v>
      </c>
      <c r="AD80" s="1065">
        <v>-167745005.09</v>
      </c>
      <c r="AE80" s="1065">
        <v>-71180470.069999993</v>
      </c>
      <c r="AF80" s="1065">
        <v>-31942055.190000001</v>
      </c>
      <c r="AG80" s="1823">
        <v>-2968158.44</v>
      </c>
      <c r="AI80" s="649">
        <f t="shared" si="8"/>
        <v>-8632140750.3400002</v>
      </c>
    </row>
    <row r="81" spans="1:35" x14ac:dyDescent="0.2">
      <c r="A81" s="785"/>
      <c r="B81" s="3206" t="s">
        <v>1540</v>
      </c>
      <c r="C81" s="3206"/>
      <c r="D81" t="str">
        <f>IF(ROUND(SUM(F81:N81),2)-ROUND(E81,2)=0,"OK","prob")</f>
        <v>OK</v>
      </c>
      <c r="E81" s="651">
        <f t="shared" ref="E81:U81" si="9">SUM(E69:E80)</f>
        <v>1366718479</v>
      </c>
      <c r="F81" s="651">
        <f t="shared" si="9"/>
        <v>595529146</v>
      </c>
      <c r="G81" s="651">
        <f t="shared" si="9"/>
        <v>335288129.27999997</v>
      </c>
      <c r="H81" s="651">
        <f t="shared" si="9"/>
        <v>0</v>
      </c>
      <c r="I81" s="651">
        <f t="shared" si="9"/>
        <v>343661073.75999999</v>
      </c>
      <c r="J81" s="651">
        <f t="shared" si="9"/>
        <v>17449973</v>
      </c>
      <c r="K81" s="651">
        <f t="shared" si="9"/>
        <v>6278890.9100000001</v>
      </c>
      <c r="L81" s="651">
        <f>SUM(L69:L80)</f>
        <v>0</v>
      </c>
      <c r="M81" s="651">
        <f>SUM(M69:M80)</f>
        <v>13758324.539999999</v>
      </c>
      <c r="N81" s="651">
        <f>SUM(N69:N80)</f>
        <v>54752941.509999998</v>
      </c>
      <c r="O81" s="843">
        <f t="shared" si="9"/>
        <v>59150461.439999998</v>
      </c>
      <c r="P81" s="651">
        <f t="shared" si="9"/>
        <v>2676248434.3000002</v>
      </c>
      <c r="Q81" s="651">
        <f t="shared" si="9"/>
        <v>2019865919.5999999</v>
      </c>
      <c r="R81" s="651">
        <f t="shared" si="9"/>
        <v>750631281.99000001</v>
      </c>
      <c r="S81" s="651">
        <f t="shared" si="9"/>
        <v>1343906994.73</v>
      </c>
      <c r="T81" s="651">
        <f t="shared" si="9"/>
        <v>221845232.49000001</v>
      </c>
      <c r="U81" s="651">
        <f t="shared" si="9"/>
        <v>678363395.14999998</v>
      </c>
      <c r="V81" s="651">
        <f>SUM(V69:V80)</f>
        <v>1105700032.74</v>
      </c>
      <c r="W81" s="651">
        <f t="shared" ref="W81:AG81" si="10">SUM(W69:W80)</f>
        <v>367320241.56</v>
      </c>
      <c r="X81" s="651">
        <f t="shared" si="10"/>
        <v>450284669.01999998</v>
      </c>
      <c r="Y81" s="651">
        <f t="shared" si="10"/>
        <v>698166325.82000005</v>
      </c>
      <c r="Z81" s="651">
        <f t="shared" si="10"/>
        <v>168023974.15000001</v>
      </c>
      <c r="AA81" s="651">
        <f t="shared" si="10"/>
        <v>244888622.08000001</v>
      </c>
      <c r="AB81" s="651">
        <f t="shared" si="10"/>
        <v>149353791.80000001</v>
      </c>
      <c r="AC81" s="651">
        <f t="shared" si="10"/>
        <v>169160869.94</v>
      </c>
      <c r="AD81" s="651">
        <f t="shared" si="10"/>
        <v>299549843.13999999</v>
      </c>
      <c r="AE81" s="651">
        <f t="shared" si="10"/>
        <v>114752166.94</v>
      </c>
      <c r="AF81" s="651">
        <f t="shared" si="10"/>
        <v>70615043.200000003</v>
      </c>
      <c r="AG81" s="651">
        <f t="shared" si="10"/>
        <v>5640482.6299999999</v>
      </c>
      <c r="AI81" s="649">
        <f t="shared" si="8"/>
        <v>12954545779.09</v>
      </c>
    </row>
    <row r="82" spans="1:35" x14ac:dyDescent="0.2">
      <c r="A82" s="675"/>
      <c r="B82" s="3206" t="s">
        <v>271</v>
      </c>
      <c r="C82" s="3206"/>
      <c r="D82" s="2078" t="str">
        <f>IF(SUM(F82:N82)-E82=0,"OK","prob")</f>
        <v>prob</v>
      </c>
      <c r="E82" s="661">
        <f t="shared" ref="E82:AG82" si="11">SUM(E40:E81)-E67-E81</f>
        <v>5323153649.9099998</v>
      </c>
      <c r="F82" s="661">
        <f t="shared" si="11"/>
        <v>2786751035.8699999</v>
      </c>
      <c r="G82" s="661">
        <f t="shared" si="11"/>
        <v>1043758252.95</v>
      </c>
      <c r="H82" s="661">
        <f t="shared" si="11"/>
        <v>49321998</v>
      </c>
      <c r="I82" s="661">
        <f t="shared" si="11"/>
        <v>1320540545.5599999</v>
      </c>
      <c r="J82" s="661">
        <f t="shared" si="11"/>
        <v>19587564.120000001</v>
      </c>
      <c r="K82" s="661">
        <f t="shared" si="11"/>
        <v>15363195.98</v>
      </c>
      <c r="L82" s="661">
        <f t="shared" si="11"/>
        <v>0</v>
      </c>
      <c r="M82" s="661">
        <f>SUM(M40:M81)-M67-M81</f>
        <v>21010857.93</v>
      </c>
      <c r="N82" s="661">
        <f t="shared" si="11"/>
        <v>66820199.5</v>
      </c>
      <c r="O82" s="706">
        <f t="shared" si="11"/>
        <v>186311995.81999999</v>
      </c>
      <c r="P82" s="661">
        <f t="shared" si="11"/>
        <v>6513026811.1499996</v>
      </c>
      <c r="Q82" s="661">
        <f t="shared" si="11"/>
        <v>3089761612.6700001</v>
      </c>
      <c r="R82" s="661">
        <f t="shared" si="11"/>
        <v>1234858995.0599999</v>
      </c>
      <c r="S82" s="661">
        <f t="shared" si="11"/>
        <v>1716730065.22</v>
      </c>
      <c r="T82" s="661">
        <f t="shared" si="11"/>
        <v>274629213.79000002</v>
      </c>
      <c r="U82" s="661">
        <f t="shared" si="11"/>
        <v>888212065.09000003</v>
      </c>
      <c r="V82" s="661">
        <f t="shared" si="11"/>
        <v>1382021852.99</v>
      </c>
      <c r="W82" s="661">
        <f t="shared" si="11"/>
        <v>621859429.41999996</v>
      </c>
      <c r="X82" s="661">
        <f t="shared" si="11"/>
        <v>850552099.77999997</v>
      </c>
      <c r="Y82" s="661">
        <f t="shared" si="11"/>
        <v>1079100570.74</v>
      </c>
      <c r="Z82" s="661">
        <f t="shared" si="11"/>
        <v>251432835.63999999</v>
      </c>
      <c r="AA82" s="661">
        <f t="shared" si="11"/>
        <v>306460209.10000002</v>
      </c>
      <c r="AB82" s="661">
        <f t="shared" si="11"/>
        <v>197560394.09</v>
      </c>
      <c r="AC82" s="661">
        <f t="shared" si="11"/>
        <v>217486605.03999999</v>
      </c>
      <c r="AD82" s="661">
        <f t="shared" si="11"/>
        <v>437206199.52999997</v>
      </c>
      <c r="AE82" s="661">
        <f t="shared" si="11"/>
        <v>218475604.66999999</v>
      </c>
      <c r="AF82" s="661">
        <f t="shared" si="11"/>
        <v>70714490.959999993</v>
      </c>
      <c r="AG82" s="661">
        <f t="shared" si="11"/>
        <v>5811423.1299999999</v>
      </c>
      <c r="AI82" s="649"/>
    </row>
    <row r="83" spans="1:35" x14ac:dyDescent="0.2">
      <c r="B83" s="398"/>
      <c r="C83" s="398"/>
      <c r="E83" s="649"/>
      <c r="F83" s="649"/>
      <c r="G83" s="649"/>
      <c r="H83" s="649"/>
      <c r="I83" s="649"/>
      <c r="J83" s="649"/>
      <c r="K83" s="649"/>
      <c r="L83" s="649"/>
      <c r="M83" s="649"/>
      <c r="N83" s="649"/>
      <c r="O83" s="393"/>
      <c r="P83" s="649"/>
      <c r="Q83" s="649"/>
      <c r="R83" s="649"/>
      <c r="S83" s="649"/>
      <c r="T83" s="649"/>
      <c r="U83" s="649"/>
      <c r="V83" s="649"/>
      <c r="W83" s="649"/>
      <c r="X83" s="649"/>
      <c r="Y83" s="649"/>
      <c r="Z83" s="649"/>
      <c r="AA83" s="649"/>
      <c r="AB83" s="649"/>
      <c r="AC83" s="649"/>
      <c r="AD83" s="649"/>
      <c r="AE83" s="649"/>
      <c r="AF83" s="649"/>
      <c r="AG83" s="649"/>
    </row>
    <row r="84" spans="1:35" x14ac:dyDescent="0.2">
      <c r="B84" s="3206" t="s">
        <v>272</v>
      </c>
      <c r="C84" s="3206"/>
      <c r="D84" s="2078" t="str">
        <f>IF(SUM(F84:N84)-E84=0,"OK","prob")</f>
        <v>prob</v>
      </c>
      <c r="E84" s="651">
        <f t="shared" ref="E84:AG84" si="12">E82+E37</f>
        <v>6906838938.3699999</v>
      </c>
      <c r="F84" s="651">
        <f t="shared" si="12"/>
        <v>3605162063.98</v>
      </c>
      <c r="G84" s="651">
        <f t="shared" si="12"/>
        <v>1365802825.01</v>
      </c>
      <c r="H84" s="651">
        <f t="shared" si="12"/>
        <v>54518808</v>
      </c>
      <c r="I84" s="651">
        <f t="shared" si="12"/>
        <v>1769438017.75</v>
      </c>
      <c r="J84" s="651">
        <f t="shared" si="12"/>
        <v>26540140.09</v>
      </c>
      <c r="K84" s="651">
        <f t="shared" si="12"/>
        <v>130066156.83</v>
      </c>
      <c r="L84" s="651">
        <f t="shared" si="12"/>
        <v>0</v>
      </c>
      <c r="M84" s="651">
        <f>M82+M37</f>
        <v>39221623.420000002</v>
      </c>
      <c r="N84" s="651">
        <f t="shared" si="12"/>
        <v>107455192.29000001</v>
      </c>
      <c r="O84" s="843">
        <f t="shared" si="12"/>
        <v>337933140.97000003</v>
      </c>
      <c r="P84" s="651">
        <f t="shared" si="12"/>
        <v>8567727873.3900003</v>
      </c>
      <c r="Q84" s="651">
        <f t="shared" si="12"/>
        <v>3577576109.52</v>
      </c>
      <c r="R84" s="651">
        <f t="shared" si="12"/>
        <v>1426405133.3099999</v>
      </c>
      <c r="S84" s="651">
        <f t="shared" si="12"/>
        <v>2115985233.76</v>
      </c>
      <c r="T84" s="651">
        <f t="shared" si="12"/>
        <v>297788483.33999997</v>
      </c>
      <c r="U84" s="651">
        <f t="shared" si="12"/>
        <v>1088241888.05</v>
      </c>
      <c r="V84" s="651">
        <f t="shared" si="12"/>
        <v>1762766732.6600001</v>
      </c>
      <c r="W84" s="651">
        <f t="shared" si="12"/>
        <v>774791492.83000004</v>
      </c>
      <c r="X84" s="651">
        <f t="shared" si="12"/>
        <v>1028901521.04</v>
      </c>
      <c r="Y84" s="651">
        <f t="shared" si="12"/>
        <v>1271627613.22</v>
      </c>
      <c r="Z84" s="651">
        <f t="shared" si="12"/>
        <v>296536906.22000003</v>
      </c>
      <c r="AA84" s="651">
        <f t="shared" si="12"/>
        <v>356107217.32999998</v>
      </c>
      <c r="AB84" s="651">
        <f t="shared" si="12"/>
        <v>224443104.16999999</v>
      </c>
      <c r="AC84" s="651">
        <f t="shared" si="12"/>
        <v>257059322.97</v>
      </c>
      <c r="AD84" s="651">
        <f t="shared" si="12"/>
        <v>493475783.69999999</v>
      </c>
      <c r="AE84" s="651">
        <f t="shared" si="12"/>
        <v>255968672.27000001</v>
      </c>
      <c r="AF84" s="651">
        <f t="shared" si="12"/>
        <v>73548245.390000001</v>
      </c>
      <c r="AG84" s="651">
        <f t="shared" si="12"/>
        <v>13128031.039999999</v>
      </c>
      <c r="AI84" s="649">
        <f>SUM(F84:AF84)</f>
        <v>31305089301.509998</v>
      </c>
    </row>
    <row r="85" spans="1:35" x14ac:dyDescent="0.2">
      <c r="B85" s="398"/>
      <c r="C85" s="398"/>
      <c r="E85" s="649"/>
      <c r="F85" s="649"/>
      <c r="G85" s="649"/>
      <c r="H85" s="649"/>
      <c r="I85" s="649"/>
      <c r="J85" s="649"/>
      <c r="K85" s="649"/>
      <c r="L85" s="649"/>
      <c r="M85" s="649"/>
      <c r="N85" s="649"/>
      <c r="O85" s="393"/>
      <c r="P85" s="649"/>
      <c r="Q85" s="649"/>
      <c r="R85" s="649"/>
      <c r="S85" s="649"/>
      <c r="T85" s="649"/>
      <c r="U85" s="649"/>
      <c r="V85" s="649"/>
      <c r="W85" s="649"/>
      <c r="X85" s="649"/>
      <c r="Y85" s="649"/>
      <c r="Z85" s="649"/>
      <c r="AA85" s="649"/>
      <c r="AB85" s="649"/>
      <c r="AC85" s="649"/>
      <c r="AD85" s="649"/>
      <c r="AE85" s="649"/>
      <c r="AF85" s="649"/>
      <c r="AG85" s="649"/>
    </row>
    <row r="86" spans="1:35" x14ac:dyDescent="0.2">
      <c r="B86" s="3383" t="s">
        <v>1929</v>
      </c>
      <c r="C86" s="3383"/>
      <c r="E86" s="649"/>
      <c r="F86" s="649"/>
      <c r="G86" s="649"/>
      <c r="H86" s="649"/>
      <c r="I86" s="649"/>
      <c r="J86" s="649"/>
      <c r="K86" s="649"/>
      <c r="L86" s="649"/>
      <c r="M86" s="649"/>
      <c r="N86" s="649"/>
      <c r="O86" s="393"/>
      <c r="P86" s="649"/>
      <c r="Q86" s="649"/>
      <c r="R86" s="649"/>
      <c r="S86" s="649"/>
      <c r="T86" s="649"/>
      <c r="U86" s="649"/>
      <c r="V86" s="649"/>
      <c r="W86" s="649"/>
      <c r="X86" s="649"/>
      <c r="Y86" s="649"/>
      <c r="Z86" s="649"/>
      <c r="AA86" s="649"/>
      <c r="AB86" s="649"/>
      <c r="AC86" s="649"/>
      <c r="AD86" s="649"/>
      <c r="AE86" s="649"/>
      <c r="AF86" s="649"/>
      <c r="AG86" s="649"/>
    </row>
    <row r="87" spans="1:35" x14ac:dyDescent="0.2">
      <c r="A87" s="1401">
        <v>1234</v>
      </c>
      <c r="B87" s="3299" t="s">
        <v>1930</v>
      </c>
      <c r="C87" s="3299"/>
      <c r="D87" t="str">
        <f t="shared" ref="D87:D94" si="13">IF(SUM(F87:N87)-E87=0,"OK","prob")</f>
        <v>OK</v>
      </c>
      <c r="E87" s="649">
        <v>7887997</v>
      </c>
      <c r="F87" s="393">
        <v>7887997</v>
      </c>
      <c r="G87" s="649">
        <v>0</v>
      </c>
      <c r="H87" s="649">
        <v>0</v>
      </c>
      <c r="I87" s="649">
        <v>0</v>
      </c>
      <c r="J87" s="649">
        <v>0</v>
      </c>
      <c r="K87" s="649">
        <v>0</v>
      </c>
      <c r="L87" s="649"/>
      <c r="M87" s="649">
        <v>0</v>
      </c>
      <c r="N87" s="649">
        <v>0</v>
      </c>
      <c r="O87" s="393">
        <v>0</v>
      </c>
      <c r="P87" s="393">
        <v>118979851.03</v>
      </c>
      <c r="Q87" s="393">
        <v>0</v>
      </c>
      <c r="R87" s="393">
        <v>0</v>
      </c>
      <c r="S87" s="393">
        <v>0</v>
      </c>
      <c r="T87" s="393">
        <v>0</v>
      </c>
      <c r="U87" s="393">
        <v>0</v>
      </c>
      <c r="V87" s="393">
        <v>0</v>
      </c>
      <c r="W87" s="393">
        <v>0</v>
      </c>
      <c r="X87" s="393">
        <v>0</v>
      </c>
      <c r="Y87" s="393">
        <v>0</v>
      </c>
      <c r="Z87" s="393">
        <v>0</v>
      </c>
      <c r="AA87" s="393">
        <v>0</v>
      </c>
      <c r="AB87" s="393">
        <v>0</v>
      </c>
      <c r="AC87" s="393">
        <v>0</v>
      </c>
      <c r="AD87" s="393">
        <v>0</v>
      </c>
      <c r="AE87" s="393">
        <v>0</v>
      </c>
      <c r="AF87" s="393">
        <v>1738656.43</v>
      </c>
      <c r="AG87" s="649">
        <v>0</v>
      </c>
      <c r="AH87" s="649"/>
      <c r="AI87" s="649">
        <f t="shared" ref="AI87:AI94" si="14">SUM(F87:AF87)</f>
        <v>128606504.45999999</v>
      </c>
    </row>
    <row r="88" spans="1:35" x14ac:dyDescent="0.2">
      <c r="A88" s="1401">
        <v>1236</v>
      </c>
      <c r="B88" s="3299" t="s">
        <v>3585</v>
      </c>
      <c r="C88" s="3299"/>
      <c r="D88" t="str">
        <f t="shared" si="13"/>
        <v>OK</v>
      </c>
      <c r="E88" s="649">
        <v>4893008</v>
      </c>
      <c r="F88" s="649">
        <v>4893008</v>
      </c>
      <c r="G88" s="649">
        <v>0</v>
      </c>
      <c r="H88" s="649">
        <v>0</v>
      </c>
      <c r="I88" s="649">
        <v>0</v>
      </c>
      <c r="J88" s="649">
        <v>0</v>
      </c>
      <c r="K88" s="649">
        <v>0</v>
      </c>
      <c r="L88" s="649"/>
      <c r="M88" s="649">
        <v>0</v>
      </c>
      <c r="N88" s="649">
        <v>0</v>
      </c>
      <c r="O88" s="393">
        <v>0</v>
      </c>
      <c r="P88" s="393">
        <v>9224788.9299999997</v>
      </c>
      <c r="Q88" s="393">
        <v>0</v>
      </c>
      <c r="R88" s="393">
        <v>4631338.67</v>
      </c>
      <c r="S88" s="393">
        <v>9902347.5700000003</v>
      </c>
      <c r="T88" s="393">
        <v>131980.88</v>
      </c>
      <c r="U88" s="393">
        <v>6125547.0300000003</v>
      </c>
      <c r="V88" s="393">
        <v>5273597.3099999996</v>
      </c>
      <c r="W88" s="393">
        <v>695715.04</v>
      </c>
      <c r="X88" s="393">
        <v>4384595.43</v>
      </c>
      <c r="Y88" s="393">
        <v>9327076.5700000003</v>
      </c>
      <c r="Z88" s="393">
        <v>1025865.44</v>
      </c>
      <c r="AA88" s="393">
        <v>226409.14</v>
      </c>
      <c r="AB88" s="393">
        <v>923356.81</v>
      </c>
      <c r="AC88" s="393">
        <v>0</v>
      </c>
      <c r="AD88" s="393">
        <v>0</v>
      </c>
      <c r="AE88" s="393">
        <v>0</v>
      </c>
      <c r="AF88" s="393">
        <v>0</v>
      </c>
      <c r="AG88" s="649">
        <v>0</v>
      </c>
      <c r="AH88" s="649"/>
      <c r="AI88" s="649">
        <f t="shared" si="14"/>
        <v>56765626.82</v>
      </c>
    </row>
    <row r="89" spans="1:35" x14ac:dyDescent="0.2">
      <c r="A89" s="1401">
        <v>1237</v>
      </c>
      <c r="B89" s="3304" t="s">
        <v>3870</v>
      </c>
      <c r="C89" s="3304"/>
      <c r="D89" t="str">
        <f t="shared" si="13"/>
        <v>OK</v>
      </c>
      <c r="E89" s="649">
        <v>218769243.09999999</v>
      </c>
      <c r="F89" s="649">
        <v>152178950</v>
      </c>
      <c r="G89" s="649">
        <v>37772204.009999998</v>
      </c>
      <c r="H89" s="649">
        <v>0</v>
      </c>
      <c r="I89" s="649">
        <v>28818089.09</v>
      </c>
      <c r="J89" s="649">
        <v>0</v>
      </c>
      <c r="K89" s="649">
        <v>0</v>
      </c>
      <c r="L89" s="649"/>
      <c r="M89" s="649">
        <v>0</v>
      </c>
      <c r="N89" s="649">
        <v>0</v>
      </c>
      <c r="O89" s="393">
        <v>5988358</v>
      </c>
      <c r="P89" s="393">
        <v>152817733.84999999</v>
      </c>
      <c r="Q89" s="393">
        <v>107473251</v>
      </c>
      <c r="R89" s="393">
        <v>28442864.710000001</v>
      </c>
      <c r="S89" s="393">
        <v>38525256</v>
      </c>
      <c r="T89" s="393">
        <v>5343124.49</v>
      </c>
      <c r="U89" s="393">
        <v>22265012</v>
      </c>
      <c r="V89" s="393">
        <v>64273674.369999997</v>
      </c>
      <c r="W89" s="393">
        <v>22255706.859999999</v>
      </c>
      <c r="X89" s="393">
        <v>17316571</v>
      </c>
      <c r="Y89" s="393">
        <v>33824815</v>
      </c>
      <c r="Z89" s="393">
        <v>10721173.220000001</v>
      </c>
      <c r="AA89" s="393">
        <v>9754994</v>
      </c>
      <c r="AB89" s="393">
        <v>6495133.5899999999</v>
      </c>
      <c r="AC89" s="393">
        <v>9735456.25</v>
      </c>
      <c r="AD89" s="393">
        <v>17755902</v>
      </c>
      <c r="AE89" s="393">
        <v>4842695.99</v>
      </c>
      <c r="AF89" s="393">
        <v>0</v>
      </c>
      <c r="AG89" s="649">
        <v>381983.74</v>
      </c>
      <c r="AH89" s="649"/>
      <c r="AI89" s="649">
        <f t="shared" si="14"/>
        <v>776600965.42999995</v>
      </c>
    </row>
    <row r="90" spans="1:35" x14ac:dyDescent="0.2">
      <c r="A90" s="1401">
        <v>1241</v>
      </c>
      <c r="B90" s="3304" t="s">
        <v>4452</v>
      </c>
      <c r="C90" s="3304"/>
      <c r="D90" t="str">
        <f t="shared" si="13"/>
        <v>OK</v>
      </c>
      <c r="E90" s="649">
        <v>263482861</v>
      </c>
      <c r="F90" s="649">
        <v>208459359</v>
      </c>
      <c r="G90" s="649">
        <v>55023502</v>
      </c>
      <c r="H90" s="649">
        <v>0</v>
      </c>
      <c r="I90" s="649">
        <v>0</v>
      </c>
      <c r="J90" s="649">
        <v>0</v>
      </c>
      <c r="K90" s="649">
        <v>0</v>
      </c>
      <c r="L90" s="649"/>
      <c r="M90" s="649">
        <v>0</v>
      </c>
      <c r="N90" s="649">
        <v>0</v>
      </c>
      <c r="O90" s="393">
        <v>6636093</v>
      </c>
      <c r="P90" s="393">
        <v>324323757</v>
      </c>
      <c r="Q90" s="393">
        <v>181920238</v>
      </c>
      <c r="R90" s="393">
        <v>61514709</v>
      </c>
      <c r="S90" s="393">
        <v>83197761</v>
      </c>
      <c r="T90" s="393">
        <v>9137503</v>
      </c>
      <c r="U90" s="393">
        <v>52716342</v>
      </c>
      <c r="V90" s="393">
        <v>96858786</v>
      </c>
      <c r="W90" s="393">
        <v>28447490.829999998</v>
      </c>
      <c r="X90" s="393">
        <v>29196759</v>
      </c>
      <c r="Y90" s="393">
        <v>45735406</v>
      </c>
      <c r="Z90" s="393">
        <v>16338396.27</v>
      </c>
      <c r="AA90" s="393">
        <v>9853345.2200000007</v>
      </c>
      <c r="AB90" s="393">
        <v>4740522</v>
      </c>
      <c r="AC90" s="393">
        <v>15074326.41</v>
      </c>
      <c r="AD90" s="393">
        <v>14622233</v>
      </c>
      <c r="AE90" s="393">
        <v>9090417.7599999998</v>
      </c>
      <c r="AF90" s="393">
        <v>0</v>
      </c>
      <c r="AG90" s="649">
        <v>634779.89</v>
      </c>
      <c r="AH90" s="649"/>
      <c r="AI90" s="649">
        <f t="shared" si="14"/>
        <v>1252886946.49</v>
      </c>
    </row>
    <row r="91" spans="1:35" s="1999" customFormat="1" x14ac:dyDescent="0.2">
      <c r="A91" s="1401">
        <v>1242</v>
      </c>
      <c r="B91" s="3304" t="s">
        <v>4608</v>
      </c>
      <c r="C91" s="3304"/>
      <c r="D91" s="1999" t="str">
        <f t="shared" si="13"/>
        <v>OK</v>
      </c>
      <c r="E91" s="649">
        <v>0</v>
      </c>
      <c r="F91" s="649">
        <v>0</v>
      </c>
      <c r="G91" s="649">
        <v>0</v>
      </c>
      <c r="H91" s="649">
        <v>0</v>
      </c>
      <c r="I91" s="649">
        <v>0</v>
      </c>
      <c r="J91" s="649">
        <v>0</v>
      </c>
      <c r="K91" s="649">
        <v>0</v>
      </c>
      <c r="L91" s="649"/>
      <c r="M91" s="649">
        <v>0</v>
      </c>
      <c r="N91" s="649">
        <v>0</v>
      </c>
      <c r="O91" s="393">
        <v>0</v>
      </c>
      <c r="P91" s="393">
        <v>0</v>
      </c>
      <c r="Q91" s="393">
        <v>13406266</v>
      </c>
      <c r="R91" s="393">
        <v>0</v>
      </c>
      <c r="S91" s="393">
        <v>0</v>
      </c>
      <c r="T91" s="393">
        <v>0</v>
      </c>
      <c r="U91" s="393">
        <v>0</v>
      </c>
      <c r="V91" s="393">
        <v>0</v>
      </c>
      <c r="W91" s="393">
        <v>0</v>
      </c>
      <c r="X91" s="393">
        <v>0</v>
      </c>
      <c r="Y91" s="393">
        <v>0</v>
      </c>
      <c r="Z91" s="393">
        <v>0</v>
      </c>
      <c r="AA91" s="393">
        <v>0</v>
      </c>
      <c r="AB91" s="393">
        <v>0</v>
      </c>
      <c r="AC91" s="393">
        <v>0</v>
      </c>
      <c r="AD91" s="393">
        <v>0</v>
      </c>
      <c r="AE91" s="393">
        <v>0</v>
      </c>
      <c r="AF91" s="393">
        <v>0</v>
      </c>
      <c r="AG91" s="649">
        <v>0</v>
      </c>
      <c r="AH91" s="649"/>
      <c r="AI91" s="649">
        <f t="shared" si="14"/>
        <v>13406266</v>
      </c>
    </row>
    <row r="92" spans="1:35" x14ac:dyDescent="0.2">
      <c r="A92" s="1401">
        <v>1238</v>
      </c>
      <c r="B92" s="3304" t="s">
        <v>3877</v>
      </c>
      <c r="C92" s="3304"/>
      <c r="D92" t="str">
        <f t="shared" si="13"/>
        <v>OK</v>
      </c>
      <c r="E92" s="649">
        <v>0</v>
      </c>
      <c r="F92" s="649">
        <v>0</v>
      </c>
      <c r="G92" s="649">
        <v>0</v>
      </c>
      <c r="H92" s="649">
        <v>0</v>
      </c>
      <c r="I92" s="649">
        <v>0</v>
      </c>
      <c r="J92" s="649">
        <v>0</v>
      </c>
      <c r="K92" s="649">
        <v>0</v>
      </c>
      <c r="L92" s="649"/>
      <c r="M92" s="649">
        <v>0</v>
      </c>
      <c r="N92" s="649">
        <v>0</v>
      </c>
      <c r="O92" s="393">
        <v>0</v>
      </c>
      <c r="P92" s="393">
        <v>0</v>
      </c>
      <c r="Q92" s="393">
        <v>0</v>
      </c>
      <c r="R92" s="393">
        <v>0</v>
      </c>
      <c r="S92" s="393">
        <v>0</v>
      </c>
      <c r="T92" s="393">
        <v>0</v>
      </c>
      <c r="U92" s="393">
        <v>0</v>
      </c>
      <c r="V92" s="393">
        <v>0</v>
      </c>
      <c r="W92" s="393">
        <v>0</v>
      </c>
      <c r="X92" s="393">
        <v>0</v>
      </c>
      <c r="Y92" s="393">
        <v>0</v>
      </c>
      <c r="Z92" s="393">
        <v>0</v>
      </c>
      <c r="AA92" s="393">
        <v>0</v>
      </c>
      <c r="AB92" s="393">
        <v>0</v>
      </c>
      <c r="AC92" s="393">
        <v>0</v>
      </c>
      <c r="AD92" s="393">
        <v>0</v>
      </c>
      <c r="AE92" s="393">
        <v>0</v>
      </c>
      <c r="AF92" s="393">
        <v>0</v>
      </c>
      <c r="AG92" s="649">
        <v>0</v>
      </c>
      <c r="AH92" s="649"/>
      <c r="AI92" s="649">
        <f t="shared" si="14"/>
        <v>0</v>
      </c>
    </row>
    <row r="93" spans="1:35" x14ac:dyDescent="0.2">
      <c r="A93" s="1401">
        <v>1239</v>
      </c>
      <c r="B93" s="3304" t="s">
        <v>3953</v>
      </c>
      <c r="C93" s="3304"/>
      <c r="D93" t="str">
        <f t="shared" si="13"/>
        <v>OK</v>
      </c>
      <c r="E93" s="651">
        <v>0</v>
      </c>
      <c r="F93" s="651">
        <v>0</v>
      </c>
      <c r="G93" s="651">
        <v>0</v>
      </c>
      <c r="H93" s="651">
        <v>0</v>
      </c>
      <c r="I93" s="651">
        <v>0</v>
      </c>
      <c r="J93" s="651">
        <v>0</v>
      </c>
      <c r="K93" s="651">
        <v>0</v>
      </c>
      <c r="L93" s="651"/>
      <c r="M93" s="651">
        <v>0</v>
      </c>
      <c r="N93" s="651">
        <v>0</v>
      </c>
      <c r="O93" s="393">
        <v>0</v>
      </c>
      <c r="P93" s="393">
        <v>0</v>
      </c>
      <c r="Q93" s="393">
        <v>0</v>
      </c>
      <c r="R93" s="393">
        <v>0</v>
      </c>
      <c r="S93" s="393">
        <v>0</v>
      </c>
      <c r="T93" s="393">
        <v>0</v>
      </c>
      <c r="U93" s="393">
        <v>0</v>
      </c>
      <c r="V93" s="393">
        <v>0</v>
      </c>
      <c r="W93" s="393">
        <v>0</v>
      </c>
      <c r="X93" s="393">
        <v>0</v>
      </c>
      <c r="Y93" s="393">
        <v>0</v>
      </c>
      <c r="Z93" s="393">
        <v>0</v>
      </c>
      <c r="AA93" s="393">
        <v>0</v>
      </c>
      <c r="AB93" s="393">
        <v>0</v>
      </c>
      <c r="AC93" s="393">
        <v>0</v>
      </c>
      <c r="AD93" s="393">
        <v>0</v>
      </c>
      <c r="AE93" s="393">
        <v>0</v>
      </c>
      <c r="AF93" s="393">
        <v>0</v>
      </c>
      <c r="AG93" s="651">
        <v>0</v>
      </c>
      <c r="AH93" s="649"/>
      <c r="AI93" s="649">
        <f t="shared" si="14"/>
        <v>0</v>
      </c>
    </row>
    <row r="94" spans="1:35" x14ac:dyDescent="0.2">
      <c r="B94" s="3299" t="s">
        <v>3801</v>
      </c>
      <c r="C94" s="3299"/>
      <c r="D94" t="str">
        <f t="shared" si="13"/>
        <v>prob</v>
      </c>
      <c r="E94" s="661">
        <f>SUM(E87:E93)</f>
        <v>495033109.10000002</v>
      </c>
      <c r="F94" s="661">
        <f t="shared" ref="F94:AG94" si="15">SUM(F87:F93)</f>
        <v>373419314</v>
      </c>
      <c r="G94" s="661">
        <f t="shared" si="15"/>
        <v>92795706.010000005</v>
      </c>
      <c r="H94" s="661">
        <f t="shared" si="15"/>
        <v>0</v>
      </c>
      <c r="I94" s="661">
        <f t="shared" si="15"/>
        <v>28818089.09</v>
      </c>
      <c r="J94" s="661">
        <f t="shared" si="15"/>
        <v>0</v>
      </c>
      <c r="K94" s="661">
        <f t="shared" si="15"/>
        <v>0</v>
      </c>
      <c r="L94" s="661">
        <f t="shared" si="15"/>
        <v>0</v>
      </c>
      <c r="M94" s="661">
        <f>SUM(M87:M93)</f>
        <v>0</v>
      </c>
      <c r="N94" s="661">
        <f t="shared" si="15"/>
        <v>0</v>
      </c>
      <c r="O94" s="706">
        <f t="shared" si="15"/>
        <v>12624451</v>
      </c>
      <c r="P94" s="661">
        <f t="shared" si="15"/>
        <v>605346130.80999994</v>
      </c>
      <c r="Q94" s="661">
        <f t="shared" si="15"/>
        <v>302799755</v>
      </c>
      <c r="R94" s="661">
        <f t="shared" si="15"/>
        <v>94588912.379999995</v>
      </c>
      <c r="S94" s="661">
        <f t="shared" si="15"/>
        <v>131625364.56999999</v>
      </c>
      <c r="T94" s="661">
        <f t="shared" si="15"/>
        <v>14612608.369999999</v>
      </c>
      <c r="U94" s="661">
        <f t="shared" si="15"/>
        <v>81106901.030000001</v>
      </c>
      <c r="V94" s="661">
        <f t="shared" si="15"/>
        <v>166406057.68000001</v>
      </c>
      <c r="W94" s="661">
        <f t="shared" si="15"/>
        <v>51398912.729999997</v>
      </c>
      <c r="X94" s="661">
        <f t="shared" si="15"/>
        <v>50897925.43</v>
      </c>
      <c r="Y94" s="661">
        <f t="shared" si="15"/>
        <v>88887297.569999993</v>
      </c>
      <c r="Z94" s="661">
        <f t="shared" si="15"/>
        <v>28085434.93</v>
      </c>
      <c r="AA94" s="661">
        <f t="shared" si="15"/>
        <v>19834748.359999999</v>
      </c>
      <c r="AB94" s="661">
        <f t="shared" si="15"/>
        <v>12159012.4</v>
      </c>
      <c r="AC94" s="661">
        <f t="shared" si="15"/>
        <v>24809782.66</v>
      </c>
      <c r="AD94" s="661">
        <f t="shared" si="15"/>
        <v>32378135</v>
      </c>
      <c r="AE94" s="661">
        <f t="shared" si="15"/>
        <v>13933113.75</v>
      </c>
      <c r="AF94" s="661">
        <f t="shared" si="15"/>
        <v>1738656.43</v>
      </c>
      <c r="AG94" s="661">
        <f t="shared" si="15"/>
        <v>1016763.63</v>
      </c>
      <c r="AH94" s="649"/>
      <c r="AI94" s="649">
        <f t="shared" si="14"/>
        <v>2228266309.1999998</v>
      </c>
    </row>
    <row r="95" spans="1:35" x14ac:dyDescent="0.2">
      <c r="B95" s="398"/>
      <c r="C95" s="398"/>
      <c r="E95" s="649"/>
      <c r="F95" s="649"/>
      <c r="G95" s="649"/>
      <c r="H95" s="649"/>
      <c r="I95" s="649"/>
      <c r="J95" s="649"/>
      <c r="K95" s="649"/>
      <c r="L95" s="649"/>
      <c r="M95" s="649"/>
      <c r="N95" s="649"/>
      <c r="O95" s="393"/>
      <c r="P95" s="649"/>
      <c r="Q95" s="649"/>
      <c r="R95" s="649"/>
      <c r="S95" s="649"/>
      <c r="T95" s="649"/>
      <c r="U95" s="649"/>
      <c r="V95" s="649"/>
      <c r="W95" s="649"/>
      <c r="X95" s="649"/>
      <c r="Y95" s="649"/>
      <c r="Z95" s="649"/>
      <c r="AA95" s="649"/>
      <c r="AB95" s="649"/>
      <c r="AC95" s="649"/>
      <c r="AD95" s="649"/>
      <c r="AE95" s="649"/>
      <c r="AF95" s="649"/>
      <c r="AG95" s="649"/>
    </row>
    <row r="96" spans="1:35" x14ac:dyDescent="0.2">
      <c r="B96" s="394" t="s">
        <v>273</v>
      </c>
      <c r="C96" s="394"/>
      <c r="E96" s="649"/>
      <c r="F96" s="649"/>
      <c r="G96" s="649"/>
      <c r="H96" s="649"/>
      <c r="I96" s="649"/>
      <c r="J96" s="649"/>
      <c r="K96" s="649"/>
      <c r="L96" s="649"/>
      <c r="M96" s="649"/>
      <c r="N96" s="649"/>
      <c r="O96" s="393"/>
      <c r="P96" s="649"/>
      <c r="Q96" s="649"/>
      <c r="R96" s="649"/>
      <c r="S96" s="649"/>
      <c r="T96" s="649"/>
      <c r="U96" s="649"/>
      <c r="V96" s="649"/>
      <c r="W96" s="649"/>
      <c r="X96" s="649"/>
      <c r="Y96" s="649"/>
      <c r="Z96" s="649"/>
      <c r="AA96" s="649"/>
      <c r="AB96" s="649"/>
      <c r="AC96" s="649"/>
      <c r="AD96" s="649"/>
      <c r="AE96" s="649"/>
      <c r="AF96" s="649"/>
      <c r="AG96" s="649"/>
    </row>
    <row r="97" spans="1:35" x14ac:dyDescent="0.2">
      <c r="B97" s="401" t="s">
        <v>274</v>
      </c>
      <c r="C97" s="401"/>
      <c r="E97" s="649"/>
      <c r="F97" s="649"/>
      <c r="G97" s="649"/>
      <c r="H97" s="649"/>
      <c r="I97" s="649"/>
      <c r="J97" s="649"/>
      <c r="K97" s="649"/>
      <c r="L97" s="649"/>
      <c r="M97" s="649"/>
      <c r="N97" s="649"/>
      <c r="O97" s="393"/>
      <c r="P97" s="649"/>
      <c r="Q97" s="649"/>
      <c r="R97" s="649"/>
      <c r="S97" s="649"/>
      <c r="T97" s="649"/>
      <c r="U97" s="649"/>
      <c r="V97" s="649"/>
      <c r="W97" s="649"/>
      <c r="X97" s="649"/>
      <c r="Y97" s="649"/>
      <c r="Z97" s="649"/>
      <c r="AA97" s="649"/>
      <c r="AB97" s="649"/>
      <c r="AC97" s="649"/>
      <c r="AD97" s="649"/>
      <c r="AE97" s="649"/>
      <c r="AF97" s="649"/>
      <c r="AG97" s="649"/>
    </row>
    <row r="98" spans="1:35" x14ac:dyDescent="0.2">
      <c r="B98" s="335" t="s">
        <v>275</v>
      </c>
      <c r="C98" s="335"/>
      <c r="E98" s="649"/>
      <c r="F98" s="649"/>
      <c r="G98" s="649"/>
      <c r="H98" s="649"/>
      <c r="I98" s="649"/>
      <c r="J98" s="649"/>
      <c r="K98" s="649"/>
      <c r="L98" s="649"/>
      <c r="M98" s="649"/>
      <c r="N98" s="649"/>
      <c r="O98" s="393"/>
      <c r="P98" s="649"/>
      <c r="Q98" s="649"/>
      <c r="R98" s="649"/>
      <c r="S98" s="649"/>
      <c r="T98" s="649"/>
      <c r="U98" s="649"/>
      <c r="V98" s="649"/>
      <c r="W98" s="649"/>
      <c r="X98" s="649"/>
      <c r="Y98" s="649"/>
      <c r="Z98" s="649"/>
      <c r="AA98" s="649"/>
      <c r="AB98" s="649"/>
      <c r="AC98" s="649"/>
      <c r="AD98" s="649"/>
      <c r="AE98" s="649"/>
      <c r="AF98" s="649"/>
      <c r="AG98" s="649"/>
    </row>
    <row r="99" spans="1:35" x14ac:dyDescent="0.2">
      <c r="A99" s="335">
        <v>1640</v>
      </c>
      <c r="B99" s="3355" t="s">
        <v>1060</v>
      </c>
      <c r="C99" s="3355"/>
      <c r="D99" t="str">
        <f>IF(ROUND(SUM(F99:N99),2)-ROUND(E99,2)=0,"OK","prob")</f>
        <v>OK</v>
      </c>
      <c r="E99" s="649">
        <v>327004888.91000003</v>
      </c>
      <c r="F99" s="649">
        <v>134142815.22</v>
      </c>
      <c r="G99" s="649">
        <v>105003526</v>
      </c>
      <c r="H99" s="649">
        <v>98802</v>
      </c>
      <c r="I99" s="649">
        <v>58723125.25</v>
      </c>
      <c r="J99" s="649">
        <v>2001884.62</v>
      </c>
      <c r="K99" s="649">
        <v>18341329.52</v>
      </c>
      <c r="L99" s="649"/>
      <c r="M99" s="649">
        <v>4988271.5999999996</v>
      </c>
      <c r="N99" s="649">
        <v>3705134.7</v>
      </c>
      <c r="O99" s="393">
        <v>2732593.64</v>
      </c>
      <c r="P99" s="393">
        <v>86756808.019999996</v>
      </c>
      <c r="Q99" s="393">
        <v>48618192.810000002</v>
      </c>
      <c r="R99" s="393">
        <v>4672996.8600000003</v>
      </c>
      <c r="S99" s="393">
        <v>12184850.029999999</v>
      </c>
      <c r="T99" s="393">
        <v>1066987.81</v>
      </c>
      <c r="U99" s="393">
        <v>4906629.72</v>
      </c>
      <c r="V99" s="393">
        <v>17944506.82</v>
      </c>
      <c r="W99" s="393">
        <v>5181945.49</v>
      </c>
      <c r="X99" s="393">
        <v>19286724.510000002</v>
      </c>
      <c r="Y99" s="393">
        <v>10093536.93</v>
      </c>
      <c r="Z99" s="393">
        <v>6491603.3600000003</v>
      </c>
      <c r="AA99" s="393">
        <v>2489480.13</v>
      </c>
      <c r="AB99" s="393">
        <v>2068444.09</v>
      </c>
      <c r="AC99" s="393">
        <v>2050706.24</v>
      </c>
      <c r="AD99" s="393">
        <v>6105482.5800000001</v>
      </c>
      <c r="AE99" s="393">
        <v>7971822.4100000001</v>
      </c>
      <c r="AF99" s="393">
        <v>355853.48</v>
      </c>
      <c r="AG99" s="649">
        <v>75242.69</v>
      </c>
      <c r="AI99" s="649">
        <f t="shared" ref="AI99:AI133" si="16">SUM(F99:AF99)</f>
        <v>567984053.84000003</v>
      </c>
    </row>
    <row r="100" spans="1:35" x14ac:dyDescent="0.2">
      <c r="A100" s="335">
        <v>1650</v>
      </c>
      <c r="B100" s="3355" t="s">
        <v>815</v>
      </c>
      <c r="C100" s="3355"/>
      <c r="D100" t="str">
        <f>IF(SUM(F100:N100)-E100=0,"OK","prob")</f>
        <v>prob</v>
      </c>
      <c r="E100" s="649">
        <v>272996322.77999997</v>
      </c>
      <c r="F100" s="649">
        <v>48958083.75</v>
      </c>
      <c r="G100" s="649">
        <v>129856556</v>
      </c>
      <c r="H100" s="649">
        <v>0</v>
      </c>
      <c r="I100" s="649">
        <v>61763017.020000003</v>
      </c>
      <c r="J100" s="649">
        <v>1038667.77</v>
      </c>
      <c r="K100" s="649">
        <v>20674586.219999999</v>
      </c>
      <c r="L100" s="649"/>
      <c r="M100" s="649">
        <v>3151425.38</v>
      </c>
      <c r="N100" s="649">
        <v>7553986.6399999997</v>
      </c>
      <c r="O100" s="393">
        <v>1316332.1000000001</v>
      </c>
      <c r="P100" s="393">
        <v>100454331.33</v>
      </c>
      <c r="Q100" s="393">
        <v>7240077.4900000002</v>
      </c>
      <c r="R100" s="393">
        <v>7279784.5099999998</v>
      </c>
      <c r="S100" s="393">
        <v>883248.43</v>
      </c>
      <c r="T100" s="393">
        <v>481836.28</v>
      </c>
      <c r="U100" s="393">
        <v>636672.1</v>
      </c>
      <c r="V100" s="393">
        <v>19238684.940000001</v>
      </c>
      <c r="W100" s="393">
        <v>1458847.56</v>
      </c>
      <c r="X100" s="393">
        <v>1282516.9099999999</v>
      </c>
      <c r="Y100" s="393">
        <v>4040169.29</v>
      </c>
      <c r="Z100" s="393">
        <v>339636.43</v>
      </c>
      <c r="AA100" s="393">
        <v>94393.32</v>
      </c>
      <c r="AB100" s="393">
        <v>1028354.58</v>
      </c>
      <c r="AC100" s="393">
        <v>1051165.72</v>
      </c>
      <c r="AD100" s="393">
        <v>1771699.21</v>
      </c>
      <c r="AE100" s="393">
        <v>215011.13</v>
      </c>
      <c r="AF100" s="393">
        <v>0</v>
      </c>
      <c r="AG100" s="649">
        <v>14227.04</v>
      </c>
      <c r="AI100" s="649">
        <f t="shared" si="16"/>
        <v>421809084.11000001</v>
      </c>
    </row>
    <row r="101" spans="1:35" x14ac:dyDescent="0.2">
      <c r="A101" s="335">
        <v>1660</v>
      </c>
      <c r="B101" s="3355" t="s">
        <v>816</v>
      </c>
      <c r="C101" s="3355"/>
      <c r="D101" t="str">
        <f>IF(SUM(F101:N101)-E101=0,"OK","prob")</f>
        <v>OK</v>
      </c>
      <c r="E101" s="649">
        <v>147956854.84</v>
      </c>
      <c r="F101" s="649">
        <v>144023819.12</v>
      </c>
      <c r="G101" s="649">
        <v>0</v>
      </c>
      <c r="H101" s="649">
        <v>0</v>
      </c>
      <c r="I101" s="649">
        <v>0</v>
      </c>
      <c r="J101" s="649">
        <v>1781682.38</v>
      </c>
      <c r="K101" s="649">
        <v>1702800.09</v>
      </c>
      <c r="L101" s="649"/>
      <c r="M101" s="649">
        <v>0</v>
      </c>
      <c r="N101" s="649">
        <v>448553.25</v>
      </c>
      <c r="O101" s="393">
        <v>0</v>
      </c>
      <c r="P101" s="393">
        <v>13575854.289999999</v>
      </c>
      <c r="Q101" s="393">
        <v>0</v>
      </c>
      <c r="R101" s="393">
        <v>0</v>
      </c>
      <c r="S101" s="393">
        <v>454554.23</v>
      </c>
      <c r="T101" s="393">
        <v>0</v>
      </c>
      <c r="U101" s="393">
        <v>11844.23</v>
      </c>
      <c r="V101" s="393">
        <v>0</v>
      </c>
      <c r="W101" s="393">
        <v>36157.699999999997</v>
      </c>
      <c r="X101" s="393">
        <v>0</v>
      </c>
      <c r="Y101" s="393">
        <v>37563.97</v>
      </c>
      <c r="Z101" s="393">
        <v>0</v>
      </c>
      <c r="AA101" s="393">
        <v>0</v>
      </c>
      <c r="AB101" s="393">
        <v>0</v>
      </c>
      <c r="AC101" s="393">
        <v>0</v>
      </c>
      <c r="AD101" s="393">
        <v>97953</v>
      </c>
      <c r="AE101" s="393">
        <v>0</v>
      </c>
      <c r="AF101" s="393">
        <v>0</v>
      </c>
      <c r="AG101" s="649">
        <v>0</v>
      </c>
      <c r="AI101" s="649">
        <f t="shared" si="16"/>
        <v>162170782.25999999</v>
      </c>
    </row>
    <row r="102" spans="1:35" x14ac:dyDescent="0.2">
      <c r="A102" s="335">
        <v>1670</v>
      </c>
      <c r="B102" s="3355" t="s">
        <v>700</v>
      </c>
      <c r="C102" s="3355"/>
      <c r="D102" t="str">
        <f>IF(SUM(F102:N102)-E102=0,"OK","prob")</f>
        <v>OK</v>
      </c>
      <c r="E102" s="649">
        <v>118939.75</v>
      </c>
      <c r="F102" s="649">
        <v>0</v>
      </c>
      <c r="G102" s="649">
        <v>0</v>
      </c>
      <c r="H102" s="649">
        <v>0</v>
      </c>
      <c r="I102" s="649">
        <v>0</v>
      </c>
      <c r="J102" s="649">
        <v>0</v>
      </c>
      <c r="K102" s="649">
        <v>0</v>
      </c>
      <c r="L102" s="649"/>
      <c r="M102" s="649">
        <v>59086.03</v>
      </c>
      <c r="N102" s="649">
        <v>59853.72</v>
      </c>
      <c r="O102" s="393">
        <v>0</v>
      </c>
      <c r="P102" s="393">
        <v>0</v>
      </c>
      <c r="Q102" s="393">
        <v>0</v>
      </c>
      <c r="R102" s="393">
        <v>0</v>
      </c>
      <c r="S102" s="393">
        <v>0</v>
      </c>
      <c r="T102" s="393">
        <v>0</v>
      </c>
      <c r="U102" s="393">
        <v>0</v>
      </c>
      <c r="V102" s="393">
        <v>0</v>
      </c>
      <c r="W102" s="393">
        <v>0</v>
      </c>
      <c r="X102" s="393">
        <v>0</v>
      </c>
      <c r="Y102" s="393">
        <v>0</v>
      </c>
      <c r="Z102" s="393">
        <v>0</v>
      </c>
      <c r="AA102" s="393">
        <v>0</v>
      </c>
      <c r="AB102" s="393">
        <v>0</v>
      </c>
      <c r="AC102" s="393">
        <v>0</v>
      </c>
      <c r="AD102" s="393">
        <v>0</v>
      </c>
      <c r="AE102" s="393">
        <v>0</v>
      </c>
      <c r="AF102" s="393">
        <v>0</v>
      </c>
      <c r="AG102" s="649">
        <v>0</v>
      </c>
      <c r="AI102" s="649">
        <f t="shared" si="16"/>
        <v>118939.75</v>
      </c>
    </row>
    <row r="103" spans="1:35" x14ac:dyDescent="0.2">
      <c r="A103" s="335">
        <v>1840</v>
      </c>
      <c r="B103" s="3206" t="s">
        <v>278</v>
      </c>
      <c r="C103" s="3206"/>
      <c r="D103" t="str">
        <f>IF(SUM(F103:N103)=E103,"OK","prob")</f>
        <v>OK</v>
      </c>
      <c r="E103" s="649">
        <v>10624575.23</v>
      </c>
      <c r="F103" s="649">
        <v>4997774.74</v>
      </c>
      <c r="G103" s="649">
        <v>0</v>
      </c>
      <c r="H103" s="649">
        <v>0</v>
      </c>
      <c r="I103" s="649">
        <v>5626800.4900000002</v>
      </c>
      <c r="J103" s="649">
        <v>0</v>
      </c>
      <c r="K103" s="649">
        <v>0</v>
      </c>
      <c r="L103" s="649"/>
      <c r="M103" s="649">
        <v>0</v>
      </c>
      <c r="N103" s="649">
        <v>0</v>
      </c>
      <c r="O103" s="393">
        <v>369.66</v>
      </c>
      <c r="P103" s="393">
        <v>3301921.82</v>
      </c>
      <c r="Q103" s="393">
        <v>4332743.7699999996</v>
      </c>
      <c r="R103" s="393">
        <v>2988937.51</v>
      </c>
      <c r="S103" s="393">
        <v>5513164.71</v>
      </c>
      <c r="T103" s="393">
        <v>291104.67</v>
      </c>
      <c r="U103" s="393">
        <v>1289374.58</v>
      </c>
      <c r="V103" s="393">
        <v>2868857.65</v>
      </c>
      <c r="W103" s="393">
        <v>928992.21</v>
      </c>
      <c r="X103" s="393">
        <v>2008076.05</v>
      </c>
      <c r="Y103" s="393">
        <v>2345332.9</v>
      </c>
      <c r="Z103" s="393">
        <v>451603.33</v>
      </c>
      <c r="AA103" s="393">
        <v>773792.13</v>
      </c>
      <c r="AB103" s="393">
        <v>230086.99</v>
      </c>
      <c r="AC103" s="393">
        <v>376962.75</v>
      </c>
      <c r="AD103" s="393">
        <v>1152513.07</v>
      </c>
      <c r="AE103" s="393">
        <v>703342.43</v>
      </c>
      <c r="AF103" s="393">
        <v>0</v>
      </c>
      <c r="AG103" s="649">
        <v>0</v>
      </c>
      <c r="AI103" s="649">
        <f t="shared" si="16"/>
        <v>40181751.460000001</v>
      </c>
    </row>
    <row r="104" spans="1:35" x14ac:dyDescent="0.2">
      <c r="A104" s="335"/>
      <c r="B104" s="335" t="s">
        <v>1423</v>
      </c>
      <c r="C104" s="335"/>
      <c r="E104" s="649"/>
      <c r="F104" s="649"/>
      <c r="G104" s="649"/>
      <c r="H104" s="649"/>
      <c r="I104" s="649"/>
      <c r="J104" s="649"/>
      <c r="K104" s="649"/>
      <c r="L104" s="649"/>
      <c r="M104" s="649"/>
      <c r="N104" s="649"/>
      <c r="O104" s="393"/>
      <c r="P104" s="1286"/>
      <c r="Q104" s="1286"/>
      <c r="R104" s="649"/>
      <c r="S104" s="649"/>
      <c r="T104" s="649"/>
      <c r="U104" s="649"/>
      <c r="V104" s="649"/>
      <c r="W104" s="649"/>
      <c r="X104" s="649"/>
      <c r="Y104" s="649"/>
      <c r="Z104" s="649"/>
      <c r="AA104" s="649"/>
      <c r="AB104" s="649"/>
      <c r="AC104" s="649"/>
      <c r="AD104" s="649"/>
      <c r="AE104" s="649"/>
      <c r="AF104" s="649"/>
      <c r="AG104" s="649"/>
      <c r="AI104" s="649">
        <f t="shared" si="16"/>
        <v>0</v>
      </c>
    </row>
    <row r="105" spans="1:35" x14ac:dyDescent="0.2">
      <c r="A105" s="1129">
        <v>1788</v>
      </c>
      <c r="B105" s="3355" t="s">
        <v>4634</v>
      </c>
      <c r="C105" s="3355"/>
      <c r="D105" t="str">
        <f>IF(SUM(F105:N105)-E105=0,"OK","prob")</f>
        <v>OK</v>
      </c>
      <c r="E105" s="1823">
        <v>0</v>
      </c>
      <c r="F105" s="1823">
        <v>0</v>
      </c>
      <c r="G105" s="1823">
        <v>0</v>
      </c>
      <c r="H105" s="1823">
        <v>0</v>
      </c>
      <c r="I105" s="1823">
        <v>0</v>
      </c>
      <c r="J105" s="1823">
        <v>0</v>
      </c>
      <c r="K105" s="1823">
        <v>0</v>
      </c>
      <c r="L105" s="1823"/>
      <c r="M105" s="1823">
        <v>0</v>
      </c>
      <c r="N105" s="1823">
        <v>0</v>
      </c>
      <c r="O105" s="2046">
        <v>0</v>
      </c>
      <c r="P105" s="2046">
        <v>0</v>
      </c>
      <c r="Q105" s="2046">
        <v>0</v>
      </c>
      <c r="R105" s="2046">
        <v>0</v>
      </c>
      <c r="S105" s="2046">
        <v>0</v>
      </c>
      <c r="T105" s="2046">
        <v>0</v>
      </c>
      <c r="U105" s="2046">
        <v>0</v>
      </c>
      <c r="V105" s="2046">
        <v>0</v>
      </c>
      <c r="W105" s="2046">
        <v>0</v>
      </c>
      <c r="X105" s="2046">
        <v>0</v>
      </c>
      <c r="Y105" s="2046">
        <v>0</v>
      </c>
      <c r="Z105" s="2046">
        <v>0</v>
      </c>
      <c r="AA105" s="2046">
        <v>0</v>
      </c>
      <c r="AB105" s="2046">
        <v>0</v>
      </c>
      <c r="AC105" s="2046">
        <v>0</v>
      </c>
      <c r="AD105" s="2046">
        <v>0</v>
      </c>
      <c r="AE105" s="2046">
        <v>0</v>
      </c>
      <c r="AF105" s="2046">
        <v>0</v>
      </c>
      <c r="AG105" s="1823">
        <v>0</v>
      </c>
      <c r="AI105" s="649">
        <f t="shared" si="16"/>
        <v>0</v>
      </c>
    </row>
    <row r="106" spans="1:35" x14ac:dyDescent="0.2">
      <c r="A106" s="1129">
        <v>1785</v>
      </c>
      <c r="B106" s="3355" t="s">
        <v>1541</v>
      </c>
      <c r="C106" s="3355"/>
      <c r="D106" t="str">
        <f>IF(SUM(F106:N106)-E106=0,"OK","prob")</f>
        <v>OK</v>
      </c>
      <c r="E106" s="1823">
        <v>0</v>
      </c>
      <c r="F106" s="1823">
        <v>0</v>
      </c>
      <c r="G106" s="1823">
        <v>0</v>
      </c>
      <c r="H106" s="1823">
        <v>0</v>
      </c>
      <c r="I106" s="1823">
        <v>0</v>
      </c>
      <c r="J106" s="1823">
        <v>0</v>
      </c>
      <c r="K106" s="1823">
        <v>0</v>
      </c>
      <c r="L106" s="1823"/>
      <c r="M106" s="1823">
        <v>0</v>
      </c>
      <c r="N106" s="1823">
        <v>0</v>
      </c>
      <c r="O106" s="2046">
        <v>0</v>
      </c>
      <c r="P106" s="2046">
        <v>0</v>
      </c>
      <c r="Q106" s="2046">
        <v>0</v>
      </c>
      <c r="R106" s="2046">
        <v>0</v>
      </c>
      <c r="S106" s="2046">
        <v>0</v>
      </c>
      <c r="T106" s="2046">
        <v>0</v>
      </c>
      <c r="U106" s="2046">
        <v>0</v>
      </c>
      <c r="V106" s="2046">
        <v>0</v>
      </c>
      <c r="W106" s="2046">
        <v>0</v>
      </c>
      <c r="X106" s="2046">
        <v>0</v>
      </c>
      <c r="Y106" s="2046">
        <v>0</v>
      </c>
      <c r="Z106" s="2046">
        <v>0</v>
      </c>
      <c r="AA106" s="2046">
        <v>0</v>
      </c>
      <c r="AB106" s="2046">
        <v>0</v>
      </c>
      <c r="AC106" s="2046">
        <v>0</v>
      </c>
      <c r="AD106" s="2046">
        <v>0</v>
      </c>
      <c r="AE106" s="2046">
        <v>0</v>
      </c>
      <c r="AF106" s="2046">
        <v>0</v>
      </c>
      <c r="AG106" s="1823">
        <v>0</v>
      </c>
      <c r="AI106" s="649">
        <f t="shared" si="16"/>
        <v>0</v>
      </c>
    </row>
    <row r="107" spans="1:35" x14ac:dyDescent="0.2">
      <c r="A107" s="1129">
        <v>1790</v>
      </c>
      <c r="B107" s="3355" t="s">
        <v>4604</v>
      </c>
      <c r="C107" s="3355"/>
      <c r="D107" t="str">
        <f>IF(SUM(F107:N107)-E107=0,"OK","prob")</f>
        <v>OK</v>
      </c>
      <c r="E107" s="1823">
        <v>0</v>
      </c>
      <c r="F107" s="1823">
        <v>0</v>
      </c>
      <c r="G107" s="1823">
        <v>0</v>
      </c>
      <c r="H107" s="1823">
        <v>0</v>
      </c>
      <c r="I107" s="1823">
        <v>0</v>
      </c>
      <c r="J107" s="1823">
        <v>0</v>
      </c>
      <c r="K107" s="1823">
        <v>0</v>
      </c>
      <c r="L107" s="1823"/>
      <c r="M107" s="1823">
        <v>0</v>
      </c>
      <c r="N107" s="1823">
        <v>0</v>
      </c>
      <c r="O107" s="2046">
        <v>0</v>
      </c>
      <c r="P107" s="2046">
        <v>0</v>
      </c>
      <c r="Q107" s="2046">
        <v>0</v>
      </c>
      <c r="R107" s="2046">
        <v>0</v>
      </c>
      <c r="S107" s="2046">
        <v>0</v>
      </c>
      <c r="T107" s="2046">
        <v>0</v>
      </c>
      <c r="U107" s="2046">
        <v>0</v>
      </c>
      <c r="V107" s="2046">
        <v>0</v>
      </c>
      <c r="W107" s="2046">
        <v>0</v>
      </c>
      <c r="X107" s="2046">
        <v>0</v>
      </c>
      <c r="Y107" s="2046">
        <v>0</v>
      </c>
      <c r="Z107" s="2046">
        <v>0</v>
      </c>
      <c r="AA107" s="2046">
        <v>0</v>
      </c>
      <c r="AB107" s="2046">
        <v>0</v>
      </c>
      <c r="AC107" s="2046">
        <v>0</v>
      </c>
      <c r="AD107" s="2046">
        <v>0</v>
      </c>
      <c r="AE107" s="2046">
        <v>0</v>
      </c>
      <c r="AF107" s="2046">
        <v>0</v>
      </c>
      <c r="AG107" s="1823">
        <v>0</v>
      </c>
      <c r="AI107" s="649">
        <f t="shared" si="16"/>
        <v>0</v>
      </c>
    </row>
    <row r="108" spans="1:35" x14ac:dyDescent="0.2">
      <c r="A108" s="1129">
        <v>1791</v>
      </c>
      <c r="B108" s="3355" t="s">
        <v>4701</v>
      </c>
      <c r="C108" s="3355"/>
      <c r="D108" t="str">
        <f>IF(SUM(F108:N108)-E108=0,"OK","prob")</f>
        <v>OK</v>
      </c>
      <c r="E108" s="1823">
        <v>0</v>
      </c>
      <c r="F108" s="1823">
        <v>0</v>
      </c>
      <c r="G108" s="1823">
        <v>0</v>
      </c>
      <c r="H108" s="1823">
        <v>0</v>
      </c>
      <c r="I108" s="1823">
        <v>0</v>
      </c>
      <c r="J108" s="1823">
        <v>0</v>
      </c>
      <c r="K108" s="1823">
        <v>0</v>
      </c>
      <c r="L108" s="1823"/>
      <c r="M108" s="1823">
        <v>0</v>
      </c>
      <c r="N108" s="1823">
        <v>0</v>
      </c>
      <c r="O108" s="2046">
        <v>0</v>
      </c>
      <c r="P108" s="2046">
        <v>0</v>
      </c>
      <c r="Q108" s="2046">
        <v>0</v>
      </c>
      <c r="R108" s="2046">
        <v>0</v>
      </c>
      <c r="S108" s="2046">
        <v>0</v>
      </c>
      <c r="T108" s="2046">
        <v>0</v>
      </c>
      <c r="U108" s="2046">
        <v>0</v>
      </c>
      <c r="V108" s="2046">
        <v>0</v>
      </c>
      <c r="W108" s="2046">
        <v>0</v>
      </c>
      <c r="X108" s="2046">
        <v>0</v>
      </c>
      <c r="Y108" s="2046">
        <v>0</v>
      </c>
      <c r="Z108" s="2046">
        <v>0</v>
      </c>
      <c r="AA108" s="2046">
        <v>0</v>
      </c>
      <c r="AB108" s="2046">
        <v>0</v>
      </c>
      <c r="AC108" s="2046">
        <v>0</v>
      </c>
      <c r="AD108" s="2046">
        <v>0</v>
      </c>
      <c r="AE108" s="2046">
        <v>0</v>
      </c>
      <c r="AF108" s="2046">
        <v>0</v>
      </c>
      <c r="AG108" s="1823">
        <v>0</v>
      </c>
      <c r="AI108" s="649">
        <f t="shared" si="16"/>
        <v>0</v>
      </c>
    </row>
    <row r="109" spans="1:35" x14ac:dyDescent="0.2">
      <c r="A109" s="1129">
        <v>1787</v>
      </c>
      <c r="B109" s="3355" t="s">
        <v>1542</v>
      </c>
      <c r="C109" s="3355"/>
      <c r="D109" t="str">
        <f>IF(SUM(F109:N109)-E109=0,"OK","prob")</f>
        <v>OK</v>
      </c>
      <c r="E109" s="1823">
        <v>0</v>
      </c>
      <c r="F109" s="1823">
        <v>0</v>
      </c>
      <c r="G109" s="1823">
        <v>0</v>
      </c>
      <c r="H109" s="1823">
        <v>0</v>
      </c>
      <c r="I109" s="1823">
        <v>0</v>
      </c>
      <c r="J109" s="1823">
        <v>0</v>
      </c>
      <c r="K109" s="1823">
        <v>0</v>
      </c>
      <c r="L109" s="1823"/>
      <c r="M109" s="1823">
        <v>0</v>
      </c>
      <c r="N109" s="1823">
        <v>0</v>
      </c>
      <c r="O109" s="2046">
        <v>0</v>
      </c>
      <c r="P109" s="2046">
        <v>0</v>
      </c>
      <c r="Q109" s="2046">
        <v>0</v>
      </c>
      <c r="R109" s="2046">
        <v>0</v>
      </c>
      <c r="S109" s="2046">
        <v>0</v>
      </c>
      <c r="T109" s="2046">
        <v>0</v>
      </c>
      <c r="U109" s="2046">
        <v>0</v>
      </c>
      <c r="V109" s="2046">
        <v>0</v>
      </c>
      <c r="W109" s="2046">
        <v>0</v>
      </c>
      <c r="X109" s="2046">
        <v>0</v>
      </c>
      <c r="Y109" s="2046">
        <v>0</v>
      </c>
      <c r="Z109" s="2046">
        <v>0</v>
      </c>
      <c r="AA109" s="2046">
        <v>0</v>
      </c>
      <c r="AB109" s="2046">
        <v>0</v>
      </c>
      <c r="AC109" s="2046">
        <v>0</v>
      </c>
      <c r="AD109" s="2046">
        <v>0</v>
      </c>
      <c r="AE109" s="2046">
        <v>0</v>
      </c>
      <c r="AF109" s="2046">
        <v>0</v>
      </c>
      <c r="AG109" s="1823">
        <v>0</v>
      </c>
      <c r="AI109" s="649">
        <f t="shared" si="16"/>
        <v>0</v>
      </c>
    </row>
    <row r="110" spans="1:35" x14ac:dyDescent="0.2">
      <c r="A110" s="1129">
        <v>1730</v>
      </c>
      <c r="B110" s="3206" t="s">
        <v>276</v>
      </c>
      <c r="C110" s="3206"/>
      <c r="D110" t="str">
        <f>IF(ROUND(SUM(F110:N110),2)-ROUND(E110,2)=0,"OK","prob")</f>
        <v>OK</v>
      </c>
      <c r="E110" s="1823">
        <v>449660479.10000002</v>
      </c>
      <c r="F110" s="1823">
        <v>113261097.09999999</v>
      </c>
      <c r="G110" s="1823">
        <v>264751166.5</v>
      </c>
      <c r="H110" s="1823">
        <v>0</v>
      </c>
      <c r="I110" s="1823">
        <v>12343878.75</v>
      </c>
      <c r="J110" s="1823">
        <v>8182335</v>
      </c>
      <c r="K110" s="1823">
        <v>40554281.75</v>
      </c>
      <c r="L110" s="1823"/>
      <c r="M110" s="1823">
        <v>10567720</v>
      </c>
      <c r="N110" s="1823">
        <v>0</v>
      </c>
      <c r="O110" s="2046">
        <v>0</v>
      </c>
      <c r="P110" s="2046">
        <v>15842023.42</v>
      </c>
      <c r="Q110" s="2046">
        <v>0</v>
      </c>
      <c r="R110" s="2046">
        <v>1657.78</v>
      </c>
      <c r="S110" s="2046">
        <v>0</v>
      </c>
      <c r="T110" s="2046">
        <v>0</v>
      </c>
      <c r="U110" s="2046">
        <v>0</v>
      </c>
      <c r="V110" s="2046">
        <v>1012933.72</v>
      </c>
      <c r="W110" s="2046">
        <v>0</v>
      </c>
      <c r="X110" s="2046">
        <v>6101.66</v>
      </c>
      <c r="Y110" s="2046">
        <v>0</v>
      </c>
      <c r="Z110" s="2046">
        <v>0</v>
      </c>
      <c r="AA110" s="2046">
        <v>46822.58</v>
      </c>
      <c r="AB110" s="2046">
        <v>0</v>
      </c>
      <c r="AC110" s="2046">
        <v>69530.59</v>
      </c>
      <c r="AD110" s="2046">
        <v>0</v>
      </c>
      <c r="AE110" s="2046">
        <v>6803.53</v>
      </c>
      <c r="AF110" s="2046">
        <v>0</v>
      </c>
      <c r="AG110" s="1823">
        <v>0</v>
      </c>
      <c r="AI110" s="649">
        <f t="shared" si="16"/>
        <v>466646352.38</v>
      </c>
    </row>
    <row r="111" spans="1:35" x14ac:dyDescent="0.2">
      <c r="A111" s="1129">
        <v>1735</v>
      </c>
      <c r="B111" s="3206" t="s">
        <v>1543</v>
      </c>
      <c r="C111" s="3206"/>
      <c r="D111" t="str">
        <f t="shared" ref="D111:D118" si="17">IF(SUM(F111:N111)-E111=0,"OK","prob")</f>
        <v>OK</v>
      </c>
      <c r="E111" s="1823">
        <v>0</v>
      </c>
      <c r="F111" s="1823">
        <v>0</v>
      </c>
      <c r="G111" s="1823">
        <v>0</v>
      </c>
      <c r="H111" s="1823">
        <v>0</v>
      </c>
      <c r="I111" s="1823">
        <v>0</v>
      </c>
      <c r="J111" s="1823">
        <v>0</v>
      </c>
      <c r="K111" s="1823">
        <v>0</v>
      </c>
      <c r="L111" s="1823"/>
      <c r="M111" s="1823">
        <v>0</v>
      </c>
      <c r="N111" s="1823">
        <v>0</v>
      </c>
      <c r="O111" s="2046">
        <v>0</v>
      </c>
      <c r="P111" s="2046">
        <v>12433614.41</v>
      </c>
      <c r="Q111" s="2046">
        <v>0</v>
      </c>
      <c r="R111" s="2046">
        <v>0</v>
      </c>
      <c r="S111" s="2046">
        <v>70879731</v>
      </c>
      <c r="T111" s="2046">
        <v>887907.17</v>
      </c>
      <c r="U111" s="2046">
        <v>0</v>
      </c>
      <c r="V111" s="2046">
        <v>0</v>
      </c>
      <c r="W111" s="2046">
        <v>76994</v>
      </c>
      <c r="X111" s="2046">
        <v>0</v>
      </c>
      <c r="Y111" s="2046">
        <v>0</v>
      </c>
      <c r="Z111" s="2046">
        <v>0</v>
      </c>
      <c r="AA111" s="2046">
        <v>0</v>
      </c>
      <c r="AB111" s="2046">
        <v>0</v>
      </c>
      <c r="AC111" s="2046">
        <v>0</v>
      </c>
      <c r="AD111" s="2046">
        <v>0</v>
      </c>
      <c r="AE111" s="2046">
        <v>0</v>
      </c>
      <c r="AF111" s="2046">
        <v>0</v>
      </c>
      <c r="AG111" s="1823">
        <v>0</v>
      </c>
      <c r="AI111" s="649">
        <f t="shared" si="16"/>
        <v>84278246.579999998</v>
      </c>
    </row>
    <row r="112" spans="1:35" x14ac:dyDescent="0.2">
      <c r="A112" s="1129">
        <v>1740</v>
      </c>
      <c r="B112" s="3206" t="s">
        <v>699</v>
      </c>
      <c r="C112" s="3206"/>
      <c r="D112" t="str">
        <f t="shared" si="17"/>
        <v>OK</v>
      </c>
      <c r="E112" s="1823">
        <v>14155630.82</v>
      </c>
      <c r="F112" s="1823">
        <v>11086197.42</v>
      </c>
      <c r="G112" s="1823">
        <v>3069433.4</v>
      </c>
      <c r="H112" s="1823">
        <v>0</v>
      </c>
      <c r="I112" s="1823">
        <v>0</v>
      </c>
      <c r="J112" s="1823">
        <v>0</v>
      </c>
      <c r="K112" s="1823">
        <v>0</v>
      </c>
      <c r="L112" s="1823"/>
      <c r="M112" s="1823">
        <v>0</v>
      </c>
      <c r="N112" s="1823">
        <v>0</v>
      </c>
      <c r="O112" s="2046">
        <v>1726011.59</v>
      </c>
      <c r="P112" s="2046">
        <v>0</v>
      </c>
      <c r="Q112" s="2046">
        <v>10656897.43</v>
      </c>
      <c r="R112" s="2046">
        <v>0</v>
      </c>
      <c r="S112" s="2046">
        <v>0</v>
      </c>
      <c r="T112" s="2046">
        <v>0</v>
      </c>
      <c r="U112" s="2046">
        <v>0</v>
      </c>
      <c r="V112" s="2046">
        <v>6365590.7800000003</v>
      </c>
      <c r="W112" s="2046">
        <v>0</v>
      </c>
      <c r="X112" s="2046">
        <v>0</v>
      </c>
      <c r="Y112" s="2046">
        <v>0</v>
      </c>
      <c r="Z112" s="2046">
        <v>990579.37</v>
      </c>
      <c r="AA112" s="2046">
        <v>0</v>
      </c>
      <c r="AB112" s="2046">
        <v>0</v>
      </c>
      <c r="AC112" s="2046">
        <v>0</v>
      </c>
      <c r="AD112" s="2046">
        <v>89057.04</v>
      </c>
      <c r="AE112" s="2046">
        <v>0</v>
      </c>
      <c r="AF112" s="2046">
        <v>0</v>
      </c>
      <c r="AG112" s="1823">
        <v>0</v>
      </c>
      <c r="AI112" s="649">
        <f t="shared" si="16"/>
        <v>33983767.030000001</v>
      </c>
    </row>
    <row r="113" spans="1:35" x14ac:dyDescent="0.2">
      <c r="A113" s="335">
        <v>1890</v>
      </c>
      <c r="B113" s="3206" t="s">
        <v>569</v>
      </c>
      <c r="C113" s="3206"/>
      <c r="D113" s="2078" t="str">
        <f t="shared" si="17"/>
        <v>prob</v>
      </c>
      <c r="E113" s="649">
        <v>404995229.91000003</v>
      </c>
      <c r="F113" s="649">
        <v>148995875</v>
      </c>
      <c r="G113" s="649">
        <v>330140570</v>
      </c>
      <c r="H113" s="649">
        <v>0</v>
      </c>
      <c r="I113" s="649">
        <v>92918652.079999998</v>
      </c>
      <c r="J113" s="649">
        <v>1159850.76</v>
      </c>
      <c r="K113" s="649">
        <v>5981506.4500000002</v>
      </c>
      <c r="L113" s="649"/>
      <c r="M113" s="649">
        <v>6300563.29</v>
      </c>
      <c r="N113" s="649">
        <v>10864101.33</v>
      </c>
      <c r="O113" s="393">
        <v>7571152.5</v>
      </c>
      <c r="P113" s="393">
        <v>122820516.78</v>
      </c>
      <c r="Q113" s="393">
        <v>70572285.560000002</v>
      </c>
      <c r="R113" s="393">
        <v>6667775.4199999999</v>
      </c>
      <c r="S113" s="393">
        <v>19700281.780000001</v>
      </c>
      <c r="T113" s="393">
        <v>2956604.23</v>
      </c>
      <c r="U113" s="393">
        <v>18197663.5</v>
      </c>
      <c r="V113" s="393">
        <v>23867145.27</v>
      </c>
      <c r="W113" s="393">
        <v>3808277.57</v>
      </c>
      <c r="X113" s="393">
        <v>7325846.8099999996</v>
      </c>
      <c r="Y113" s="393">
        <v>15345697.220000001</v>
      </c>
      <c r="Z113" s="393">
        <v>3405399.42</v>
      </c>
      <c r="AA113" s="393">
        <v>6219669.6100000003</v>
      </c>
      <c r="AB113" s="393">
        <v>1850454.39</v>
      </c>
      <c r="AC113" s="393">
        <v>3871887.12</v>
      </c>
      <c r="AD113" s="393">
        <v>3211716.48</v>
      </c>
      <c r="AE113" s="393">
        <v>460809.41</v>
      </c>
      <c r="AF113" s="393">
        <v>815511.42</v>
      </c>
      <c r="AG113" s="649">
        <v>41342.79</v>
      </c>
      <c r="AI113" s="649">
        <f t="shared" si="16"/>
        <v>915029813.39999998</v>
      </c>
    </row>
    <row r="114" spans="1:35" x14ac:dyDescent="0.2">
      <c r="A114" s="335">
        <v>1750</v>
      </c>
      <c r="B114" s="3206" t="s">
        <v>277</v>
      </c>
      <c r="C114" s="3206"/>
      <c r="D114" t="str">
        <f t="shared" si="17"/>
        <v>OK</v>
      </c>
      <c r="E114" s="649">
        <v>0</v>
      </c>
      <c r="F114" s="649">
        <v>0</v>
      </c>
      <c r="G114" s="649">
        <v>0</v>
      </c>
      <c r="H114" s="649">
        <v>0</v>
      </c>
      <c r="I114" s="649">
        <v>0</v>
      </c>
      <c r="J114" s="649">
        <v>0</v>
      </c>
      <c r="K114" s="649">
        <v>0</v>
      </c>
      <c r="L114" s="649"/>
      <c r="M114" s="649">
        <v>0</v>
      </c>
      <c r="N114" s="649">
        <v>0</v>
      </c>
      <c r="O114" s="393">
        <v>0</v>
      </c>
      <c r="P114" s="393">
        <v>0</v>
      </c>
      <c r="Q114" s="393">
        <v>0</v>
      </c>
      <c r="R114" s="393">
        <v>0</v>
      </c>
      <c r="S114" s="393">
        <v>0</v>
      </c>
      <c r="T114" s="393">
        <v>0</v>
      </c>
      <c r="U114" s="393">
        <v>0</v>
      </c>
      <c r="V114" s="393">
        <v>0</v>
      </c>
      <c r="W114" s="393">
        <v>0</v>
      </c>
      <c r="X114" s="393">
        <v>0</v>
      </c>
      <c r="Y114" s="393">
        <v>0</v>
      </c>
      <c r="Z114" s="393">
        <v>0</v>
      </c>
      <c r="AA114" s="393">
        <v>0</v>
      </c>
      <c r="AB114" s="393">
        <v>0</v>
      </c>
      <c r="AC114" s="393">
        <v>0</v>
      </c>
      <c r="AD114" s="393">
        <v>0</v>
      </c>
      <c r="AE114" s="393">
        <v>0</v>
      </c>
      <c r="AF114" s="393">
        <v>0</v>
      </c>
      <c r="AG114" s="649">
        <v>0</v>
      </c>
      <c r="AI114" s="649">
        <f t="shared" si="16"/>
        <v>0</v>
      </c>
    </row>
    <row r="115" spans="1:35" x14ac:dyDescent="0.2">
      <c r="A115" s="335">
        <v>1760</v>
      </c>
      <c r="B115" s="3206" t="s">
        <v>1402</v>
      </c>
      <c r="C115" s="3206"/>
      <c r="D115" t="str">
        <f t="shared" si="17"/>
        <v>OK</v>
      </c>
      <c r="E115" s="649">
        <v>0</v>
      </c>
      <c r="F115" s="649">
        <v>0</v>
      </c>
      <c r="G115" s="649">
        <v>0</v>
      </c>
      <c r="H115" s="649">
        <v>0</v>
      </c>
      <c r="I115" s="649">
        <v>0</v>
      </c>
      <c r="J115" s="649">
        <v>0</v>
      </c>
      <c r="K115" s="649">
        <v>0</v>
      </c>
      <c r="L115" s="649"/>
      <c r="M115" s="649">
        <v>0</v>
      </c>
      <c r="N115" s="649">
        <v>0</v>
      </c>
      <c r="O115" s="393">
        <v>0</v>
      </c>
      <c r="P115" s="393">
        <v>0</v>
      </c>
      <c r="Q115" s="393">
        <v>0</v>
      </c>
      <c r="R115" s="393">
        <v>0</v>
      </c>
      <c r="S115" s="393">
        <v>0</v>
      </c>
      <c r="T115" s="393">
        <v>0</v>
      </c>
      <c r="U115" s="393">
        <v>0</v>
      </c>
      <c r="V115" s="393">
        <v>0</v>
      </c>
      <c r="W115" s="393">
        <v>0</v>
      </c>
      <c r="X115" s="393">
        <v>0</v>
      </c>
      <c r="Y115" s="393">
        <v>0</v>
      </c>
      <c r="Z115" s="393">
        <v>0</v>
      </c>
      <c r="AA115" s="393">
        <v>0</v>
      </c>
      <c r="AB115" s="393">
        <v>0</v>
      </c>
      <c r="AC115" s="393">
        <v>0</v>
      </c>
      <c r="AD115" s="393">
        <v>0</v>
      </c>
      <c r="AE115" s="393">
        <v>0</v>
      </c>
      <c r="AF115" s="393">
        <v>0</v>
      </c>
      <c r="AG115" s="649">
        <v>0</v>
      </c>
      <c r="AI115" s="649">
        <f t="shared" si="16"/>
        <v>0</v>
      </c>
    </row>
    <row r="116" spans="1:35" x14ac:dyDescent="0.2">
      <c r="A116" s="335">
        <v>1870</v>
      </c>
      <c r="B116" s="3206" t="s">
        <v>739</v>
      </c>
      <c r="C116" s="3206"/>
      <c r="D116" t="str">
        <f t="shared" si="17"/>
        <v>OK</v>
      </c>
      <c r="E116" s="649">
        <v>0</v>
      </c>
      <c r="F116" s="649">
        <v>0</v>
      </c>
      <c r="G116" s="649">
        <v>0</v>
      </c>
      <c r="H116" s="649">
        <v>0</v>
      </c>
      <c r="I116" s="649">
        <v>0</v>
      </c>
      <c r="J116" s="649">
        <v>0</v>
      </c>
      <c r="K116" s="649">
        <v>0</v>
      </c>
      <c r="L116" s="649"/>
      <c r="M116" s="649">
        <v>0</v>
      </c>
      <c r="N116" s="649">
        <v>0</v>
      </c>
      <c r="O116" s="393">
        <v>0</v>
      </c>
      <c r="P116" s="393">
        <v>16544501.17</v>
      </c>
      <c r="Q116" s="393">
        <v>0</v>
      </c>
      <c r="R116" s="393">
        <v>682710</v>
      </c>
      <c r="S116" s="393">
        <v>1912524.36</v>
      </c>
      <c r="T116" s="393">
        <v>0</v>
      </c>
      <c r="U116" s="393">
        <v>55028.480000000003</v>
      </c>
      <c r="V116" s="393">
        <v>1673020.31</v>
      </c>
      <c r="W116" s="393">
        <v>0</v>
      </c>
      <c r="X116" s="393">
        <v>0</v>
      </c>
      <c r="Y116" s="393">
        <v>252315.01</v>
      </c>
      <c r="Z116" s="393">
        <v>6628.1</v>
      </c>
      <c r="AA116" s="393">
        <v>0</v>
      </c>
      <c r="AB116" s="393">
        <v>0</v>
      </c>
      <c r="AC116" s="393">
        <v>0</v>
      </c>
      <c r="AD116" s="393">
        <v>0</v>
      </c>
      <c r="AE116" s="393">
        <v>0</v>
      </c>
      <c r="AF116" s="393">
        <v>32071.02</v>
      </c>
      <c r="AG116" s="649">
        <v>0</v>
      </c>
      <c r="AI116" s="649">
        <f t="shared" si="16"/>
        <v>21158798.449999999</v>
      </c>
    </row>
    <row r="117" spans="1:35" x14ac:dyDescent="0.2">
      <c r="A117" s="335">
        <v>1880</v>
      </c>
      <c r="B117" s="3206" t="s">
        <v>701</v>
      </c>
      <c r="C117" s="3206"/>
      <c r="D117" t="str">
        <f t="shared" si="17"/>
        <v>OK</v>
      </c>
      <c r="E117" s="649">
        <v>12011078.32</v>
      </c>
      <c r="F117" s="649">
        <v>0</v>
      </c>
      <c r="G117" s="649">
        <v>0</v>
      </c>
      <c r="H117" s="649">
        <v>0</v>
      </c>
      <c r="I117" s="649">
        <v>12011078.32</v>
      </c>
      <c r="J117" s="649">
        <v>0</v>
      </c>
      <c r="K117" s="649">
        <v>0</v>
      </c>
      <c r="L117" s="649"/>
      <c r="M117" s="649">
        <v>0</v>
      </c>
      <c r="N117" s="649">
        <v>0</v>
      </c>
      <c r="O117" s="393">
        <v>0</v>
      </c>
      <c r="P117" s="393">
        <v>1236692.32</v>
      </c>
      <c r="Q117" s="393">
        <v>0</v>
      </c>
      <c r="R117" s="393">
        <v>38355.14</v>
      </c>
      <c r="S117" s="393">
        <v>3346.58</v>
      </c>
      <c r="T117" s="393">
        <v>5000</v>
      </c>
      <c r="U117" s="393">
        <v>8601.41</v>
      </c>
      <c r="V117" s="393">
        <v>0</v>
      </c>
      <c r="W117" s="393">
        <v>0</v>
      </c>
      <c r="X117" s="393">
        <v>0</v>
      </c>
      <c r="Y117" s="393">
        <v>824917.21</v>
      </c>
      <c r="Z117" s="393">
        <v>0</v>
      </c>
      <c r="AA117" s="393">
        <v>0</v>
      </c>
      <c r="AB117" s="393">
        <v>0</v>
      </c>
      <c r="AC117" s="393">
        <v>0</v>
      </c>
      <c r="AD117" s="393">
        <v>125842.38</v>
      </c>
      <c r="AE117" s="393">
        <v>0</v>
      </c>
      <c r="AF117" s="393">
        <v>0</v>
      </c>
      <c r="AG117" s="649">
        <v>0</v>
      </c>
      <c r="AI117" s="649">
        <f t="shared" si="16"/>
        <v>14253833.359999999</v>
      </c>
    </row>
    <row r="118" spans="1:35" x14ac:dyDescent="0.2">
      <c r="A118" s="335">
        <v>1762</v>
      </c>
      <c r="B118" s="3206" t="s">
        <v>1347</v>
      </c>
      <c r="C118" s="3206"/>
      <c r="D118" t="str">
        <f t="shared" si="17"/>
        <v>OK</v>
      </c>
      <c r="E118" s="649">
        <v>0</v>
      </c>
      <c r="F118" s="649">
        <v>0</v>
      </c>
      <c r="G118" s="649">
        <v>0</v>
      </c>
      <c r="H118" s="649">
        <v>0</v>
      </c>
      <c r="I118" s="649">
        <v>0</v>
      </c>
      <c r="J118" s="649">
        <v>0</v>
      </c>
      <c r="K118" s="649">
        <v>0</v>
      </c>
      <c r="L118" s="649"/>
      <c r="M118" s="649">
        <v>0</v>
      </c>
      <c r="N118" s="649">
        <v>0</v>
      </c>
      <c r="O118" s="393">
        <v>0</v>
      </c>
      <c r="P118" s="393">
        <v>0</v>
      </c>
      <c r="Q118" s="393">
        <v>0</v>
      </c>
      <c r="R118" s="393">
        <v>0</v>
      </c>
      <c r="S118" s="393">
        <v>0</v>
      </c>
      <c r="T118" s="393">
        <v>0</v>
      </c>
      <c r="U118" s="393">
        <v>0</v>
      </c>
      <c r="V118" s="393">
        <v>0</v>
      </c>
      <c r="W118" s="393">
        <v>0</v>
      </c>
      <c r="X118" s="393">
        <v>0</v>
      </c>
      <c r="Y118" s="393">
        <v>0</v>
      </c>
      <c r="Z118" s="393">
        <v>0</v>
      </c>
      <c r="AA118" s="393">
        <v>0</v>
      </c>
      <c r="AB118" s="393">
        <v>0</v>
      </c>
      <c r="AC118" s="393">
        <v>0</v>
      </c>
      <c r="AD118" s="393">
        <v>0</v>
      </c>
      <c r="AE118" s="393">
        <v>0</v>
      </c>
      <c r="AF118" s="393">
        <v>0</v>
      </c>
      <c r="AG118" s="649">
        <v>0</v>
      </c>
      <c r="AI118" s="649">
        <f t="shared" si="16"/>
        <v>0</v>
      </c>
    </row>
    <row r="119" spans="1:35" x14ac:dyDescent="0.2">
      <c r="A119" s="1129">
        <v>1775</v>
      </c>
      <c r="B119" s="3206" t="s">
        <v>4633</v>
      </c>
      <c r="C119" s="3206"/>
      <c r="D119" t="str">
        <f>IF(ROUND(SUM(F119:N119),2)-ROUND(E119,2)=0,"OK","prob")</f>
        <v>OK</v>
      </c>
      <c r="E119" s="1823">
        <v>8631924.8699999992</v>
      </c>
      <c r="F119" s="1823">
        <v>0</v>
      </c>
      <c r="G119" s="1823">
        <v>3263449.52</v>
      </c>
      <c r="H119" s="1823">
        <v>0</v>
      </c>
      <c r="I119" s="1823">
        <v>1857960.64</v>
      </c>
      <c r="J119" s="1823">
        <v>1172110.71</v>
      </c>
      <c r="K119" s="1823">
        <v>0</v>
      </c>
      <c r="L119" s="1823"/>
      <c r="M119" s="1823">
        <v>0</v>
      </c>
      <c r="N119" s="1823">
        <v>2338404</v>
      </c>
      <c r="O119" s="2046">
        <v>94607.72</v>
      </c>
      <c r="P119" s="2046">
        <v>1552809.85</v>
      </c>
      <c r="Q119" s="2046">
        <v>5500029.2999999998</v>
      </c>
      <c r="R119" s="2046">
        <v>237649</v>
      </c>
      <c r="S119" s="2046">
        <v>1105118.9099999999</v>
      </c>
      <c r="T119" s="2046">
        <v>494522.43</v>
      </c>
      <c r="U119" s="2046">
        <v>790176.63</v>
      </c>
      <c r="V119" s="2046">
        <v>956718.78</v>
      </c>
      <c r="W119" s="2046">
        <v>531747.74</v>
      </c>
      <c r="X119" s="2046">
        <v>533815.39</v>
      </c>
      <c r="Y119" s="2046">
        <v>1827023.85</v>
      </c>
      <c r="Z119" s="2046">
        <v>856837.85</v>
      </c>
      <c r="AA119" s="2046">
        <v>561923.82999999996</v>
      </c>
      <c r="AB119" s="2046">
        <v>712534.18</v>
      </c>
      <c r="AC119" s="2046">
        <v>659823.24</v>
      </c>
      <c r="AD119" s="2046">
        <v>1391244.85</v>
      </c>
      <c r="AE119" s="2046">
        <v>300501.31</v>
      </c>
      <c r="AF119" s="2046">
        <v>637508.47</v>
      </c>
      <c r="AG119" s="1823">
        <v>0</v>
      </c>
      <c r="AI119" s="649">
        <f t="shared" si="16"/>
        <v>27376518.199999999</v>
      </c>
    </row>
    <row r="120" spans="1:35" x14ac:dyDescent="0.2">
      <c r="A120" s="1129">
        <v>1780</v>
      </c>
      <c r="B120" s="3307" t="s">
        <v>5536</v>
      </c>
      <c r="C120" s="3307"/>
      <c r="D120" t="str">
        <f t="shared" ref="D120:D131" si="18">IF(SUM(F120:N120)-E120=0,"OK","prob")</f>
        <v>OK</v>
      </c>
      <c r="E120" s="1823">
        <v>465925.93</v>
      </c>
      <c r="F120" s="1823">
        <v>0</v>
      </c>
      <c r="G120" s="1823">
        <v>0</v>
      </c>
      <c r="H120" s="1823">
        <v>0</v>
      </c>
      <c r="I120" s="1823">
        <v>142866.35999999999</v>
      </c>
      <c r="J120" s="1823">
        <v>0</v>
      </c>
      <c r="K120" s="1823">
        <v>0</v>
      </c>
      <c r="L120" s="1823"/>
      <c r="M120" s="1823">
        <v>0</v>
      </c>
      <c r="N120" s="1823">
        <v>323059.57</v>
      </c>
      <c r="O120" s="2046">
        <v>0</v>
      </c>
      <c r="P120" s="2046">
        <v>296443.63</v>
      </c>
      <c r="Q120" s="2046">
        <v>114643</v>
      </c>
      <c r="R120" s="2046">
        <v>0</v>
      </c>
      <c r="S120" s="2046">
        <v>0</v>
      </c>
      <c r="T120" s="2046">
        <v>0</v>
      </c>
      <c r="U120" s="2046">
        <v>163221.87</v>
      </c>
      <c r="V120" s="2046">
        <v>258973.42</v>
      </c>
      <c r="W120" s="2046">
        <v>0</v>
      </c>
      <c r="X120" s="2046">
        <v>586432.65</v>
      </c>
      <c r="Y120" s="2046">
        <v>0</v>
      </c>
      <c r="Z120" s="2046">
        <v>31506.65</v>
      </c>
      <c r="AA120" s="2046">
        <v>1770000</v>
      </c>
      <c r="AB120" s="2046">
        <v>0</v>
      </c>
      <c r="AC120" s="2046">
        <v>299851.45</v>
      </c>
      <c r="AD120" s="2046">
        <v>58121.67</v>
      </c>
      <c r="AE120" s="2046">
        <v>0</v>
      </c>
      <c r="AF120" s="2046">
        <v>0</v>
      </c>
      <c r="AG120" s="1823">
        <v>0</v>
      </c>
      <c r="AI120" s="649">
        <f t="shared" si="16"/>
        <v>4045120.27</v>
      </c>
    </row>
    <row r="121" spans="1:35" x14ac:dyDescent="0.2">
      <c r="A121" s="1129">
        <v>1800</v>
      </c>
      <c r="B121" s="3206" t="s">
        <v>1544</v>
      </c>
      <c r="C121" s="3206"/>
      <c r="D121" t="str">
        <f t="shared" si="18"/>
        <v>OK</v>
      </c>
      <c r="E121" s="1823">
        <v>23485000</v>
      </c>
      <c r="F121" s="1823">
        <v>14700000</v>
      </c>
      <c r="G121" s="1823">
        <v>0</v>
      </c>
      <c r="H121" s="1823">
        <v>0</v>
      </c>
      <c r="I121" s="1823">
        <v>8785000</v>
      </c>
      <c r="J121" s="1823">
        <v>0</v>
      </c>
      <c r="K121" s="1823">
        <v>0</v>
      </c>
      <c r="L121" s="1823"/>
      <c r="M121" s="1823">
        <v>0</v>
      </c>
      <c r="N121" s="1823">
        <v>0</v>
      </c>
      <c r="O121" s="2046">
        <v>0</v>
      </c>
      <c r="P121" s="2046">
        <v>104885000</v>
      </c>
      <c r="Q121" s="2046">
        <v>20763612</v>
      </c>
      <c r="R121" s="2046">
        <v>14540905.640000001</v>
      </c>
      <c r="S121" s="2046">
        <v>19070000</v>
      </c>
      <c r="T121" s="2046">
        <v>2257500</v>
      </c>
      <c r="U121" s="2046">
        <v>9663000</v>
      </c>
      <c r="V121" s="2046">
        <v>15400000</v>
      </c>
      <c r="W121" s="2046">
        <v>2520000</v>
      </c>
      <c r="X121" s="2046">
        <v>5355000</v>
      </c>
      <c r="Y121" s="2046">
        <v>13922000</v>
      </c>
      <c r="Z121" s="2046">
        <v>2045035.61</v>
      </c>
      <c r="AA121" s="2046">
        <v>1570000</v>
      </c>
      <c r="AB121" s="2046">
        <v>75000</v>
      </c>
      <c r="AC121" s="2046">
        <v>1721000</v>
      </c>
      <c r="AD121" s="2046">
        <v>4050000</v>
      </c>
      <c r="AE121" s="2046">
        <v>346000</v>
      </c>
      <c r="AF121" s="2046">
        <v>0</v>
      </c>
      <c r="AG121" s="1823">
        <v>0</v>
      </c>
      <c r="AI121" s="649">
        <f t="shared" si="16"/>
        <v>241669053.25</v>
      </c>
    </row>
    <row r="122" spans="1:35" x14ac:dyDescent="0.2">
      <c r="A122" s="1129">
        <v>1850</v>
      </c>
      <c r="B122" s="3206" t="s">
        <v>1165</v>
      </c>
      <c r="C122" s="3206"/>
      <c r="D122" t="str">
        <f t="shared" si="18"/>
        <v>OK</v>
      </c>
      <c r="E122" s="1823">
        <v>0</v>
      </c>
      <c r="F122" s="1823">
        <v>0</v>
      </c>
      <c r="G122" s="1823">
        <v>0</v>
      </c>
      <c r="H122" s="1823">
        <v>0</v>
      </c>
      <c r="I122" s="1823">
        <v>0</v>
      </c>
      <c r="J122" s="1823">
        <v>0</v>
      </c>
      <c r="K122" s="1823">
        <v>0</v>
      </c>
      <c r="L122" s="1823"/>
      <c r="M122" s="1823">
        <v>0</v>
      </c>
      <c r="N122" s="1823">
        <v>0</v>
      </c>
      <c r="O122" s="2046">
        <v>0</v>
      </c>
      <c r="P122" s="2046">
        <v>0</v>
      </c>
      <c r="Q122" s="2046">
        <v>0</v>
      </c>
      <c r="R122" s="2046">
        <v>0</v>
      </c>
      <c r="S122" s="2046">
        <v>0</v>
      </c>
      <c r="T122" s="2046">
        <v>0</v>
      </c>
      <c r="U122" s="2046">
        <v>0</v>
      </c>
      <c r="V122" s="2046">
        <v>0</v>
      </c>
      <c r="W122" s="2046">
        <v>0</v>
      </c>
      <c r="X122" s="2046">
        <v>0</v>
      </c>
      <c r="Y122" s="2046">
        <v>0</v>
      </c>
      <c r="Z122" s="2046">
        <v>0</v>
      </c>
      <c r="AA122" s="2046">
        <v>0</v>
      </c>
      <c r="AB122" s="2046">
        <v>0</v>
      </c>
      <c r="AC122" s="2046">
        <v>0</v>
      </c>
      <c r="AD122" s="2046">
        <v>0</v>
      </c>
      <c r="AE122" s="2046">
        <v>0</v>
      </c>
      <c r="AF122" s="2046">
        <v>0</v>
      </c>
      <c r="AG122" s="1823">
        <v>0</v>
      </c>
      <c r="AI122" s="649">
        <f t="shared" si="16"/>
        <v>0</v>
      </c>
    </row>
    <row r="123" spans="1:35" x14ac:dyDescent="0.2">
      <c r="A123" s="1129">
        <v>1851</v>
      </c>
      <c r="B123" s="3206" t="s">
        <v>3805</v>
      </c>
      <c r="C123" s="3206"/>
      <c r="D123" t="str">
        <f t="shared" si="18"/>
        <v>OK</v>
      </c>
      <c r="E123" s="1823">
        <v>0</v>
      </c>
      <c r="F123" s="1823">
        <v>0</v>
      </c>
      <c r="G123" s="1823">
        <v>0</v>
      </c>
      <c r="H123" s="1823">
        <v>0</v>
      </c>
      <c r="I123" s="1823">
        <v>0</v>
      </c>
      <c r="J123" s="1823">
        <v>0</v>
      </c>
      <c r="K123" s="1823">
        <v>0</v>
      </c>
      <c r="L123" s="1823"/>
      <c r="M123" s="1823">
        <v>0</v>
      </c>
      <c r="N123" s="1823">
        <v>0</v>
      </c>
      <c r="O123" s="2046">
        <v>248431.52</v>
      </c>
      <c r="P123" s="2046">
        <v>2777077.64</v>
      </c>
      <c r="Q123" s="2046">
        <v>1626091</v>
      </c>
      <c r="R123" s="2046">
        <v>956386</v>
      </c>
      <c r="S123" s="2046">
        <v>676029.48</v>
      </c>
      <c r="T123" s="2046">
        <v>4660.1000000000004</v>
      </c>
      <c r="U123" s="2046">
        <v>355138.08</v>
      </c>
      <c r="V123" s="2046">
        <v>1046665.55</v>
      </c>
      <c r="W123" s="2046">
        <v>661554.05000000005</v>
      </c>
      <c r="X123" s="2046">
        <v>178194.42</v>
      </c>
      <c r="Y123" s="2046">
        <v>215896.29</v>
      </c>
      <c r="Z123" s="2046">
        <v>2616286.19</v>
      </c>
      <c r="AA123" s="2046">
        <v>360963</v>
      </c>
      <c r="AB123" s="2046">
        <v>233549</v>
      </c>
      <c r="AC123" s="2046">
        <v>313997.93</v>
      </c>
      <c r="AD123" s="2046">
        <v>425896.01</v>
      </c>
      <c r="AE123" s="2046">
        <v>167942.52</v>
      </c>
      <c r="AF123" s="2046">
        <v>0</v>
      </c>
      <c r="AG123" s="1823">
        <v>0</v>
      </c>
      <c r="AI123" s="649">
        <f t="shared" si="16"/>
        <v>12864758.779999999</v>
      </c>
    </row>
    <row r="124" spans="1:35" x14ac:dyDescent="0.2">
      <c r="A124" s="1129">
        <v>1786</v>
      </c>
      <c r="B124" s="3206" t="s">
        <v>1545</v>
      </c>
      <c r="C124" s="3206"/>
      <c r="D124" t="str">
        <f t="shared" si="18"/>
        <v>OK</v>
      </c>
      <c r="E124" s="1823">
        <v>0</v>
      </c>
      <c r="F124" s="1823">
        <v>0</v>
      </c>
      <c r="G124" s="1823">
        <v>0</v>
      </c>
      <c r="H124" s="1823">
        <v>0</v>
      </c>
      <c r="I124" s="1823">
        <v>0</v>
      </c>
      <c r="J124" s="1823">
        <v>0</v>
      </c>
      <c r="K124" s="1823">
        <v>0</v>
      </c>
      <c r="L124" s="1823"/>
      <c r="M124" s="1823">
        <v>0</v>
      </c>
      <c r="N124" s="1823">
        <v>0</v>
      </c>
      <c r="O124" s="2046">
        <v>0</v>
      </c>
      <c r="P124" s="2046">
        <v>879901.21</v>
      </c>
      <c r="Q124" s="2046">
        <v>0</v>
      </c>
      <c r="R124" s="2046">
        <v>0</v>
      </c>
      <c r="S124" s="2046">
        <v>0</v>
      </c>
      <c r="T124" s="2046">
        <v>0</v>
      </c>
      <c r="U124" s="2046">
        <v>0</v>
      </c>
      <c r="V124" s="2046">
        <v>0</v>
      </c>
      <c r="W124" s="2046">
        <v>0</v>
      </c>
      <c r="X124" s="2046">
        <v>0</v>
      </c>
      <c r="Y124" s="2046">
        <v>0</v>
      </c>
      <c r="Z124" s="2046">
        <v>0</v>
      </c>
      <c r="AA124" s="2046">
        <v>0</v>
      </c>
      <c r="AB124" s="2046">
        <v>0</v>
      </c>
      <c r="AC124" s="2046">
        <v>0</v>
      </c>
      <c r="AD124" s="2046">
        <v>0</v>
      </c>
      <c r="AE124" s="2046">
        <v>0</v>
      </c>
      <c r="AF124" s="2046">
        <v>0</v>
      </c>
      <c r="AG124" s="1823">
        <v>0</v>
      </c>
      <c r="AI124" s="649">
        <f t="shared" si="16"/>
        <v>879901.21</v>
      </c>
    </row>
    <row r="125" spans="1:35" x14ac:dyDescent="0.2">
      <c r="A125" s="1129">
        <v>1855</v>
      </c>
      <c r="B125" s="3206" t="s">
        <v>1295</v>
      </c>
      <c r="C125" s="3206"/>
      <c r="D125" t="str">
        <f t="shared" si="18"/>
        <v>OK</v>
      </c>
      <c r="E125" s="1823">
        <v>0</v>
      </c>
      <c r="F125" s="1823">
        <v>0</v>
      </c>
      <c r="G125" s="1823">
        <v>0</v>
      </c>
      <c r="H125" s="1823">
        <v>0</v>
      </c>
      <c r="I125" s="1823">
        <v>0</v>
      </c>
      <c r="J125" s="1823">
        <v>0</v>
      </c>
      <c r="K125" s="1823">
        <v>0</v>
      </c>
      <c r="L125" s="1823"/>
      <c r="M125" s="1823">
        <v>0</v>
      </c>
      <c r="N125" s="1823">
        <v>0</v>
      </c>
      <c r="O125" s="2046">
        <v>0</v>
      </c>
      <c r="P125" s="2046">
        <v>0</v>
      </c>
      <c r="Q125" s="2046">
        <v>104929.9</v>
      </c>
      <c r="R125" s="2046">
        <v>0</v>
      </c>
      <c r="S125" s="2046">
        <v>0</v>
      </c>
      <c r="T125" s="2046">
        <v>0</v>
      </c>
      <c r="U125" s="2046">
        <v>0</v>
      </c>
      <c r="V125" s="2046">
        <v>0</v>
      </c>
      <c r="W125" s="2046">
        <v>0</v>
      </c>
      <c r="X125" s="2046">
        <v>0</v>
      </c>
      <c r="Y125" s="2046">
        <v>0</v>
      </c>
      <c r="Z125" s="2046">
        <v>0</v>
      </c>
      <c r="AA125" s="2046">
        <v>0</v>
      </c>
      <c r="AB125" s="2046">
        <v>0</v>
      </c>
      <c r="AC125" s="2046">
        <v>600000</v>
      </c>
      <c r="AD125" s="2046">
        <v>0</v>
      </c>
      <c r="AE125" s="2046">
        <v>0</v>
      </c>
      <c r="AF125" s="2046">
        <v>0</v>
      </c>
      <c r="AG125" s="1823">
        <v>0</v>
      </c>
      <c r="AI125" s="649">
        <f t="shared" si="16"/>
        <v>704929.9</v>
      </c>
    </row>
    <row r="126" spans="1:35" x14ac:dyDescent="0.2">
      <c r="A126" s="1129">
        <v>1857</v>
      </c>
      <c r="B126" s="3206" t="s">
        <v>4635</v>
      </c>
      <c r="C126" s="3206"/>
      <c r="D126" t="str">
        <f t="shared" si="18"/>
        <v>OK</v>
      </c>
      <c r="E126" s="1823">
        <v>0</v>
      </c>
      <c r="F126" s="1823">
        <v>0</v>
      </c>
      <c r="G126" s="1823">
        <v>0</v>
      </c>
      <c r="H126" s="1823">
        <v>0</v>
      </c>
      <c r="I126" s="1823">
        <v>0</v>
      </c>
      <c r="J126" s="1823">
        <v>0</v>
      </c>
      <c r="K126" s="1823">
        <v>0</v>
      </c>
      <c r="L126" s="1823"/>
      <c r="M126" s="1823">
        <v>0</v>
      </c>
      <c r="N126" s="1823">
        <v>0</v>
      </c>
      <c r="O126" s="2046">
        <v>0</v>
      </c>
      <c r="P126" s="2046">
        <v>0</v>
      </c>
      <c r="Q126" s="2046">
        <v>0</v>
      </c>
      <c r="R126" s="2046">
        <v>0</v>
      </c>
      <c r="S126" s="2046">
        <v>0</v>
      </c>
      <c r="T126" s="2046">
        <v>0</v>
      </c>
      <c r="U126" s="2046">
        <v>0</v>
      </c>
      <c r="V126" s="2046">
        <v>0</v>
      </c>
      <c r="W126" s="2046">
        <v>0</v>
      </c>
      <c r="X126" s="2046">
        <v>0</v>
      </c>
      <c r="Y126" s="2046">
        <v>0</v>
      </c>
      <c r="Z126" s="2046">
        <v>0</v>
      </c>
      <c r="AA126" s="2046">
        <v>0</v>
      </c>
      <c r="AB126" s="2046">
        <v>0</v>
      </c>
      <c r="AC126" s="2046">
        <v>0</v>
      </c>
      <c r="AD126" s="2046">
        <v>0</v>
      </c>
      <c r="AE126" s="2046">
        <v>0</v>
      </c>
      <c r="AF126" s="2046">
        <v>0</v>
      </c>
      <c r="AG126" s="1823">
        <v>0</v>
      </c>
      <c r="AI126" s="649">
        <f t="shared" si="16"/>
        <v>0</v>
      </c>
    </row>
    <row r="127" spans="1:35" x14ac:dyDescent="0.2">
      <c r="A127" s="1129">
        <v>1860</v>
      </c>
      <c r="B127" s="3306" t="s">
        <v>3881</v>
      </c>
      <c r="C127" s="3306"/>
      <c r="D127" t="str">
        <f t="shared" si="18"/>
        <v>OK</v>
      </c>
      <c r="E127" s="1823">
        <v>63753664.770000003</v>
      </c>
      <c r="F127" s="1823">
        <v>18521301</v>
      </c>
      <c r="G127" s="1823">
        <v>14147874.84</v>
      </c>
      <c r="H127" s="1823">
        <v>0</v>
      </c>
      <c r="I127" s="1823">
        <v>23157723.59</v>
      </c>
      <c r="J127" s="1823">
        <v>581807.69999999995</v>
      </c>
      <c r="K127" s="1823">
        <v>4934405</v>
      </c>
      <c r="L127" s="1823"/>
      <c r="M127" s="1823">
        <v>0</v>
      </c>
      <c r="N127" s="1823">
        <v>2410552.64</v>
      </c>
      <c r="O127" s="2046">
        <v>202848.84</v>
      </c>
      <c r="P127" s="2046">
        <v>9475832.2300000004</v>
      </c>
      <c r="Q127" s="2046">
        <v>4179516.63</v>
      </c>
      <c r="R127" s="2046">
        <v>782600.84</v>
      </c>
      <c r="S127" s="2046">
        <v>3058174.54</v>
      </c>
      <c r="T127" s="2046">
        <v>591114</v>
      </c>
      <c r="U127" s="2046">
        <v>375379.66</v>
      </c>
      <c r="V127" s="2046">
        <v>4127813.63</v>
      </c>
      <c r="W127" s="2046">
        <v>683829.67</v>
      </c>
      <c r="X127" s="2046">
        <v>1352723</v>
      </c>
      <c r="Y127" s="2046">
        <v>2687243.9</v>
      </c>
      <c r="Z127" s="2046">
        <v>831829.99</v>
      </c>
      <c r="AA127" s="2046">
        <v>982327</v>
      </c>
      <c r="AB127" s="2046">
        <v>163550.94</v>
      </c>
      <c r="AC127" s="2046">
        <v>805540.95</v>
      </c>
      <c r="AD127" s="2046">
        <v>1487084</v>
      </c>
      <c r="AE127" s="2046">
        <v>186826.98</v>
      </c>
      <c r="AF127" s="2046">
        <v>0</v>
      </c>
      <c r="AG127" s="1823">
        <v>7137.86</v>
      </c>
      <c r="AI127" s="649">
        <f t="shared" si="16"/>
        <v>95727901.569999993</v>
      </c>
    </row>
    <row r="128" spans="1:35" x14ac:dyDescent="0.2">
      <c r="A128" s="2079">
        <v>1868</v>
      </c>
      <c r="B128" s="3306" t="s">
        <v>3955</v>
      </c>
      <c r="C128" s="3306"/>
      <c r="D128" t="str">
        <f t="shared" si="18"/>
        <v>OK</v>
      </c>
      <c r="E128" s="1823">
        <v>0</v>
      </c>
      <c r="F128" s="1823">
        <v>0</v>
      </c>
      <c r="G128" s="1823">
        <v>0</v>
      </c>
      <c r="H128" s="1823">
        <v>0</v>
      </c>
      <c r="I128" s="1823">
        <v>0</v>
      </c>
      <c r="J128" s="1823">
        <v>0</v>
      </c>
      <c r="K128" s="1823">
        <v>0</v>
      </c>
      <c r="L128" s="1823"/>
      <c r="M128" s="1823">
        <v>0</v>
      </c>
      <c r="N128" s="1823">
        <v>0</v>
      </c>
      <c r="O128" s="2046">
        <v>0</v>
      </c>
      <c r="P128" s="2048">
        <v>0</v>
      </c>
      <c r="Q128" s="2048">
        <v>0</v>
      </c>
      <c r="R128" s="2053">
        <v>0</v>
      </c>
      <c r="S128" s="2053">
        <v>0</v>
      </c>
      <c r="T128" s="2053">
        <v>0</v>
      </c>
      <c r="U128" s="1823">
        <v>0</v>
      </c>
      <c r="V128" s="1823">
        <v>0</v>
      </c>
      <c r="W128" s="1823">
        <v>0</v>
      </c>
      <c r="X128" s="1823">
        <v>0</v>
      </c>
      <c r="Y128" s="1823">
        <v>0</v>
      </c>
      <c r="Z128" s="1823">
        <v>0</v>
      </c>
      <c r="AA128" s="1823">
        <v>0</v>
      </c>
      <c r="AB128" s="1823">
        <v>0</v>
      </c>
      <c r="AC128" s="1823">
        <v>0</v>
      </c>
      <c r="AD128" s="1823">
        <v>0</v>
      </c>
      <c r="AE128" s="1823">
        <v>0</v>
      </c>
      <c r="AF128" s="1823">
        <v>0</v>
      </c>
      <c r="AG128" s="1823">
        <v>0</v>
      </c>
      <c r="AI128" s="649">
        <f t="shared" si="16"/>
        <v>0</v>
      </c>
    </row>
    <row r="129" spans="1:35" x14ac:dyDescent="0.2">
      <c r="A129" s="2079">
        <v>1869</v>
      </c>
      <c r="B129" s="3306" t="s">
        <v>4504</v>
      </c>
      <c r="C129" s="3306"/>
      <c r="D129" t="str">
        <f t="shared" si="18"/>
        <v>OK</v>
      </c>
      <c r="E129" s="1823">
        <v>0</v>
      </c>
      <c r="F129" s="1823">
        <v>0</v>
      </c>
      <c r="G129" s="1823">
        <v>0</v>
      </c>
      <c r="H129" s="1823">
        <v>0</v>
      </c>
      <c r="I129" s="1823">
        <v>0</v>
      </c>
      <c r="J129" s="1823">
        <v>0</v>
      </c>
      <c r="K129" s="1823">
        <v>0</v>
      </c>
      <c r="L129" s="1823"/>
      <c r="M129" s="1823">
        <v>0</v>
      </c>
      <c r="N129" s="1823">
        <v>0</v>
      </c>
      <c r="O129" s="2046">
        <v>0</v>
      </c>
      <c r="P129" s="2046">
        <v>0</v>
      </c>
      <c r="Q129" s="2046">
        <v>0</v>
      </c>
      <c r="R129" s="2046">
        <v>0</v>
      </c>
      <c r="S129" s="2046">
        <v>0</v>
      </c>
      <c r="T129" s="2046">
        <v>0</v>
      </c>
      <c r="U129" s="2046">
        <v>0</v>
      </c>
      <c r="V129" s="2046">
        <v>0</v>
      </c>
      <c r="W129" s="2046">
        <v>0</v>
      </c>
      <c r="X129" s="2046">
        <v>0</v>
      </c>
      <c r="Y129" s="2046">
        <v>0</v>
      </c>
      <c r="Z129" s="2046">
        <v>0</v>
      </c>
      <c r="AA129" s="2046">
        <v>0</v>
      </c>
      <c r="AB129" s="2046">
        <v>0</v>
      </c>
      <c r="AC129" s="2046">
        <v>0</v>
      </c>
      <c r="AD129" s="2046">
        <v>0</v>
      </c>
      <c r="AE129" s="2046">
        <v>0</v>
      </c>
      <c r="AF129" s="2046">
        <v>0</v>
      </c>
      <c r="AG129" s="1823">
        <v>0</v>
      </c>
      <c r="AI129" s="649">
        <f t="shared" si="16"/>
        <v>0</v>
      </c>
    </row>
    <row r="130" spans="1:35" x14ac:dyDescent="0.2">
      <c r="A130" s="1129">
        <v>1865</v>
      </c>
      <c r="B130" s="3206" t="s">
        <v>1546</v>
      </c>
      <c r="C130" s="3206"/>
      <c r="D130" t="str">
        <f t="shared" si="18"/>
        <v>OK</v>
      </c>
      <c r="E130" s="1823">
        <v>5393287</v>
      </c>
      <c r="F130" s="1823">
        <v>0</v>
      </c>
      <c r="G130" s="1823">
        <v>0</v>
      </c>
      <c r="H130" s="1823">
        <v>5393287</v>
      </c>
      <c r="I130" s="1823">
        <v>0</v>
      </c>
      <c r="J130" s="1823">
        <v>0</v>
      </c>
      <c r="K130" s="1823">
        <v>0</v>
      </c>
      <c r="L130" s="1823"/>
      <c r="M130" s="1823">
        <v>0</v>
      </c>
      <c r="N130" s="1823">
        <v>0</v>
      </c>
      <c r="O130" s="2046">
        <v>0</v>
      </c>
      <c r="P130" s="2046">
        <v>0</v>
      </c>
      <c r="Q130" s="2046">
        <v>0</v>
      </c>
      <c r="R130" s="2046">
        <v>0</v>
      </c>
      <c r="S130" s="2046">
        <v>0</v>
      </c>
      <c r="T130" s="2046">
        <v>0</v>
      </c>
      <c r="U130" s="2046">
        <v>0</v>
      </c>
      <c r="V130" s="2046">
        <v>0</v>
      </c>
      <c r="W130" s="2046">
        <v>0</v>
      </c>
      <c r="X130" s="2046">
        <v>0</v>
      </c>
      <c r="Y130" s="2046">
        <v>0</v>
      </c>
      <c r="Z130" s="2046">
        <v>0</v>
      </c>
      <c r="AA130" s="2046">
        <v>0</v>
      </c>
      <c r="AB130" s="2046">
        <v>0</v>
      </c>
      <c r="AC130" s="2046">
        <v>0</v>
      </c>
      <c r="AD130" s="2046">
        <v>0</v>
      </c>
      <c r="AE130" s="2046">
        <v>0</v>
      </c>
      <c r="AF130" s="2046">
        <v>0</v>
      </c>
      <c r="AG130" s="1823">
        <v>0</v>
      </c>
      <c r="AI130" s="649">
        <f t="shared" si="16"/>
        <v>5393287</v>
      </c>
    </row>
    <row r="131" spans="1:35" x14ac:dyDescent="0.2">
      <c r="A131" s="1129">
        <v>1866</v>
      </c>
      <c r="B131" s="3206" t="s">
        <v>1547</v>
      </c>
      <c r="C131" s="3206"/>
      <c r="D131" t="str">
        <f t="shared" si="18"/>
        <v>OK</v>
      </c>
      <c r="E131" s="1823">
        <v>0</v>
      </c>
      <c r="F131" s="1823">
        <v>0</v>
      </c>
      <c r="G131" s="1823">
        <v>0</v>
      </c>
      <c r="H131" s="1823">
        <v>0</v>
      </c>
      <c r="I131" s="1823">
        <v>0</v>
      </c>
      <c r="J131" s="1823">
        <v>0</v>
      </c>
      <c r="K131" s="1823">
        <v>0</v>
      </c>
      <c r="L131" s="1823"/>
      <c r="M131" s="1823">
        <v>0</v>
      </c>
      <c r="N131" s="1823">
        <v>0</v>
      </c>
      <c r="O131" s="2046">
        <v>0</v>
      </c>
      <c r="P131" s="2046">
        <v>0</v>
      </c>
      <c r="Q131" s="2046">
        <v>0</v>
      </c>
      <c r="R131" s="2046">
        <v>0</v>
      </c>
      <c r="S131" s="2046">
        <v>0</v>
      </c>
      <c r="T131" s="2046">
        <v>0</v>
      </c>
      <c r="U131" s="2046">
        <v>0</v>
      </c>
      <c r="V131" s="2046">
        <v>0</v>
      </c>
      <c r="W131" s="2046">
        <v>0</v>
      </c>
      <c r="X131" s="2046">
        <v>0</v>
      </c>
      <c r="Y131" s="2046">
        <v>0</v>
      </c>
      <c r="Z131" s="2046">
        <v>0</v>
      </c>
      <c r="AA131" s="2046">
        <v>0</v>
      </c>
      <c r="AB131" s="2046">
        <v>0</v>
      </c>
      <c r="AC131" s="2046">
        <v>0</v>
      </c>
      <c r="AD131" s="2046">
        <v>0</v>
      </c>
      <c r="AE131" s="2046">
        <v>0</v>
      </c>
      <c r="AF131" s="2046">
        <v>0</v>
      </c>
      <c r="AG131" s="1823">
        <v>0</v>
      </c>
      <c r="AI131" s="649">
        <f t="shared" si="16"/>
        <v>0</v>
      </c>
    </row>
    <row r="132" spans="1:35" x14ac:dyDescent="0.2">
      <c r="B132" s="3206" t="s">
        <v>787</v>
      </c>
      <c r="C132" s="3206"/>
      <c r="D132" s="2078" t="str">
        <f>IF(ROUND(SUM(F132:N132),2)-ROUND(E132,2)=0,"OK","prob")</f>
        <v>prob</v>
      </c>
      <c r="E132" s="661">
        <f t="shared" ref="E132:AG132" si="19">SUM(E99:E131)</f>
        <v>1741253802.23</v>
      </c>
      <c r="F132" s="661">
        <f t="shared" si="19"/>
        <v>638686963.35000002</v>
      </c>
      <c r="G132" s="661">
        <f t="shared" si="19"/>
        <v>850232576.25999999</v>
      </c>
      <c r="H132" s="661">
        <f t="shared" si="19"/>
        <v>5492089</v>
      </c>
      <c r="I132" s="661">
        <f t="shared" si="19"/>
        <v>277330102.5</v>
      </c>
      <c r="J132" s="661">
        <f t="shared" si="19"/>
        <v>15918338.939999999</v>
      </c>
      <c r="K132" s="661">
        <f t="shared" si="19"/>
        <v>92188909.030000001</v>
      </c>
      <c r="L132" s="661">
        <f t="shared" si="19"/>
        <v>0</v>
      </c>
      <c r="M132" s="661">
        <f t="shared" si="19"/>
        <v>25067066.300000001</v>
      </c>
      <c r="N132" s="661">
        <f t="shared" si="19"/>
        <v>27703645.850000001</v>
      </c>
      <c r="O132" s="706">
        <f t="shared" si="19"/>
        <v>13892347.57</v>
      </c>
      <c r="P132" s="661">
        <f t="shared" si="19"/>
        <v>492833328.12</v>
      </c>
      <c r="Q132" s="661">
        <f t="shared" si="19"/>
        <v>173709018.88999999</v>
      </c>
      <c r="R132" s="661">
        <f t="shared" si="19"/>
        <v>38849758.700000003</v>
      </c>
      <c r="S132" s="661">
        <f t="shared" si="19"/>
        <v>135441024.05000001</v>
      </c>
      <c r="T132" s="661">
        <f t="shared" si="19"/>
        <v>9037236.6899999995</v>
      </c>
      <c r="U132" s="661">
        <f t="shared" si="19"/>
        <v>36452730.259999998</v>
      </c>
      <c r="V132" s="661">
        <f t="shared" si="19"/>
        <v>94760910.870000005</v>
      </c>
      <c r="W132" s="661">
        <f t="shared" si="19"/>
        <v>15888345.99</v>
      </c>
      <c r="X132" s="661">
        <f t="shared" si="19"/>
        <v>37915431.399999999</v>
      </c>
      <c r="Y132" s="661">
        <f t="shared" si="19"/>
        <v>51591696.57</v>
      </c>
      <c r="Z132" s="661">
        <f t="shared" si="19"/>
        <v>18066946.300000001</v>
      </c>
      <c r="AA132" s="661">
        <f t="shared" si="19"/>
        <v>14869371.6</v>
      </c>
      <c r="AB132" s="661">
        <f t="shared" si="19"/>
        <v>6361974.1699999999</v>
      </c>
      <c r="AC132" s="661">
        <f t="shared" si="19"/>
        <v>11820465.99</v>
      </c>
      <c r="AD132" s="661">
        <f t="shared" si="19"/>
        <v>19966610.289999999</v>
      </c>
      <c r="AE132" s="661">
        <f t="shared" si="19"/>
        <v>10359059.720000001</v>
      </c>
      <c r="AF132" s="661">
        <f t="shared" si="19"/>
        <v>1840944.39</v>
      </c>
      <c r="AG132" s="661">
        <f t="shared" si="19"/>
        <v>137950.38</v>
      </c>
      <c r="AI132" s="649">
        <f t="shared" si="16"/>
        <v>3116276892.8000002</v>
      </c>
    </row>
    <row r="133" spans="1:35" x14ac:dyDescent="0.2">
      <c r="B133" s="398"/>
      <c r="C133" s="398"/>
      <c r="E133" s="649"/>
      <c r="F133" s="649"/>
      <c r="G133" s="649"/>
      <c r="H133" s="649"/>
      <c r="I133" s="649"/>
      <c r="J133" s="649"/>
      <c r="K133" s="649"/>
      <c r="L133" s="649"/>
      <c r="M133" s="649"/>
      <c r="N133" s="649"/>
      <c r="O133" s="393"/>
      <c r="P133" s="649"/>
      <c r="Q133" s="649"/>
      <c r="R133" s="649"/>
      <c r="S133" s="649"/>
      <c r="T133" s="649"/>
      <c r="U133" s="649"/>
      <c r="V133" s="649"/>
      <c r="W133" s="649"/>
      <c r="X133" s="649"/>
      <c r="Y133" s="649"/>
      <c r="Z133" s="649"/>
      <c r="AA133" s="649"/>
      <c r="AB133" s="649"/>
      <c r="AC133" s="649"/>
      <c r="AD133" s="649"/>
      <c r="AE133" s="649"/>
      <c r="AF133" s="649"/>
      <c r="AG133" s="649"/>
      <c r="AI133" s="649">
        <f t="shared" si="16"/>
        <v>0</v>
      </c>
    </row>
    <row r="134" spans="1:35" x14ac:dyDescent="0.2">
      <c r="B134" s="403" t="s">
        <v>788</v>
      </c>
      <c r="C134" s="403"/>
      <c r="E134" s="649"/>
      <c r="F134" s="649"/>
      <c r="G134" s="649"/>
      <c r="H134" s="649"/>
      <c r="I134" s="649"/>
      <c r="J134" s="649"/>
      <c r="K134" s="649"/>
      <c r="L134" s="649"/>
      <c r="M134" s="649"/>
      <c r="N134" s="649"/>
      <c r="O134" s="393"/>
      <c r="P134" s="649"/>
      <c r="Q134" s="649"/>
      <c r="R134" s="649"/>
      <c r="S134" s="649"/>
      <c r="T134" s="649"/>
      <c r="U134" s="649"/>
      <c r="V134" s="649"/>
      <c r="W134" s="649"/>
      <c r="X134" s="649"/>
      <c r="Y134" s="649"/>
      <c r="Z134" s="649"/>
      <c r="AA134" s="649"/>
      <c r="AB134" s="649"/>
      <c r="AC134" s="649"/>
      <c r="AD134" s="649"/>
      <c r="AE134" s="649"/>
      <c r="AF134" s="649"/>
      <c r="AG134" s="649"/>
      <c r="AI134" s="649">
        <f t="shared" ref="AI134:AI166" si="20">SUM(F134:AF134)</f>
        <v>0</v>
      </c>
    </row>
    <row r="135" spans="1:35" x14ac:dyDescent="0.2">
      <c r="A135" s="335"/>
      <c r="B135" s="335" t="s">
        <v>275</v>
      </c>
      <c r="C135" s="335"/>
      <c r="E135" s="649"/>
      <c r="F135" s="649"/>
      <c r="G135" s="649"/>
      <c r="H135" s="649"/>
      <c r="I135" s="649"/>
      <c r="J135" s="649"/>
      <c r="K135" s="649"/>
      <c r="L135" s="649"/>
      <c r="M135" s="649"/>
      <c r="N135" s="649"/>
      <c r="O135" s="393"/>
      <c r="P135" s="649"/>
      <c r="Q135" s="649"/>
      <c r="R135" s="649"/>
      <c r="S135" s="649"/>
      <c r="T135" s="649"/>
      <c r="U135" s="649"/>
      <c r="V135" s="649"/>
      <c r="W135" s="649"/>
      <c r="X135" s="649"/>
      <c r="Y135" s="649"/>
      <c r="Z135" s="649"/>
      <c r="AA135" s="649"/>
      <c r="AB135" s="649"/>
      <c r="AC135" s="649"/>
      <c r="AD135" s="649"/>
      <c r="AE135" s="649"/>
      <c r="AF135" s="649"/>
      <c r="AG135" s="649"/>
      <c r="AI135" s="649">
        <f t="shared" si="20"/>
        <v>0</v>
      </c>
    </row>
    <row r="136" spans="1:35" x14ac:dyDescent="0.2">
      <c r="A136" s="335">
        <v>1940</v>
      </c>
      <c r="B136" s="3355" t="s">
        <v>1060</v>
      </c>
      <c r="C136" s="3355"/>
      <c r="D136" t="str">
        <f t="shared" ref="D136:D157" si="21">IF(SUM(F136:N136)-E136=0,"OK","prob")</f>
        <v>OK</v>
      </c>
      <c r="E136" s="649">
        <v>2714646.38</v>
      </c>
      <c r="F136" s="649">
        <v>2011040.38</v>
      </c>
      <c r="G136" s="649">
        <v>0</v>
      </c>
      <c r="H136" s="649">
        <v>0</v>
      </c>
      <c r="I136" s="649">
        <v>0</v>
      </c>
      <c r="J136" s="649">
        <v>0</v>
      </c>
      <c r="K136" s="649">
        <v>0</v>
      </c>
      <c r="L136" s="649"/>
      <c r="M136" s="649">
        <v>0</v>
      </c>
      <c r="N136" s="649">
        <v>703606</v>
      </c>
      <c r="O136" s="2041">
        <v>0</v>
      </c>
      <c r="P136" s="2041">
        <v>16293709.23</v>
      </c>
      <c r="Q136" s="2041">
        <v>0</v>
      </c>
      <c r="R136" s="2041">
        <v>58285.35</v>
      </c>
      <c r="S136" s="2041">
        <v>0</v>
      </c>
      <c r="T136" s="2041">
        <v>0</v>
      </c>
      <c r="U136" s="2041">
        <v>201705.1</v>
      </c>
      <c r="V136" s="2041">
        <v>0</v>
      </c>
      <c r="W136" s="2041">
        <v>0</v>
      </c>
      <c r="X136" s="2041">
        <v>1833348.07</v>
      </c>
      <c r="Y136" s="2041">
        <v>12808128.529999999</v>
      </c>
      <c r="Z136" s="2041">
        <v>0</v>
      </c>
      <c r="AA136" s="2041">
        <v>0</v>
      </c>
      <c r="AB136" s="2041">
        <v>0</v>
      </c>
      <c r="AC136" s="2041">
        <v>0</v>
      </c>
      <c r="AD136" s="2041">
        <v>0</v>
      </c>
      <c r="AE136" s="2041">
        <v>0</v>
      </c>
      <c r="AF136" s="2041">
        <v>0</v>
      </c>
      <c r="AG136" s="649">
        <v>0</v>
      </c>
      <c r="AI136" s="649">
        <f t="shared" si="20"/>
        <v>33909822.659999996</v>
      </c>
    </row>
    <row r="137" spans="1:35" x14ac:dyDescent="0.2">
      <c r="A137" s="335">
        <v>1950</v>
      </c>
      <c r="B137" s="3355" t="s">
        <v>816</v>
      </c>
      <c r="C137" s="3355"/>
      <c r="D137" t="str">
        <f t="shared" si="21"/>
        <v>OK</v>
      </c>
      <c r="E137" s="649">
        <v>97213388</v>
      </c>
      <c r="F137" s="649">
        <v>97213388</v>
      </c>
      <c r="G137" s="649">
        <v>0</v>
      </c>
      <c r="H137" s="649">
        <v>0</v>
      </c>
      <c r="I137" s="649">
        <v>0</v>
      </c>
      <c r="J137" s="649">
        <v>0</v>
      </c>
      <c r="K137" s="649">
        <v>0</v>
      </c>
      <c r="L137" s="649"/>
      <c r="M137" s="649">
        <v>0</v>
      </c>
      <c r="N137" s="649">
        <v>0</v>
      </c>
      <c r="O137" s="2041">
        <v>0</v>
      </c>
      <c r="P137" s="2041">
        <v>18027133.420000002</v>
      </c>
      <c r="Q137" s="2041">
        <v>1610564.72</v>
      </c>
      <c r="R137" s="2041">
        <v>2982075.67</v>
      </c>
      <c r="S137" s="2041">
        <v>1711100.88</v>
      </c>
      <c r="T137" s="2041">
        <v>581419.36</v>
      </c>
      <c r="U137" s="2041">
        <v>1874895.43</v>
      </c>
      <c r="V137" s="2041">
        <v>9648198.4900000002</v>
      </c>
      <c r="W137" s="2041">
        <v>46536.2</v>
      </c>
      <c r="X137" s="2041">
        <v>4606313.0999999996</v>
      </c>
      <c r="Y137" s="2041">
        <v>2205368.9700000002</v>
      </c>
      <c r="Z137" s="2041">
        <v>421364.17</v>
      </c>
      <c r="AA137" s="2041">
        <v>386944.94</v>
      </c>
      <c r="AB137" s="2041">
        <v>0</v>
      </c>
      <c r="AC137" s="2041">
        <v>751341.88</v>
      </c>
      <c r="AD137" s="2041">
        <v>2114452.5099999998</v>
      </c>
      <c r="AE137" s="2041">
        <v>112405.47</v>
      </c>
      <c r="AF137" s="2041">
        <v>0</v>
      </c>
      <c r="AG137" s="649">
        <v>0</v>
      </c>
      <c r="AI137" s="649">
        <f t="shared" si="20"/>
        <v>144293503.21000001</v>
      </c>
    </row>
    <row r="138" spans="1:35" x14ac:dyDescent="0.2">
      <c r="A138" s="335">
        <v>1960</v>
      </c>
      <c r="B138" s="3355" t="s">
        <v>700</v>
      </c>
      <c r="C138" s="3355"/>
      <c r="D138" t="str">
        <f t="shared" si="21"/>
        <v>OK</v>
      </c>
      <c r="E138" s="649">
        <v>0</v>
      </c>
      <c r="F138" s="649">
        <v>0</v>
      </c>
      <c r="G138" s="649">
        <v>0</v>
      </c>
      <c r="H138" s="649">
        <v>0</v>
      </c>
      <c r="I138" s="649">
        <v>0</v>
      </c>
      <c r="J138" s="649">
        <v>0</v>
      </c>
      <c r="K138" s="649">
        <v>0</v>
      </c>
      <c r="L138" s="649"/>
      <c r="M138" s="649">
        <v>0</v>
      </c>
      <c r="N138" s="649">
        <v>0</v>
      </c>
      <c r="O138" s="2041">
        <v>0</v>
      </c>
      <c r="P138" s="2041">
        <v>0</v>
      </c>
      <c r="Q138" s="2041">
        <v>0</v>
      </c>
      <c r="R138" s="2041">
        <v>0</v>
      </c>
      <c r="S138" s="2041">
        <v>0</v>
      </c>
      <c r="T138" s="2041">
        <v>0</v>
      </c>
      <c r="U138" s="2041">
        <v>0</v>
      </c>
      <c r="V138" s="2041">
        <v>0</v>
      </c>
      <c r="W138" s="2041">
        <v>0</v>
      </c>
      <c r="X138" s="2041">
        <v>0</v>
      </c>
      <c r="Y138" s="2041">
        <v>0</v>
      </c>
      <c r="Z138" s="2041">
        <v>0</v>
      </c>
      <c r="AA138" s="2041">
        <v>0</v>
      </c>
      <c r="AB138" s="2041">
        <v>0</v>
      </c>
      <c r="AC138" s="2041">
        <v>0</v>
      </c>
      <c r="AD138" s="2041">
        <v>0</v>
      </c>
      <c r="AE138" s="2041">
        <v>0</v>
      </c>
      <c r="AF138" s="2041">
        <v>0</v>
      </c>
      <c r="AG138" s="649">
        <v>0</v>
      </c>
      <c r="AI138" s="649">
        <f t="shared" si="20"/>
        <v>0</v>
      </c>
    </row>
    <row r="139" spans="1:35" x14ac:dyDescent="0.2">
      <c r="A139" s="1129">
        <v>2020</v>
      </c>
      <c r="B139" s="3206" t="s">
        <v>789</v>
      </c>
      <c r="C139" s="3206"/>
      <c r="D139" t="str">
        <f t="shared" si="21"/>
        <v>OK</v>
      </c>
      <c r="E139" s="1823">
        <v>0</v>
      </c>
      <c r="F139" s="1823">
        <v>0</v>
      </c>
      <c r="G139" s="1823">
        <v>0</v>
      </c>
      <c r="H139" s="1823">
        <v>0</v>
      </c>
      <c r="I139" s="1823">
        <v>0</v>
      </c>
      <c r="J139" s="1823">
        <v>0</v>
      </c>
      <c r="K139" s="1823">
        <v>0</v>
      </c>
      <c r="L139" s="1823"/>
      <c r="M139" s="1823">
        <v>0</v>
      </c>
      <c r="N139" s="1823">
        <v>0</v>
      </c>
      <c r="O139" s="2047">
        <v>0</v>
      </c>
      <c r="P139" s="2047">
        <v>0</v>
      </c>
      <c r="Q139" s="2047">
        <v>0</v>
      </c>
      <c r="R139" s="2047">
        <v>0</v>
      </c>
      <c r="S139" s="2047">
        <v>0</v>
      </c>
      <c r="T139" s="2047">
        <v>0</v>
      </c>
      <c r="U139" s="2047">
        <v>0</v>
      </c>
      <c r="V139" s="2047">
        <v>0</v>
      </c>
      <c r="W139" s="2047">
        <v>0</v>
      </c>
      <c r="X139" s="2047">
        <v>0</v>
      </c>
      <c r="Y139" s="2047">
        <v>0</v>
      </c>
      <c r="Z139" s="2047">
        <v>0</v>
      </c>
      <c r="AA139" s="2047">
        <v>0</v>
      </c>
      <c r="AB139" s="2047">
        <v>0</v>
      </c>
      <c r="AC139" s="2047">
        <v>0</v>
      </c>
      <c r="AD139" s="2047">
        <v>0</v>
      </c>
      <c r="AE139" s="2047">
        <v>0</v>
      </c>
      <c r="AF139" s="2047">
        <v>0</v>
      </c>
      <c r="AG139" s="1823">
        <v>0</v>
      </c>
      <c r="AI139" s="649">
        <f t="shared" si="20"/>
        <v>0</v>
      </c>
    </row>
    <row r="140" spans="1:35" x14ac:dyDescent="0.2">
      <c r="A140" s="335">
        <v>2097</v>
      </c>
      <c r="B140" s="3206" t="s">
        <v>569</v>
      </c>
      <c r="C140" s="3206"/>
      <c r="D140" t="str">
        <f t="shared" si="21"/>
        <v>OK</v>
      </c>
      <c r="E140" s="649">
        <v>0</v>
      </c>
      <c r="F140" s="649">
        <v>0</v>
      </c>
      <c r="G140" s="649">
        <v>0</v>
      </c>
      <c r="H140" s="649">
        <v>0</v>
      </c>
      <c r="I140" s="649">
        <v>0</v>
      </c>
      <c r="J140" s="649">
        <v>0</v>
      </c>
      <c r="K140" s="649">
        <v>0</v>
      </c>
      <c r="L140" s="649"/>
      <c r="M140" s="649">
        <v>0</v>
      </c>
      <c r="N140" s="649">
        <v>0</v>
      </c>
      <c r="O140" s="2041">
        <v>0</v>
      </c>
      <c r="P140" s="2041">
        <v>0</v>
      </c>
      <c r="Q140" s="2041">
        <v>67443586.950000003</v>
      </c>
      <c r="R140" s="2041">
        <v>0</v>
      </c>
      <c r="S140" s="2041">
        <v>976212.84</v>
      </c>
      <c r="T140" s="2041">
        <v>0</v>
      </c>
      <c r="U140" s="2041">
        <v>3621483.76</v>
      </c>
      <c r="V140" s="2041">
        <v>9808069.4100000001</v>
      </c>
      <c r="W140" s="2041">
        <v>0</v>
      </c>
      <c r="X140" s="2041">
        <v>0</v>
      </c>
      <c r="Y140" s="2041">
        <v>0</v>
      </c>
      <c r="Z140" s="2041">
        <v>0</v>
      </c>
      <c r="AA140" s="2041">
        <v>0</v>
      </c>
      <c r="AB140" s="2041">
        <v>0</v>
      </c>
      <c r="AC140" s="2041">
        <v>0</v>
      </c>
      <c r="AD140" s="2041">
        <v>0</v>
      </c>
      <c r="AE140" s="2041">
        <v>0</v>
      </c>
      <c r="AF140" s="2041">
        <v>0</v>
      </c>
      <c r="AG140" s="649">
        <v>0</v>
      </c>
      <c r="AI140" s="649">
        <f t="shared" si="20"/>
        <v>81849352.959999993</v>
      </c>
    </row>
    <row r="141" spans="1:35" x14ac:dyDescent="0.2">
      <c r="A141" s="335">
        <v>2070</v>
      </c>
      <c r="B141" s="3206" t="s">
        <v>739</v>
      </c>
      <c r="C141" s="3206"/>
      <c r="D141" t="str">
        <f t="shared" si="21"/>
        <v>OK</v>
      </c>
      <c r="E141" s="649">
        <v>0</v>
      </c>
      <c r="F141" s="649">
        <v>0</v>
      </c>
      <c r="G141" s="649">
        <v>0</v>
      </c>
      <c r="H141" s="649">
        <v>0</v>
      </c>
      <c r="I141" s="649">
        <v>0</v>
      </c>
      <c r="J141" s="649">
        <v>0</v>
      </c>
      <c r="K141" s="649">
        <v>0</v>
      </c>
      <c r="L141" s="649"/>
      <c r="M141" s="649">
        <v>0</v>
      </c>
      <c r="N141" s="649">
        <v>0</v>
      </c>
      <c r="O141" s="2041">
        <v>0</v>
      </c>
      <c r="P141" s="2041">
        <v>0</v>
      </c>
      <c r="Q141" s="2041">
        <v>5283431.4800000004</v>
      </c>
      <c r="R141" s="2041">
        <v>0</v>
      </c>
      <c r="S141" s="2041">
        <v>0</v>
      </c>
      <c r="T141" s="2041">
        <v>63725.84</v>
      </c>
      <c r="U141" s="2041">
        <v>0</v>
      </c>
      <c r="V141" s="2041">
        <v>0</v>
      </c>
      <c r="W141" s="2041">
        <v>0</v>
      </c>
      <c r="X141" s="2041">
        <v>159563</v>
      </c>
      <c r="Y141" s="2041">
        <v>222174.85</v>
      </c>
      <c r="Z141" s="2041">
        <v>297899.73</v>
      </c>
      <c r="AA141" s="2041">
        <v>49571.89</v>
      </c>
      <c r="AB141" s="2041">
        <v>0</v>
      </c>
      <c r="AC141" s="2041">
        <v>0</v>
      </c>
      <c r="AD141" s="2041">
        <v>400</v>
      </c>
      <c r="AE141" s="2041">
        <v>0</v>
      </c>
      <c r="AF141" s="2041">
        <v>0</v>
      </c>
      <c r="AG141" s="649">
        <v>0</v>
      </c>
      <c r="AI141" s="649">
        <f t="shared" si="20"/>
        <v>6076766.79</v>
      </c>
    </row>
    <row r="142" spans="1:35" x14ac:dyDescent="0.2">
      <c r="A142" s="335">
        <v>2080</v>
      </c>
      <c r="B142" s="3206" t="s">
        <v>701</v>
      </c>
      <c r="C142" s="3206"/>
      <c r="D142" t="str">
        <f t="shared" si="21"/>
        <v>OK</v>
      </c>
      <c r="E142" s="649">
        <v>2831898.67</v>
      </c>
      <c r="F142" s="649">
        <v>0</v>
      </c>
      <c r="G142" s="649">
        <v>0</v>
      </c>
      <c r="H142" s="649">
        <v>0</v>
      </c>
      <c r="I142" s="649">
        <v>2831898.67</v>
      </c>
      <c r="J142" s="649">
        <v>0</v>
      </c>
      <c r="K142" s="649">
        <v>0</v>
      </c>
      <c r="L142" s="649"/>
      <c r="M142" s="649">
        <v>0</v>
      </c>
      <c r="N142" s="649">
        <v>0</v>
      </c>
      <c r="O142" s="2041">
        <v>0</v>
      </c>
      <c r="P142" s="2059">
        <v>0</v>
      </c>
      <c r="Q142" s="2041">
        <v>2991634.1</v>
      </c>
      <c r="R142" s="2041">
        <v>5558939.8700000001</v>
      </c>
      <c r="S142" s="2041">
        <v>78579.25</v>
      </c>
      <c r="T142" s="2041">
        <v>189974.68</v>
      </c>
      <c r="U142" s="2041">
        <v>439375.91</v>
      </c>
      <c r="V142" s="2041">
        <v>206952.2</v>
      </c>
      <c r="W142" s="2041">
        <v>377539.48</v>
      </c>
      <c r="X142" s="2041">
        <v>720422.15</v>
      </c>
      <c r="Y142" s="2041">
        <v>1983679.17</v>
      </c>
      <c r="Z142" s="2041">
        <v>415498.95</v>
      </c>
      <c r="AA142" s="2041">
        <v>3214257.84</v>
      </c>
      <c r="AB142" s="2041">
        <v>219375.41</v>
      </c>
      <c r="AC142" s="2041">
        <v>795923.45</v>
      </c>
      <c r="AD142" s="2041">
        <v>-72348.759999999995</v>
      </c>
      <c r="AE142" s="2041">
        <v>63328.47</v>
      </c>
      <c r="AF142" s="2041">
        <v>0</v>
      </c>
      <c r="AG142" s="649">
        <v>0</v>
      </c>
      <c r="AI142" s="649">
        <f t="shared" si="20"/>
        <v>20015030.84</v>
      </c>
    </row>
    <row r="143" spans="1:35" x14ac:dyDescent="0.2">
      <c r="A143" s="335">
        <v>2024</v>
      </c>
      <c r="B143" s="3206" t="s">
        <v>1347</v>
      </c>
      <c r="C143" s="3206"/>
      <c r="D143" t="str">
        <f t="shared" si="21"/>
        <v>OK</v>
      </c>
      <c r="E143" s="649">
        <v>7887997</v>
      </c>
      <c r="F143" s="649">
        <v>7887997</v>
      </c>
      <c r="G143" s="649">
        <v>0</v>
      </c>
      <c r="H143" s="649">
        <v>0</v>
      </c>
      <c r="I143" s="649">
        <v>0</v>
      </c>
      <c r="J143" s="649">
        <v>0</v>
      </c>
      <c r="K143" s="649">
        <v>0</v>
      </c>
      <c r="L143" s="649"/>
      <c r="M143" s="649">
        <v>0</v>
      </c>
      <c r="N143" s="649">
        <v>0</v>
      </c>
      <c r="O143" s="2041">
        <v>0</v>
      </c>
      <c r="P143" s="2041">
        <v>118979851.03</v>
      </c>
      <c r="Q143" s="2041">
        <v>0</v>
      </c>
      <c r="R143" s="2041">
        <v>0</v>
      </c>
      <c r="S143" s="2041">
        <v>0</v>
      </c>
      <c r="T143" s="2041">
        <v>0</v>
      </c>
      <c r="U143" s="2041">
        <v>0</v>
      </c>
      <c r="V143" s="2041">
        <v>0</v>
      </c>
      <c r="W143" s="2041">
        <v>0</v>
      </c>
      <c r="X143" s="2041">
        <v>0</v>
      </c>
      <c r="Y143" s="2041">
        <v>0</v>
      </c>
      <c r="Z143" s="2041">
        <v>0</v>
      </c>
      <c r="AA143" s="2041">
        <v>0</v>
      </c>
      <c r="AB143" s="2041">
        <v>0</v>
      </c>
      <c r="AC143" s="2041">
        <v>0</v>
      </c>
      <c r="AD143" s="2041">
        <v>0</v>
      </c>
      <c r="AE143" s="2041">
        <v>0</v>
      </c>
      <c r="AF143" s="2041">
        <v>1738656.43</v>
      </c>
      <c r="AG143" s="649">
        <v>0</v>
      </c>
      <c r="AI143" s="649">
        <f t="shared" si="20"/>
        <v>128606504.45999999</v>
      </c>
    </row>
    <row r="144" spans="1:35" x14ac:dyDescent="0.2">
      <c r="A144" s="1129">
        <v>2035</v>
      </c>
      <c r="B144" s="3206" t="s">
        <v>4604</v>
      </c>
      <c r="C144" s="3206"/>
      <c r="D144" t="str">
        <f t="shared" si="21"/>
        <v>OK</v>
      </c>
      <c r="E144" s="1823">
        <v>47818575.439999998</v>
      </c>
      <c r="F144" s="1823">
        <v>0</v>
      </c>
      <c r="G144" s="1823">
        <v>17024286.960000001</v>
      </c>
      <c r="H144" s="1823">
        <v>0</v>
      </c>
      <c r="I144" s="1823">
        <v>15059318.189999999</v>
      </c>
      <c r="J144" s="1823">
        <v>11308390.289999999</v>
      </c>
      <c r="K144" s="1823">
        <v>0</v>
      </c>
      <c r="L144" s="1823"/>
      <c r="M144" s="1823">
        <v>0</v>
      </c>
      <c r="N144" s="1823">
        <v>4426580</v>
      </c>
      <c r="O144" s="2047">
        <v>73238.92</v>
      </c>
      <c r="P144" s="2047">
        <v>68514462.379999995</v>
      </c>
      <c r="Q144" s="2047">
        <v>46218657.079999998</v>
      </c>
      <c r="R144" s="2047">
        <v>8297365.8499999996</v>
      </c>
      <c r="S144" s="2047">
        <v>4848380.24</v>
      </c>
      <c r="T144" s="2047">
        <v>382822.14</v>
      </c>
      <c r="U144" s="2047">
        <v>8738236.1899999995</v>
      </c>
      <c r="V144" s="2047">
        <v>740620.44</v>
      </c>
      <c r="W144" s="2047">
        <v>3092919.61</v>
      </c>
      <c r="X144" s="2047">
        <v>413240.16</v>
      </c>
      <c r="Y144" s="2047">
        <v>99303643.230000004</v>
      </c>
      <c r="Z144" s="2047">
        <v>5258922.45</v>
      </c>
      <c r="AA144" s="2047">
        <v>3333788.94</v>
      </c>
      <c r="AB144" s="2047">
        <v>22585781.219999999</v>
      </c>
      <c r="AC144" s="2047">
        <v>6983189.7400000002</v>
      </c>
      <c r="AD144" s="2047">
        <v>3685302.73</v>
      </c>
      <c r="AE144" s="2047">
        <v>232625.74</v>
      </c>
      <c r="AF144" s="2047">
        <v>17763558.73</v>
      </c>
      <c r="AG144" s="1823">
        <v>0</v>
      </c>
      <c r="AI144" s="649">
        <f t="shared" si="20"/>
        <v>348285331.23000002</v>
      </c>
    </row>
    <row r="145" spans="1:35" x14ac:dyDescent="0.2">
      <c r="A145" s="1129">
        <v>2040</v>
      </c>
      <c r="B145" s="3307" t="s">
        <v>5491</v>
      </c>
      <c r="C145" s="3307"/>
      <c r="D145" t="str">
        <f t="shared" si="21"/>
        <v>OK</v>
      </c>
      <c r="E145" s="1823">
        <v>857834.45</v>
      </c>
      <c r="F145" s="1823">
        <v>0</v>
      </c>
      <c r="G145" s="1823">
        <v>0</v>
      </c>
      <c r="H145" s="1823">
        <v>0</v>
      </c>
      <c r="I145" s="1823">
        <v>578922.37</v>
      </c>
      <c r="J145" s="1823">
        <v>0</v>
      </c>
      <c r="K145" s="1823">
        <v>0</v>
      </c>
      <c r="L145" s="1823"/>
      <c r="M145" s="1823">
        <v>0</v>
      </c>
      <c r="N145" s="1823">
        <v>278912.08</v>
      </c>
      <c r="O145" s="2047">
        <v>0</v>
      </c>
      <c r="P145" s="2047">
        <v>160006.26</v>
      </c>
      <c r="Q145" s="2047">
        <v>319360.99</v>
      </c>
      <c r="R145" s="2047">
        <v>0</v>
      </c>
      <c r="S145" s="2047">
        <v>0</v>
      </c>
      <c r="T145" s="2047">
        <v>0</v>
      </c>
      <c r="U145" s="2047">
        <v>630663.23</v>
      </c>
      <c r="V145" s="2047">
        <v>811454.74</v>
      </c>
      <c r="W145" s="2047">
        <v>0</v>
      </c>
      <c r="X145" s="2047">
        <v>952798.89</v>
      </c>
      <c r="Y145" s="2047">
        <v>0</v>
      </c>
      <c r="Z145" s="2047">
        <v>210827.35</v>
      </c>
      <c r="AA145" s="2047">
        <v>32230000</v>
      </c>
      <c r="AB145" s="2047">
        <v>0</v>
      </c>
      <c r="AC145" s="2047">
        <v>602898.44999999995</v>
      </c>
      <c r="AD145" s="2047">
        <v>35000.050000000003</v>
      </c>
      <c r="AE145" s="2047">
        <v>0</v>
      </c>
      <c r="AF145" s="2047">
        <v>0</v>
      </c>
      <c r="AG145" s="1823">
        <v>0</v>
      </c>
      <c r="AI145" s="649">
        <f t="shared" si="20"/>
        <v>36810844.409999996</v>
      </c>
    </row>
    <row r="146" spans="1:35" x14ac:dyDescent="0.2">
      <c r="A146" s="1129">
        <v>2050</v>
      </c>
      <c r="B146" s="3206" t="s">
        <v>1548</v>
      </c>
      <c r="C146" s="3206"/>
      <c r="D146" t="str">
        <f t="shared" si="21"/>
        <v>OK</v>
      </c>
      <c r="E146" s="1823">
        <v>898620771</v>
      </c>
      <c r="F146" s="1823">
        <v>460763338.85000002</v>
      </c>
      <c r="G146" s="1823">
        <v>0</v>
      </c>
      <c r="H146" s="1823">
        <v>0</v>
      </c>
      <c r="I146" s="1823">
        <v>437857432.14999998</v>
      </c>
      <c r="J146" s="1823">
        <v>0</v>
      </c>
      <c r="K146" s="1823">
        <v>0</v>
      </c>
      <c r="L146" s="1823"/>
      <c r="M146" s="1823">
        <v>0</v>
      </c>
      <c r="N146" s="1823">
        <v>0</v>
      </c>
      <c r="O146" s="2047">
        <v>0</v>
      </c>
      <c r="P146" s="2047">
        <v>1230938146.74</v>
      </c>
      <c r="Q146" s="2047">
        <v>511635200.80000001</v>
      </c>
      <c r="R146" s="2047">
        <v>280868081.38999999</v>
      </c>
      <c r="S146" s="2047">
        <v>560424862.30999994</v>
      </c>
      <c r="T146" s="2047">
        <v>78274223.810000002</v>
      </c>
      <c r="U146" s="2047">
        <v>207393319.53999999</v>
      </c>
      <c r="V146" s="2047">
        <v>365555777.66000003</v>
      </c>
      <c r="W146" s="2047">
        <v>92369043.439999998</v>
      </c>
      <c r="X146" s="2047">
        <v>258909391.47999999</v>
      </c>
      <c r="Y146" s="2047">
        <v>250935054.63999999</v>
      </c>
      <c r="Z146" s="2047">
        <v>45513917.909999996</v>
      </c>
      <c r="AA146" s="2047">
        <v>52939943.549999997</v>
      </c>
      <c r="AB146" s="2047">
        <v>15832826.119999999</v>
      </c>
      <c r="AC146" s="2047">
        <v>45642422.259999998</v>
      </c>
      <c r="AD146" s="2047">
        <v>108483914.58</v>
      </c>
      <c r="AE146" s="2047">
        <v>48577021.310000002</v>
      </c>
      <c r="AF146" s="2047">
        <v>0</v>
      </c>
      <c r="AG146" s="1823">
        <v>0</v>
      </c>
      <c r="AI146" s="649">
        <f t="shared" si="20"/>
        <v>5052913918.54</v>
      </c>
    </row>
    <row r="147" spans="1:35" x14ac:dyDescent="0.2">
      <c r="A147" s="1129">
        <v>2060</v>
      </c>
      <c r="B147" s="3206" t="s">
        <v>1061</v>
      </c>
      <c r="C147" s="3206"/>
      <c r="D147" t="str">
        <f t="shared" si="21"/>
        <v>OK</v>
      </c>
      <c r="E147" s="1823">
        <v>0</v>
      </c>
      <c r="F147" s="1823">
        <v>0</v>
      </c>
      <c r="G147" s="1823">
        <v>0</v>
      </c>
      <c r="H147" s="1823">
        <v>0</v>
      </c>
      <c r="I147" s="1823">
        <v>0</v>
      </c>
      <c r="J147" s="1823">
        <v>0</v>
      </c>
      <c r="K147" s="1823">
        <v>0</v>
      </c>
      <c r="L147" s="1823"/>
      <c r="M147" s="1823">
        <v>0</v>
      </c>
      <c r="N147" s="1823">
        <v>0</v>
      </c>
      <c r="O147" s="2047">
        <v>0</v>
      </c>
      <c r="P147" s="2047">
        <v>0</v>
      </c>
      <c r="Q147" s="2047">
        <v>0</v>
      </c>
      <c r="R147" s="2047">
        <v>0</v>
      </c>
      <c r="S147" s="2047">
        <v>0</v>
      </c>
      <c r="T147" s="2047">
        <v>0</v>
      </c>
      <c r="U147" s="2047">
        <v>0</v>
      </c>
      <c r="V147" s="2047">
        <v>0</v>
      </c>
      <c r="W147" s="2047">
        <v>0</v>
      </c>
      <c r="X147" s="2047">
        <v>0</v>
      </c>
      <c r="Y147" s="2047">
        <v>0</v>
      </c>
      <c r="Z147" s="2047">
        <v>0</v>
      </c>
      <c r="AA147" s="2047">
        <v>0</v>
      </c>
      <c r="AB147" s="2047">
        <v>0</v>
      </c>
      <c r="AC147" s="2047">
        <v>0</v>
      </c>
      <c r="AD147" s="2047">
        <v>0</v>
      </c>
      <c r="AE147" s="2047">
        <v>0</v>
      </c>
      <c r="AF147" s="2047">
        <v>0</v>
      </c>
      <c r="AG147" s="1823">
        <v>0</v>
      </c>
      <c r="AI147" s="649">
        <f t="shared" si="20"/>
        <v>0</v>
      </c>
    </row>
    <row r="148" spans="1:35" x14ac:dyDescent="0.2">
      <c r="A148" s="1129">
        <v>2061</v>
      </c>
      <c r="B148" s="3206" t="s">
        <v>1062</v>
      </c>
      <c r="C148" s="3206"/>
      <c r="D148" t="str">
        <f t="shared" si="21"/>
        <v>OK</v>
      </c>
      <c r="E148" s="1823">
        <v>0</v>
      </c>
      <c r="F148" s="1823">
        <v>0</v>
      </c>
      <c r="G148" s="1823">
        <v>0</v>
      </c>
      <c r="H148" s="1823">
        <v>0</v>
      </c>
      <c r="I148" s="1823">
        <v>0</v>
      </c>
      <c r="J148" s="1823">
        <v>0</v>
      </c>
      <c r="K148" s="1823">
        <v>0</v>
      </c>
      <c r="L148" s="1823"/>
      <c r="M148" s="1823">
        <v>0</v>
      </c>
      <c r="N148" s="1823">
        <v>0</v>
      </c>
      <c r="O148" s="2047">
        <v>381759.28</v>
      </c>
      <c r="P148" s="2047">
        <v>10926423.289999999</v>
      </c>
      <c r="Q148" s="2047">
        <v>8752326.6899999995</v>
      </c>
      <c r="R148" s="2047">
        <v>3206552.45</v>
      </c>
      <c r="S148" s="2047">
        <v>3044651.26</v>
      </c>
      <c r="T148" s="2047">
        <v>28301.81</v>
      </c>
      <c r="U148" s="2047">
        <v>400474.83</v>
      </c>
      <c r="V148" s="2047">
        <v>3393355.97</v>
      </c>
      <c r="W148" s="2047">
        <v>1617362.03</v>
      </c>
      <c r="X148" s="2047">
        <v>554512.26</v>
      </c>
      <c r="Y148" s="2047">
        <v>393170.05</v>
      </c>
      <c r="Z148" s="2047">
        <v>843246.38</v>
      </c>
      <c r="AA148" s="2047">
        <v>2851667</v>
      </c>
      <c r="AB148" s="2047">
        <v>1911553</v>
      </c>
      <c r="AC148" s="2047">
        <v>2178058.2999999998</v>
      </c>
      <c r="AD148" s="2047">
        <v>2268190.09</v>
      </c>
      <c r="AE148" s="2047">
        <v>1998373.48</v>
      </c>
      <c r="AF148" s="2047">
        <v>0</v>
      </c>
      <c r="AG148" s="1823">
        <v>0</v>
      </c>
      <c r="AI148" s="649">
        <f t="shared" si="20"/>
        <v>44749978.170000002</v>
      </c>
    </row>
    <row r="149" spans="1:35" x14ac:dyDescent="0.2">
      <c r="A149" s="1129">
        <v>2045</v>
      </c>
      <c r="B149" s="3206" t="s">
        <v>93</v>
      </c>
      <c r="C149" s="3206"/>
      <c r="D149" t="str">
        <f t="shared" si="21"/>
        <v>OK</v>
      </c>
      <c r="E149" s="1823">
        <v>1912725</v>
      </c>
      <c r="F149" s="1823">
        <v>0</v>
      </c>
      <c r="G149" s="1823">
        <v>0</v>
      </c>
      <c r="H149" s="1823">
        <v>0</v>
      </c>
      <c r="I149" s="1823">
        <v>0</v>
      </c>
      <c r="J149" s="1823">
        <v>0</v>
      </c>
      <c r="K149" s="1823">
        <v>0</v>
      </c>
      <c r="L149" s="1823"/>
      <c r="M149" s="1823">
        <v>0</v>
      </c>
      <c r="N149" s="1823">
        <v>1912725</v>
      </c>
      <c r="O149" s="2047">
        <v>0</v>
      </c>
      <c r="P149" s="2047">
        <v>50972954.990000002</v>
      </c>
      <c r="Q149" s="2047">
        <v>0</v>
      </c>
      <c r="R149" s="2047">
        <v>4908452.5599999996</v>
      </c>
      <c r="S149" s="2047">
        <v>0</v>
      </c>
      <c r="T149" s="2047">
        <v>0</v>
      </c>
      <c r="U149" s="2047">
        <v>0</v>
      </c>
      <c r="V149" s="2047">
        <v>0</v>
      </c>
      <c r="W149" s="2047">
        <v>0</v>
      </c>
      <c r="X149" s="2047">
        <v>0</v>
      </c>
      <c r="Y149" s="2047">
        <v>0</v>
      </c>
      <c r="Z149" s="2047">
        <v>0</v>
      </c>
      <c r="AA149" s="2047">
        <v>0</v>
      </c>
      <c r="AB149" s="2047">
        <v>0</v>
      </c>
      <c r="AC149" s="2047">
        <v>0</v>
      </c>
      <c r="AD149" s="2047">
        <v>0</v>
      </c>
      <c r="AE149" s="2047">
        <v>0</v>
      </c>
      <c r="AF149" s="2047">
        <v>0</v>
      </c>
      <c r="AG149" s="1823">
        <v>0</v>
      </c>
      <c r="AI149" s="649">
        <f t="shared" si="20"/>
        <v>57794132.549999997</v>
      </c>
    </row>
    <row r="150" spans="1:35" x14ac:dyDescent="0.2">
      <c r="A150" s="1129">
        <v>2085</v>
      </c>
      <c r="B150" s="3306" t="s">
        <v>1226</v>
      </c>
      <c r="C150" s="3306"/>
      <c r="D150" t="str">
        <f t="shared" si="21"/>
        <v>OK</v>
      </c>
      <c r="E150" s="1823">
        <v>0</v>
      </c>
      <c r="F150" s="1823">
        <v>0</v>
      </c>
      <c r="G150" s="1823">
        <v>0</v>
      </c>
      <c r="H150" s="1823">
        <v>0</v>
      </c>
      <c r="I150" s="1823">
        <v>0</v>
      </c>
      <c r="J150" s="1823">
        <v>0</v>
      </c>
      <c r="K150" s="1823">
        <v>0</v>
      </c>
      <c r="L150" s="1823"/>
      <c r="M150" s="1823">
        <v>0</v>
      </c>
      <c r="N150" s="1823">
        <v>0</v>
      </c>
      <c r="O150" s="2047">
        <v>0</v>
      </c>
      <c r="P150" s="2047">
        <v>0</v>
      </c>
      <c r="Q150" s="2047">
        <v>4186114.58</v>
      </c>
      <c r="R150" s="2047">
        <v>0</v>
      </c>
      <c r="S150" s="2047">
        <v>0</v>
      </c>
      <c r="T150" s="2047">
        <v>0</v>
      </c>
      <c r="U150" s="2047">
        <v>0</v>
      </c>
      <c r="V150" s="2047">
        <v>0</v>
      </c>
      <c r="W150" s="2047">
        <v>0</v>
      </c>
      <c r="X150" s="2047">
        <v>0</v>
      </c>
      <c r="Y150" s="2047">
        <v>0</v>
      </c>
      <c r="Z150" s="2047">
        <v>0</v>
      </c>
      <c r="AA150" s="2047">
        <v>0</v>
      </c>
      <c r="AB150" s="2047">
        <v>0</v>
      </c>
      <c r="AC150" s="2047">
        <v>30000</v>
      </c>
      <c r="AD150" s="2047">
        <v>0</v>
      </c>
      <c r="AE150" s="2047">
        <v>0</v>
      </c>
      <c r="AF150" s="2047">
        <v>0</v>
      </c>
      <c r="AG150" s="1823">
        <v>0</v>
      </c>
      <c r="AI150" s="649">
        <f t="shared" si="20"/>
        <v>4216114.58</v>
      </c>
    </row>
    <row r="151" spans="1:35" x14ac:dyDescent="0.2">
      <c r="A151" s="1129">
        <v>2087</v>
      </c>
      <c r="B151" s="3306" t="s">
        <v>4602</v>
      </c>
      <c r="C151" s="3306"/>
      <c r="D151" t="str">
        <f t="shared" si="21"/>
        <v>OK</v>
      </c>
      <c r="E151" s="1823">
        <v>0</v>
      </c>
      <c r="F151" s="1823">
        <v>0</v>
      </c>
      <c r="G151" s="1823">
        <v>0</v>
      </c>
      <c r="H151" s="1823">
        <v>0</v>
      </c>
      <c r="I151" s="1823">
        <v>0</v>
      </c>
      <c r="J151" s="1823">
        <v>0</v>
      </c>
      <c r="K151" s="1823">
        <v>0</v>
      </c>
      <c r="L151" s="1823"/>
      <c r="M151" s="1823">
        <v>0</v>
      </c>
      <c r="N151" s="1823">
        <v>0</v>
      </c>
      <c r="O151" s="2047">
        <v>0</v>
      </c>
      <c r="P151" s="2047">
        <v>0</v>
      </c>
      <c r="Q151" s="2047">
        <v>14338276</v>
      </c>
      <c r="R151" s="2047">
        <v>0</v>
      </c>
      <c r="S151" s="2047">
        <v>0</v>
      </c>
      <c r="T151" s="2047">
        <v>0</v>
      </c>
      <c r="U151" s="2047">
        <v>0</v>
      </c>
      <c r="V151" s="2047">
        <v>0</v>
      </c>
      <c r="W151" s="2047">
        <v>0</v>
      </c>
      <c r="X151" s="2047">
        <v>0</v>
      </c>
      <c r="Y151" s="2047">
        <v>0</v>
      </c>
      <c r="Z151" s="2047">
        <v>0</v>
      </c>
      <c r="AA151" s="2047">
        <v>0</v>
      </c>
      <c r="AB151" s="2047">
        <v>0</v>
      </c>
      <c r="AC151" s="2047">
        <v>0</v>
      </c>
      <c r="AD151" s="2047">
        <v>0</v>
      </c>
      <c r="AE151" s="2047">
        <v>0</v>
      </c>
      <c r="AF151" s="2047">
        <v>0</v>
      </c>
      <c r="AG151" s="1823">
        <v>0</v>
      </c>
      <c r="AI151" s="649">
        <f t="shared" si="20"/>
        <v>14338276</v>
      </c>
    </row>
    <row r="152" spans="1:35" x14ac:dyDescent="0.2">
      <c r="A152" s="1129">
        <v>2090</v>
      </c>
      <c r="B152" s="3306" t="s">
        <v>80</v>
      </c>
      <c r="C152" s="3306"/>
      <c r="D152" t="str">
        <f t="shared" si="21"/>
        <v>OK</v>
      </c>
      <c r="E152" s="1823">
        <v>44368649.969999999</v>
      </c>
      <c r="F152" s="1823">
        <v>32818751.789999999</v>
      </c>
      <c r="G152" s="1823">
        <v>11549898.18</v>
      </c>
      <c r="H152" s="1823">
        <v>0</v>
      </c>
      <c r="I152" s="1823">
        <v>0</v>
      </c>
      <c r="J152" s="1823">
        <v>0</v>
      </c>
      <c r="K152" s="1823">
        <v>0</v>
      </c>
      <c r="L152" s="1823"/>
      <c r="M152" s="1823">
        <v>0</v>
      </c>
      <c r="N152" s="1823">
        <v>0</v>
      </c>
      <c r="O152" s="2047">
        <v>5380871.3700000001</v>
      </c>
      <c r="P152" s="2047">
        <v>194852219.71000001</v>
      </c>
      <c r="Q152" s="2047">
        <v>80789544.319999993</v>
      </c>
      <c r="R152" s="2047">
        <v>15528453.32</v>
      </c>
      <c r="S152" s="2047">
        <v>19522136.879999999</v>
      </c>
      <c r="T152" s="2047">
        <v>3038313</v>
      </c>
      <c r="U152" s="2047">
        <v>12459975.98</v>
      </c>
      <c r="V152" s="2047">
        <v>26794846.25</v>
      </c>
      <c r="W152" s="2047">
        <v>11546709.33</v>
      </c>
      <c r="X152" s="2047">
        <v>5062491</v>
      </c>
      <c r="Y152" s="2047">
        <v>13939776.789999999</v>
      </c>
      <c r="Z152" s="2047">
        <v>3524252.14</v>
      </c>
      <c r="AA152" s="2047">
        <v>4216128</v>
      </c>
      <c r="AB152" s="2047">
        <v>1981255.06</v>
      </c>
      <c r="AC152" s="2047">
        <v>3762271.05</v>
      </c>
      <c r="AD152" s="2047">
        <v>6102472</v>
      </c>
      <c r="AE152" s="2047">
        <v>2667936.96</v>
      </c>
      <c r="AF152" s="2047">
        <v>0</v>
      </c>
      <c r="AG152" s="1823">
        <v>163216.95000000001</v>
      </c>
      <c r="AI152" s="649">
        <f t="shared" si="20"/>
        <v>455538303.13</v>
      </c>
    </row>
    <row r="153" spans="1:35" x14ac:dyDescent="0.2">
      <c r="A153" s="2079">
        <v>2098</v>
      </c>
      <c r="B153" s="3306" t="s">
        <v>3849</v>
      </c>
      <c r="C153" s="3306"/>
      <c r="D153" t="str">
        <f t="shared" si="21"/>
        <v>OK</v>
      </c>
      <c r="E153" s="1823">
        <v>575846528</v>
      </c>
      <c r="F153" s="1823">
        <v>369100873.98000002</v>
      </c>
      <c r="G153" s="1823">
        <v>89076241.019999996</v>
      </c>
      <c r="H153" s="1823">
        <v>0</v>
      </c>
      <c r="I153" s="1823">
        <v>117669413</v>
      </c>
      <c r="J153" s="1823">
        <v>0</v>
      </c>
      <c r="K153" s="1823">
        <v>0</v>
      </c>
      <c r="L153" s="1823"/>
      <c r="M153" s="1823">
        <v>0</v>
      </c>
      <c r="N153" s="1823">
        <v>0</v>
      </c>
      <c r="O153" s="2047">
        <v>12629311</v>
      </c>
      <c r="P153" s="2047">
        <v>379561977</v>
      </c>
      <c r="Q153" s="2047">
        <v>274052313</v>
      </c>
      <c r="R153" s="2047">
        <v>64088953</v>
      </c>
      <c r="S153" s="2047">
        <v>90047124</v>
      </c>
      <c r="T153" s="2047">
        <v>13697360</v>
      </c>
      <c r="U153" s="2047">
        <v>50369845</v>
      </c>
      <c r="V153" s="2047">
        <v>165192312</v>
      </c>
      <c r="W153" s="2047">
        <v>51308617</v>
      </c>
      <c r="X153" s="2047">
        <v>40332122</v>
      </c>
      <c r="Y153" s="2047">
        <v>82318270</v>
      </c>
      <c r="Z153" s="2047">
        <v>24475710</v>
      </c>
      <c r="AA153" s="2047">
        <v>23355708</v>
      </c>
      <c r="AB153" s="2047">
        <v>12265643</v>
      </c>
      <c r="AC153" s="2047">
        <v>23795493</v>
      </c>
      <c r="AD153" s="2047">
        <v>41244313</v>
      </c>
      <c r="AE153" s="2047">
        <v>11027239</v>
      </c>
      <c r="AF153" s="2047">
        <v>0</v>
      </c>
      <c r="AG153" s="1823">
        <v>862203</v>
      </c>
      <c r="AH153" s="1491"/>
      <c r="AI153" s="649">
        <f t="shared" si="20"/>
        <v>1935608838</v>
      </c>
    </row>
    <row r="154" spans="1:35" x14ac:dyDescent="0.2">
      <c r="A154" s="2079">
        <v>2099</v>
      </c>
      <c r="B154" s="3306" t="s">
        <v>4437</v>
      </c>
      <c r="C154" s="3306"/>
      <c r="D154" t="str">
        <f t="shared" si="21"/>
        <v>OK</v>
      </c>
      <c r="E154" s="1823">
        <v>1216059289.49</v>
      </c>
      <c r="F154" s="1823">
        <v>968217608.19000006</v>
      </c>
      <c r="G154" s="1823">
        <v>247841681.30000001</v>
      </c>
      <c r="H154" s="1823">
        <v>0</v>
      </c>
      <c r="I154" s="1823">
        <v>0</v>
      </c>
      <c r="J154" s="1823">
        <v>0</v>
      </c>
      <c r="K154" s="1823">
        <v>0</v>
      </c>
      <c r="L154" s="1823"/>
      <c r="M154" s="1823">
        <v>0</v>
      </c>
      <c r="N154" s="1823">
        <v>0</v>
      </c>
      <c r="O154" s="2047">
        <v>46018292</v>
      </c>
      <c r="P154" s="2047">
        <v>1930637269</v>
      </c>
      <c r="Q154" s="2047">
        <v>1082941007</v>
      </c>
      <c r="R154" s="2047">
        <v>283448805</v>
      </c>
      <c r="S154" s="2047">
        <v>429421307</v>
      </c>
      <c r="T154" s="2047">
        <v>66832603</v>
      </c>
      <c r="U154" s="2047">
        <v>227540712</v>
      </c>
      <c r="V154" s="2047">
        <v>673169944</v>
      </c>
      <c r="W154" s="2047">
        <v>163896722</v>
      </c>
      <c r="X154" s="2047">
        <v>161140228</v>
      </c>
      <c r="Y154" s="2047">
        <v>287920246</v>
      </c>
      <c r="Z154" s="2047">
        <v>87509234.780000001</v>
      </c>
      <c r="AA154" s="2047">
        <v>77442729</v>
      </c>
      <c r="AB154" s="2047">
        <v>31959258</v>
      </c>
      <c r="AC154" s="2047">
        <v>75040414</v>
      </c>
      <c r="AD154" s="2047">
        <v>120303852</v>
      </c>
      <c r="AE154" s="2047">
        <v>42781867</v>
      </c>
      <c r="AF154" s="2047">
        <v>0</v>
      </c>
      <c r="AG154" s="1823">
        <v>2054345</v>
      </c>
      <c r="AH154" s="1491"/>
      <c r="AI154" s="649">
        <f t="shared" si="20"/>
        <v>7004063779.2700005</v>
      </c>
    </row>
    <row r="155" spans="1:35" x14ac:dyDescent="0.2">
      <c r="A155" s="1129">
        <v>2095</v>
      </c>
      <c r="B155" s="3306" t="s">
        <v>1424</v>
      </c>
      <c r="C155" s="3306"/>
      <c r="D155" t="str">
        <f t="shared" si="21"/>
        <v>OK</v>
      </c>
      <c r="E155" s="1823">
        <v>17237630</v>
      </c>
      <c r="F155" s="1823">
        <v>0</v>
      </c>
      <c r="G155" s="1823">
        <v>0</v>
      </c>
      <c r="H155" s="1823">
        <v>17237630</v>
      </c>
      <c r="I155" s="1823">
        <v>0</v>
      </c>
      <c r="J155" s="1823">
        <v>0</v>
      </c>
      <c r="K155" s="1823">
        <v>0</v>
      </c>
      <c r="L155" s="1823"/>
      <c r="M155" s="1823">
        <v>0</v>
      </c>
      <c r="N155" s="1823">
        <v>0</v>
      </c>
      <c r="O155" s="2047">
        <v>0</v>
      </c>
      <c r="P155" s="2047">
        <v>0</v>
      </c>
      <c r="Q155" s="2047">
        <v>0</v>
      </c>
      <c r="R155" s="2047">
        <v>0</v>
      </c>
      <c r="S155" s="2047">
        <v>0</v>
      </c>
      <c r="T155" s="2047">
        <v>0</v>
      </c>
      <c r="U155" s="2047">
        <v>0</v>
      </c>
      <c r="V155" s="2047">
        <v>0</v>
      </c>
      <c r="W155" s="2047">
        <v>0</v>
      </c>
      <c r="X155" s="2047">
        <v>0</v>
      </c>
      <c r="Y155" s="2047">
        <v>0</v>
      </c>
      <c r="Z155" s="2047">
        <v>0</v>
      </c>
      <c r="AA155" s="2047">
        <v>0</v>
      </c>
      <c r="AB155" s="2047">
        <v>0</v>
      </c>
      <c r="AC155" s="2047">
        <v>0</v>
      </c>
      <c r="AD155" s="2047">
        <v>0</v>
      </c>
      <c r="AE155" s="2047">
        <v>0</v>
      </c>
      <c r="AF155" s="2047">
        <v>0</v>
      </c>
      <c r="AG155" s="1823">
        <v>0</v>
      </c>
      <c r="AI155" s="649">
        <f t="shared" si="20"/>
        <v>17237630</v>
      </c>
    </row>
    <row r="156" spans="1:35" x14ac:dyDescent="0.2">
      <c r="A156" s="1129">
        <v>2096</v>
      </c>
      <c r="B156" s="3206" t="s">
        <v>1549</v>
      </c>
      <c r="C156" s="3206"/>
      <c r="D156" t="str">
        <f t="shared" si="21"/>
        <v>OK</v>
      </c>
      <c r="E156" s="1823">
        <v>0</v>
      </c>
      <c r="F156" s="1823">
        <v>0</v>
      </c>
      <c r="G156" s="1823">
        <v>0</v>
      </c>
      <c r="H156" s="1823">
        <v>0</v>
      </c>
      <c r="I156" s="1823">
        <v>0</v>
      </c>
      <c r="J156" s="1823">
        <v>0</v>
      </c>
      <c r="K156" s="1823">
        <v>0</v>
      </c>
      <c r="L156" s="1823"/>
      <c r="M156" s="1823">
        <v>0</v>
      </c>
      <c r="N156" s="1823">
        <v>0</v>
      </c>
      <c r="O156" s="2047">
        <v>0</v>
      </c>
      <c r="P156" s="2047">
        <v>0</v>
      </c>
      <c r="Q156" s="2047">
        <v>0</v>
      </c>
      <c r="R156" s="2047">
        <v>0</v>
      </c>
      <c r="S156" s="2047">
        <v>0</v>
      </c>
      <c r="T156" s="2047">
        <v>0</v>
      </c>
      <c r="U156" s="2047">
        <v>0</v>
      </c>
      <c r="V156" s="2047">
        <v>0</v>
      </c>
      <c r="W156" s="2047">
        <v>0</v>
      </c>
      <c r="X156" s="2047">
        <v>0</v>
      </c>
      <c r="Y156" s="2047">
        <v>0</v>
      </c>
      <c r="Z156" s="2047">
        <v>0</v>
      </c>
      <c r="AA156" s="2047">
        <v>0</v>
      </c>
      <c r="AB156" s="2047">
        <v>0</v>
      </c>
      <c r="AC156" s="2047">
        <v>0</v>
      </c>
      <c r="AD156" s="2047">
        <v>0</v>
      </c>
      <c r="AE156" s="2047">
        <v>0</v>
      </c>
      <c r="AF156" s="2047">
        <v>0</v>
      </c>
      <c r="AG156" s="1823">
        <v>0</v>
      </c>
      <c r="AI156" s="649">
        <f t="shared" si="20"/>
        <v>0</v>
      </c>
    </row>
    <row r="157" spans="1:35" x14ac:dyDescent="0.2">
      <c r="B157" s="3206" t="s">
        <v>474</v>
      </c>
      <c r="C157" s="3206"/>
      <c r="D157" t="str">
        <f t="shared" si="21"/>
        <v>OK</v>
      </c>
      <c r="E157" s="661">
        <f t="shared" ref="E157:AG157" si="22">SUM(E136:E156)</f>
        <v>2913369933.4000001</v>
      </c>
      <c r="F157" s="661">
        <f t="shared" si="22"/>
        <v>1938012998.1900001</v>
      </c>
      <c r="G157" s="661">
        <f t="shared" si="22"/>
        <v>365492107.45999998</v>
      </c>
      <c r="H157" s="661">
        <f t="shared" si="22"/>
        <v>17237630</v>
      </c>
      <c r="I157" s="661">
        <f t="shared" si="22"/>
        <v>573996984.38</v>
      </c>
      <c r="J157" s="661">
        <f t="shared" si="22"/>
        <v>11308390.289999999</v>
      </c>
      <c r="K157" s="661">
        <f t="shared" si="22"/>
        <v>0</v>
      </c>
      <c r="L157" s="661">
        <f t="shared" si="22"/>
        <v>0</v>
      </c>
      <c r="M157" s="661">
        <f t="shared" si="22"/>
        <v>0</v>
      </c>
      <c r="N157" s="661">
        <f t="shared" si="22"/>
        <v>7321823.0800000001</v>
      </c>
      <c r="O157" s="706">
        <f t="shared" si="22"/>
        <v>64483472.57</v>
      </c>
      <c r="P157" s="661">
        <f t="shared" si="22"/>
        <v>4019864153.0500002</v>
      </c>
      <c r="Q157" s="661">
        <f t="shared" si="22"/>
        <v>2100562017.71</v>
      </c>
      <c r="R157" s="661">
        <f t="shared" si="22"/>
        <v>668945964.46000004</v>
      </c>
      <c r="S157" s="661">
        <f t="shared" si="22"/>
        <v>1110074354.6600001</v>
      </c>
      <c r="T157" s="661">
        <f t="shared" si="22"/>
        <v>163088743.63999999</v>
      </c>
      <c r="U157" s="661">
        <f t="shared" si="22"/>
        <v>513670686.97000003</v>
      </c>
      <c r="V157" s="661">
        <f t="shared" si="22"/>
        <v>1255321531.1600001</v>
      </c>
      <c r="W157" s="661">
        <f t="shared" si="22"/>
        <v>324255449.08999997</v>
      </c>
      <c r="X157" s="661">
        <f t="shared" si="22"/>
        <v>474684430.11000001</v>
      </c>
      <c r="Y157" s="661">
        <f t="shared" si="22"/>
        <v>752029512.23000002</v>
      </c>
      <c r="Z157" s="661">
        <f t="shared" si="22"/>
        <v>168470873.86000001</v>
      </c>
      <c r="AA157" s="661">
        <f t="shared" si="22"/>
        <v>200020739.16</v>
      </c>
      <c r="AB157" s="661">
        <f t="shared" si="22"/>
        <v>86755691.810000002</v>
      </c>
      <c r="AC157" s="661">
        <f t="shared" si="22"/>
        <v>159582012.13</v>
      </c>
      <c r="AD157" s="661">
        <f t="shared" si="22"/>
        <v>284165548.19999999</v>
      </c>
      <c r="AE157" s="661">
        <f t="shared" si="22"/>
        <v>107460797.43000001</v>
      </c>
      <c r="AF157" s="661">
        <f t="shared" si="22"/>
        <v>19502215.16</v>
      </c>
      <c r="AG157" s="661">
        <f t="shared" si="22"/>
        <v>3079764.95</v>
      </c>
      <c r="AI157" s="649">
        <f t="shared" si="20"/>
        <v>15386308126.799999</v>
      </c>
    </row>
    <row r="158" spans="1:35" x14ac:dyDescent="0.2">
      <c r="B158" s="398"/>
      <c r="C158" s="398"/>
      <c r="E158" s="649"/>
      <c r="F158" s="649"/>
      <c r="G158" s="649"/>
      <c r="H158" s="649"/>
      <c r="I158" s="649"/>
      <c r="J158" s="649"/>
      <c r="K158" s="649"/>
      <c r="L158" s="649"/>
      <c r="M158" s="649"/>
      <c r="N158" s="649"/>
      <c r="O158" s="393"/>
      <c r="P158" s="649"/>
      <c r="Q158" s="649"/>
      <c r="R158" s="649"/>
      <c r="S158" s="649"/>
      <c r="T158" s="649"/>
      <c r="U158" s="649"/>
      <c r="V158" s="649"/>
      <c r="W158" s="649"/>
      <c r="X158" s="649"/>
      <c r="Y158" s="649"/>
      <c r="Z158" s="649"/>
      <c r="AA158" s="649"/>
      <c r="AB158" s="649"/>
      <c r="AC158" s="649"/>
      <c r="AD158" s="649"/>
      <c r="AE158" s="649"/>
      <c r="AF158" s="649"/>
      <c r="AG158" s="649"/>
      <c r="AI158" s="649">
        <f t="shared" si="20"/>
        <v>0</v>
      </c>
    </row>
    <row r="159" spans="1:35" x14ac:dyDescent="0.2">
      <c r="B159" s="3206" t="s">
        <v>791</v>
      </c>
      <c r="C159" s="3206"/>
      <c r="D159" s="2078" t="str">
        <f>IF(ROUND(SUM(F159:N159),2)-ROUND(E159,2)=0,"OK","prob")</f>
        <v>prob</v>
      </c>
      <c r="E159" s="651">
        <f t="shared" ref="E159:AG159" si="23">E132+E157</f>
        <v>4654623735.6300001</v>
      </c>
      <c r="F159" s="651">
        <f t="shared" si="23"/>
        <v>2576699961.54</v>
      </c>
      <c r="G159" s="651">
        <f t="shared" si="23"/>
        <v>1215724683.72</v>
      </c>
      <c r="H159" s="651">
        <f t="shared" si="23"/>
        <v>22729719</v>
      </c>
      <c r="I159" s="651">
        <f t="shared" si="23"/>
        <v>851327086.88</v>
      </c>
      <c r="J159" s="651">
        <f t="shared" si="23"/>
        <v>27226729.23</v>
      </c>
      <c r="K159" s="651">
        <f t="shared" si="23"/>
        <v>92188909.030000001</v>
      </c>
      <c r="L159" s="651">
        <f t="shared" si="23"/>
        <v>0</v>
      </c>
      <c r="M159" s="651">
        <f t="shared" si="23"/>
        <v>25067066.300000001</v>
      </c>
      <c r="N159" s="651">
        <f t="shared" si="23"/>
        <v>35025468.93</v>
      </c>
      <c r="O159" s="843">
        <f t="shared" si="23"/>
        <v>78375820.140000001</v>
      </c>
      <c r="P159" s="651">
        <f t="shared" si="23"/>
        <v>4512697481.1700001</v>
      </c>
      <c r="Q159" s="651">
        <f t="shared" si="23"/>
        <v>2274271036.5999999</v>
      </c>
      <c r="R159" s="651">
        <f t="shared" si="23"/>
        <v>707795723.15999997</v>
      </c>
      <c r="S159" s="651">
        <f t="shared" si="23"/>
        <v>1245515378.71</v>
      </c>
      <c r="T159" s="651">
        <f t="shared" si="23"/>
        <v>172125980.33000001</v>
      </c>
      <c r="U159" s="651">
        <f t="shared" si="23"/>
        <v>550123417.23000002</v>
      </c>
      <c r="V159" s="651">
        <f t="shared" si="23"/>
        <v>1350082442.03</v>
      </c>
      <c r="W159" s="651">
        <f t="shared" si="23"/>
        <v>340143795.07999998</v>
      </c>
      <c r="X159" s="651">
        <f t="shared" si="23"/>
        <v>512599861.50999999</v>
      </c>
      <c r="Y159" s="651">
        <f t="shared" si="23"/>
        <v>803621208.79999995</v>
      </c>
      <c r="Z159" s="651">
        <f t="shared" si="23"/>
        <v>186537820.16</v>
      </c>
      <c r="AA159" s="651">
        <f t="shared" si="23"/>
        <v>214890110.75999999</v>
      </c>
      <c r="AB159" s="651">
        <f t="shared" si="23"/>
        <v>93117665.980000004</v>
      </c>
      <c r="AC159" s="651">
        <f t="shared" si="23"/>
        <v>171402478.12</v>
      </c>
      <c r="AD159" s="651">
        <f t="shared" si="23"/>
        <v>304132158.49000001</v>
      </c>
      <c r="AE159" s="651">
        <f t="shared" si="23"/>
        <v>117819857.15000001</v>
      </c>
      <c r="AF159" s="651">
        <f t="shared" si="23"/>
        <v>21343159.550000001</v>
      </c>
      <c r="AG159" s="651">
        <f t="shared" si="23"/>
        <v>3217715.33</v>
      </c>
      <c r="AI159" s="649">
        <f t="shared" si="20"/>
        <v>18502585019.599998</v>
      </c>
    </row>
    <row r="160" spans="1:35" x14ac:dyDescent="0.2">
      <c r="B160" s="335"/>
      <c r="C160" s="335"/>
      <c r="E160" s="649"/>
      <c r="F160" s="649"/>
      <c r="G160" s="649"/>
      <c r="H160" s="649"/>
      <c r="I160" s="649"/>
      <c r="J160" s="649"/>
      <c r="K160" s="649"/>
      <c r="L160" s="649"/>
      <c r="M160" s="649"/>
      <c r="N160" s="649"/>
      <c r="O160" s="393"/>
      <c r="P160" s="649"/>
      <c r="Q160" s="649"/>
      <c r="R160" s="649"/>
      <c r="S160" s="649"/>
      <c r="T160" s="649"/>
      <c r="U160" s="649"/>
      <c r="V160" s="649"/>
      <c r="W160" s="649"/>
      <c r="X160" s="649"/>
      <c r="Y160" s="649"/>
      <c r="Z160" s="649"/>
      <c r="AA160" s="649"/>
      <c r="AB160" s="649"/>
      <c r="AC160" s="649"/>
      <c r="AD160" s="649"/>
      <c r="AE160" s="649"/>
      <c r="AF160" s="649"/>
      <c r="AG160" s="649"/>
      <c r="AI160" s="649">
        <f t="shared" si="20"/>
        <v>0</v>
      </c>
    </row>
    <row r="161" spans="1:35" x14ac:dyDescent="0.2">
      <c r="B161" s="394" t="s">
        <v>1931</v>
      </c>
      <c r="C161" s="335"/>
      <c r="E161" s="649"/>
      <c r="F161" s="649"/>
      <c r="G161" s="649"/>
      <c r="H161" s="649"/>
      <c r="I161" s="649"/>
      <c r="J161" s="649"/>
      <c r="K161" s="649"/>
      <c r="L161" s="649"/>
      <c r="M161" s="649"/>
      <c r="N161" s="649"/>
      <c r="O161" s="393"/>
      <c r="P161" s="649"/>
      <c r="Q161" s="649"/>
      <c r="R161" s="649"/>
      <c r="S161" s="649"/>
      <c r="T161" s="649"/>
      <c r="U161" s="649"/>
      <c r="V161" s="649"/>
      <c r="W161" s="649"/>
      <c r="X161" s="649"/>
      <c r="Y161" s="649"/>
      <c r="Z161" s="649"/>
      <c r="AA161" s="649"/>
      <c r="AB161" s="649"/>
      <c r="AC161" s="649"/>
      <c r="AD161" s="649"/>
      <c r="AE161" s="649"/>
      <c r="AF161" s="649"/>
      <c r="AG161" s="649"/>
      <c r="AI161" s="649">
        <f t="shared" si="20"/>
        <v>0</v>
      </c>
    </row>
    <row r="162" spans="1:35" x14ac:dyDescent="0.2">
      <c r="A162" s="335">
        <v>1764</v>
      </c>
      <c r="B162" s="3294" t="s">
        <v>1932</v>
      </c>
      <c r="C162" s="3294"/>
      <c r="D162" t="str">
        <f t="shared" ref="D162:D172" si="24">IF(SUM(F162:N162)-E162=0,"OK","prob")</f>
        <v>OK</v>
      </c>
      <c r="E162" s="649">
        <v>0</v>
      </c>
      <c r="F162" s="649">
        <v>0</v>
      </c>
      <c r="G162" s="649">
        <v>0</v>
      </c>
      <c r="H162" s="649">
        <v>0</v>
      </c>
      <c r="I162" s="649">
        <v>0</v>
      </c>
      <c r="J162" s="649">
        <v>0</v>
      </c>
      <c r="K162" s="649">
        <v>0</v>
      </c>
      <c r="L162" s="649"/>
      <c r="M162" s="649">
        <v>0</v>
      </c>
      <c r="N162" s="649">
        <v>0</v>
      </c>
      <c r="O162" s="393">
        <v>0</v>
      </c>
      <c r="P162" s="393">
        <v>0</v>
      </c>
      <c r="Q162" s="393">
        <v>0</v>
      </c>
      <c r="R162" s="393">
        <v>0</v>
      </c>
      <c r="S162" s="393">
        <v>0</v>
      </c>
      <c r="T162" s="393">
        <v>0</v>
      </c>
      <c r="U162" s="393">
        <v>0</v>
      </c>
      <c r="V162" s="393">
        <v>0</v>
      </c>
      <c r="W162" s="393">
        <v>0</v>
      </c>
      <c r="X162" s="393">
        <v>0</v>
      </c>
      <c r="Y162" s="393">
        <v>0</v>
      </c>
      <c r="Z162" s="393">
        <v>0</v>
      </c>
      <c r="AA162" s="393">
        <v>0</v>
      </c>
      <c r="AB162" s="393">
        <v>0</v>
      </c>
      <c r="AC162" s="393">
        <v>0</v>
      </c>
      <c r="AD162" s="393">
        <v>0</v>
      </c>
      <c r="AE162" s="393">
        <v>0</v>
      </c>
      <c r="AF162" s="393">
        <v>0</v>
      </c>
      <c r="AG162" s="649">
        <v>0</v>
      </c>
      <c r="AI162" s="649">
        <f t="shared" si="20"/>
        <v>0</v>
      </c>
    </row>
    <row r="163" spans="1:35" x14ac:dyDescent="0.2">
      <c r="A163" s="335">
        <v>2026</v>
      </c>
      <c r="B163" s="3294" t="s">
        <v>1933</v>
      </c>
      <c r="C163" s="3294"/>
      <c r="D163" t="str">
        <f t="shared" si="24"/>
        <v>OK</v>
      </c>
      <c r="E163" s="649">
        <v>0</v>
      </c>
      <c r="F163" s="649">
        <v>0</v>
      </c>
      <c r="G163" s="649">
        <v>0</v>
      </c>
      <c r="H163" s="649">
        <v>0</v>
      </c>
      <c r="I163" s="649">
        <v>0</v>
      </c>
      <c r="J163" s="649">
        <v>0</v>
      </c>
      <c r="K163" s="649">
        <v>0</v>
      </c>
      <c r="L163" s="649"/>
      <c r="M163" s="649">
        <v>0</v>
      </c>
      <c r="N163" s="649">
        <v>0</v>
      </c>
      <c r="O163" s="393">
        <v>0</v>
      </c>
      <c r="P163" s="393">
        <v>0</v>
      </c>
      <c r="Q163" s="393">
        <v>0</v>
      </c>
      <c r="R163" s="393">
        <v>0</v>
      </c>
      <c r="S163" s="393">
        <v>0</v>
      </c>
      <c r="T163" s="393">
        <v>0</v>
      </c>
      <c r="U163" s="393">
        <v>68012640.329999998</v>
      </c>
      <c r="V163" s="393">
        <v>0</v>
      </c>
      <c r="W163" s="393">
        <v>0</v>
      </c>
      <c r="X163" s="393">
        <v>20576824.149999999</v>
      </c>
      <c r="Y163" s="393">
        <v>30208065.859999999</v>
      </c>
      <c r="Z163" s="393">
        <v>0</v>
      </c>
      <c r="AA163" s="393">
        <v>0</v>
      </c>
      <c r="AB163" s="393">
        <v>0</v>
      </c>
      <c r="AC163" s="393">
        <v>0</v>
      </c>
      <c r="AD163" s="393">
        <v>65822500.659999996</v>
      </c>
      <c r="AE163" s="393">
        <v>0</v>
      </c>
      <c r="AF163" s="393">
        <v>0</v>
      </c>
      <c r="AG163" s="649">
        <v>0</v>
      </c>
      <c r="AI163" s="649">
        <f t="shared" si="20"/>
        <v>184620031</v>
      </c>
    </row>
    <row r="164" spans="1:35" x14ac:dyDescent="0.2">
      <c r="A164" s="335">
        <v>1766</v>
      </c>
      <c r="B164" s="3294" t="s">
        <v>3802</v>
      </c>
      <c r="C164" s="3294"/>
      <c r="D164" t="str">
        <f t="shared" si="24"/>
        <v>OK</v>
      </c>
      <c r="E164" s="649">
        <v>0</v>
      </c>
      <c r="F164" s="649">
        <v>0</v>
      </c>
      <c r="G164" s="649">
        <v>0</v>
      </c>
      <c r="H164" s="649">
        <v>0</v>
      </c>
      <c r="I164" s="649">
        <v>0</v>
      </c>
      <c r="J164" s="649">
        <v>0</v>
      </c>
      <c r="K164" s="649">
        <v>0</v>
      </c>
      <c r="L164" s="649"/>
      <c r="M164" s="649">
        <v>0</v>
      </c>
      <c r="N164" s="649">
        <v>0</v>
      </c>
      <c r="O164" s="393">
        <v>0</v>
      </c>
      <c r="P164" s="393">
        <v>0</v>
      </c>
      <c r="Q164" s="393">
        <v>0</v>
      </c>
      <c r="R164" s="393">
        <v>0</v>
      </c>
      <c r="S164" s="393">
        <v>25437.52</v>
      </c>
      <c r="T164" s="393">
        <v>74510.86</v>
      </c>
      <c r="U164" s="393">
        <v>1211674.8600000001</v>
      </c>
      <c r="V164" s="393">
        <v>0</v>
      </c>
      <c r="W164" s="393">
        <v>0</v>
      </c>
      <c r="X164" s="393">
        <v>0</v>
      </c>
      <c r="Y164" s="393">
        <v>0</v>
      </c>
      <c r="Z164" s="393">
        <v>0</v>
      </c>
      <c r="AA164" s="393">
        <v>0</v>
      </c>
      <c r="AB164" s="393">
        <v>0</v>
      </c>
      <c r="AC164" s="393">
        <v>0</v>
      </c>
      <c r="AD164" s="393">
        <v>0</v>
      </c>
      <c r="AE164" s="393">
        <v>0</v>
      </c>
      <c r="AF164" s="393">
        <v>0</v>
      </c>
      <c r="AG164" s="649">
        <v>0</v>
      </c>
      <c r="AI164" s="649">
        <f t="shared" si="20"/>
        <v>1311623.24</v>
      </c>
    </row>
    <row r="165" spans="1:35" x14ac:dyDescent="0.2">
      <c r="A165" s="335">
        <v>1768</v>
      </c>
      <c r="B165" s="3294" t="s">
        <v>3577</v>
      </c>
      <c r="C165" s="3294"/>
      <c r="D165" t="str">
        <f t="shared" si="24"/>
        <v>OK</v>
      </c>
      <c r="E165" s="649">
        <v>0</v>
      </c>
      <c r="F165" s="649">
        <v>0</v>
      </c>
      <c r="G165" s="649">
        <v>0</v>
      </c>
      <c r="H165" s="649">
        <v>0</v>
      </c>
      <c r="I165" s="649">
        <v>0</v>
      </c>
      <c r="J165" s="649">
        <v>0</v>
      </c>
      <c r="K165" s="649">
        <v>0</v>
      </c>
      <c r="L165" s="649"/>
      <c r="M165" s="649">
        <v>0</v>
      </c>
      <c r="N165" s="649">
        <v>0</v>
      </c>
      <c r="O165" s="393">
        <v>0</v>
      </c>
      <c r="P165" s="393">
        <v>0</v>
      </c>
      <c r="Q165" s="393">
        <v>0</v>
      </c>
      <c r="R165" s="393">
        <v>0</v>
      </c>
      <c r="S165" s="393">
        <v>0</v>
      </c>
      <c r="T165" s="393">
        <v>0</v>
      </c>
      <c r="U165" s="393">
        <v>0</v>
      </c>
      <c r="V165" s="393">
        <v>0</v>
      </c>
      <c r="W165" s="393">
        <v>356305</v>
      </c>
      <c r="X165" s="393">
        <v>0</v>
      </c>
      <c r="Y165" s="393">
        <v>0</v>
      </c>
      <c r="Z165" s="393">
        <v>0</v>
      </c>
      <c r="AA165" s="393">
        <v>0</v>
      </c>
      <c r="AB165" s="393">
        <v>0</v>
      </c>
      <c r="AC165" s="393">
        <v>0</v>
      </c>
      <c r="AD165" s="393">
        <v>0</v>
      </c>
      <c r="AE165" s="393">
        <v>0</v>
      </c>
      <c r="AF165" s="393">
        <v>0</v>
      </c>
      <c r="AG165" s="649">
        <v>0</v>
      </c>
      <c r="AI165" s="649">
        <f t="shared" si="20"/>
        <v>356305</v>
      </c>
    </row>
    <row r="166" spans="1:35" x14ac:dyDescent="0.2">
      <c r="A166" s="2080">
        <v>1765</v>
      </c>
      <c r="B166" s="3296" t="s">
        <v>3876</v>
      </c>
      <c r="C166" s="3296"/>
      <c r="D166" t="str">
        <f t="shared" si="24"/>
        <v>OK</v>
      </c>
      <c r="E166" s="649">
        <v>0</v>
      </c>
      <c r="F166" s="649">
        <v>0</v>
      </c>
      <c r="G166" s="649">
        <v>0</v>
      </c>
      <c r="H166" s="649">
        <v>0</v>
      </c>
      <c r="I166" s="649">
        <v>0</v>
      </c>
      <c r="J166" s="649">
        <v>0</v>
      </c>
      <c r="K166" s="649">
        <v>0</v>
      </c>
      <c r="L166" s="649"/>
      <c r="M166" s="649">
        <v>0</v>
      </c>
      <c r="N166" s="649">
        <v>0</v>
      </c>
      <c r="O166" s="393">
        <v>74840000</v>
      </c>
      <c r="P166" s="393">
        <v>0</v>
      </c>
      <c r="Q166" s="393">
        <v>0</v>
      </c>
      <c r="R166" s="393">
        <v>0</v>
      </c>
      <c r="S166" s="393">
        <v>0</v>
      </c>
      <c r="T166" s="393">
        <v>0</v>
      </c>
      <c r="U166" s="393">
        <v>0</v>
      </c>
      <c r="V166" s="393">
        <v>0</v>
      </c>
      <c r="W166" s="393">
        <v>0</v>
      </c>
      <c r="X166" s="393">
        <v>0</v>
      </c>
      <c r="Y166" s="393">
        <v>0</v>
      </c>
      <c r="Z166" s="393">
        <v>0</v>
      </c>
      <c r="AA166" s="393">
        <v>0</v>
      </c>
      <c r="AB166" s="393">
        <v>0</v>
      </c>
      <c r="AC166" s="393">
        <v>0</v>
      </c>
      <c r="AD166" s="393">
        <v>0</v>
      </c>
      <c r="AE166" s="393">
        <v>0</v>
      </c>
      <c r="AF166" s="393">
        <v>0</v>
      </c>
      <c r="AG166" s="649">
        <v>0</v>
      </c>
      <c r="AI166" s="649">
        <f t="shared" si="20"/>
        <v>74840000</v>
      </c>
    </row>
    <row r="167" spans="1:35" x14ac:dyDescent="0.2">
      <c r="A167" s="2080">
        <v>1772</v>
      </c>
      <c r="B167" s="3296" t="s">
        <v>4458</v>
      </c>
      <c r="C167" s="3296"/>
      <c r="D167" t="str">
        <f t="shared" si="24"/>
        <v>OK</v>
      </c>
      <c r="E167" s="649">
        <v>0</v>
      </c>
      <c r="F167" s="649">
        <v>0</v>
      </c>
      <c r="G167" s="649">
        <v>0</v>
      </c>
      <c r="H167" s="649">
        <v>0</v>
      </c>
      <c r="I167" s="649">
        <v>0</v>
      </c>
      <c r="J167" s="649">
        <v>0</v>
      </c>
      <c r="K167" s="649">
        <v>0</v>
      </c>
      <c r="L167" s="649"/>
      <c r="M167" s="649">
        <v>0</v>
      </c>
      <c r="N167" s="649">
        <v>0</v>
      </c>
      <c r="O167" s="393">
        <v>179780.09</v>
      </c>
      <c r="P167" s="393">
        <v>22179078.109999999</v>
      </c>
      <c r="Q167" s="393">
        <v>0</v>
      </c>
      <c r="R167" s="393">
        <v>86841.14</v>
      </c>
      <c r="S167" s="393">
        <v>0</v>
      </c>
      <c r="T167" s="393">
        <v>0</v>
      </c>
      <c r="U167" s="393">
        <v>0</v>
      </c>
      <c r="V167" s="393">
        <v>0</v>
      </c>
      <c r="W167" s="393">
        <v>0</v>
      </c>
      <c r="X167" s="393">
        <v>0</v>
      </c>
      <c r="Y167" s="393">
        <v>1361950</v>
      </c>
      <c r="Z167" s="393">
        <v>0</v>
      </c>
      <c r="AA167" s="393">
        <v>0</v>
      </c>
      <c r="AB167" s="393">
        <v>0</v>
      </c>
      <c r="AC167" s="393">
        <v>0</v>
      </c>
      <c r="AD167" s="393">
        <v>0</v>
      </c>
      <c r="AE167" s="393">
        <v>0</v>
      </c>
      <c r="AF167" s="393">
        <v>0</v>
      </c>
      <c r="AG167" s="649">
        <v>0</v>
      </c>
      <c r="AI167" s="649">
        <f t="shared" ref="AI167:AI185" si="25">SUM(F167:AF167)</f>
        <v>23807649.34</v>
      </c>
    </row>
    <row r="168" spans="1:35" x14ac:dyDescent="0.2">
      <c r="A168" s="2080">
        <v>1767</v>
      </c>
      <c r="B168" s="3296" t="s">
        <v>3875</v>
      </c>
      <c r="C168" s="3296"/>
      <c r="D168" t="str">
        <f t="shared" si="24"/>
        <v>OK</v>
      </c>
      <c r="E168" s="649">
        <v>2103462.75</v>
      </c>
      <c r="F168" s="649">
        <v>0</v>
      </c>
      <c r="G168" s="649">
        <v>0</v>
      </c>
      <c r="H168" s="649">
        <v>0</v>
      </c>
      <c r="I168" s="649">
        <v>2103462.75</v>
      </c>
      <c r="J168" s="649">
        <v>0</v>
      </c>
      <c r="K168" s="649">
        <v>0</v>
      </c>
      <c r="L168" s="649"/>
      <c r="M168" s="649">
        <v>0</v>
      </c>
      <c r="N168" s="649">
        <v>0</v>
      </c>
      <c r="O168" s="393">
        <v>225646</v>
      </c>
      <c r="P168" s="393">
        <v>730409</v>
      </c>
      <c r="Q168" s="393">
        <v>0</v>
      </c>
      <c r="R168" s="393">
        <v>0</v>
      </c>
      <c r="S168" s="393">
        <v>0</v>
      </c>
      <c r="T168" s="393">
        <v>254127</v>
      </c>
      <c r="U168" s="393">
        <v>0</v>
      </c>
      <c r="V168" s="393">
        <v>1907731</v>
      </c>
      <c r="W168" s="393">
        <v>0</v>
      </c>
      <c r="X168" s="393">
        <v>0</v>
      </c>
      <c r="Y168" s="393">
        <v>0</v>
      </c>
      <c r="Z168" s="393">
        <v>0.01</v>
      </c>
      <c r="AA168" s="393">
        <v>867395</v>
      </c>
      <c r="AB168" s="393">
        <v>0</v>
      </c>
      <c r="AC168" s="393">
        <v>738655</v>
      </c>
      <c r="AD168" s="393">
        <v>0</v>
      </c>
      <c r="AE168" s="393">
        <v>0</v>
      </c>
      <c r="AF168" s="393">
        <v>0</v>
      </c>
      <c r="AG168" s="649">
        <v>188043</v>
      </c>
      <c r="AI168" s="649">
        <f t="shared" si="25"/>
        <v>6827425.7599999998</v>
      </c>
    </row>
    <row r="169" spans="1:35" x14ac:dyDescent="0.2">
      <c r="A169" s="2080">
        <v>1771</v>
      </c>
      <c r="B169" s="3296" t="s">
        <v>4457</v>
      </c>
      <c r="C169" s="3296"/>
      <c r="D169" t="str">
        <f t="shared" si="24"/>
        <v>OK</v>
      </c>
      <c r="E169" s="649">
        <v>550089662.30999994</v>
      </c>
      <c r="F169" s="649">
        <v>436568163</v>
      </c>
      <c r="G169" s="649">
        <v>113521499.31</v>
      </c>
      <c r="H169" s="649">
        <v>0</v>
      </c>
      <c r="I169" s="649">
        <v>0</v>
      </c>
      <c r="J169" s="649">
        <v>0</v>
      </c>
      <c r="K169" s="649">
        <v>0</v>
      </c>
      <c r="L169" s="649"/>
      <c r="M169" s="649">
        <v>0</v>
      </c>
      <c r="N169" s="649">
        <v>0</v>
      </c>
      <c r="O169" s="393">
        <v>23734046</v>
      </c>
      <c r="P169" s="393">
        <v>987534734</v>
      </c>
      <c r="Q169" s="393">
        <v>544559203</v>
      </c>
      <c r="R169" s="393">
        <v>143200524</v>
      </c>
      <c r="S169" s="393">
        <v>205904440</v>
      </c>
      <c r="T169" s="393">
        <v>35795131</v>
      </c>
      <c r="U169" s="393">
        <v>112605135</v>
      </c>
      <c r="V169" s="393">
        <v>351163514</v>
      </c>
      <c r="W169" s="393">
        <v>83972433</v>
      </c>
      <c r="X169" s="393">
        <v>81215939</v>
      </c>
      <c r="Y169" s="393">
        <v>144610903</v>
      </c>
      <c r="Z169" s="393">
        <v>45723008.509999998</v>
      </c>
      <c r="AA169" s="393">
        <v>49879307</v>
      </c>
      <c r="AB169" s="393">
        <v>16673215</v>
      </c>
      <c r="AC169" s="393">
        <v>44023283</v>
      </c>
      <c r="AD169" s="393">
        <v>65501947</v>
      </c>
      <c r="AE169" s="393">
        <v>19826489</v>
      </c>
      <c r="AF169" s="393">
        <v>0</v>
      </c>
      <c r="AG169" s="649">
        <v>1092724</v>
      </c>
      <c r="AI169" s="649">
        <f t="shared" si="25"/>
        <v>3506012913.8200002</v>
      </c>
    </row>
    <row r="170" spans="1:35" s="2630" customFormat="1" x14ac:dyDescent="0.2">
      <c r="A170" s="2156">
        <v>1773</v>
      </c>
      <c r="B170" s="3385" t="s">
        <v>5671</v>
      </c>
      <c r="C170" s="3385"/>
      <c r="D170" s="2630" t="str">
        <f t="shared" si="24"/>
        <v>OK</v>
      </c>
      <c r="E170" s="649">
        <v>0</v>
      </c>
      <c r="F170" s="649">
        <v>0</v>
      </c>
      <c r="G170" s="649">
        <v>0</v>
      </c>
      <c r="H170" s="649">
        <v>0</v>
      </c>
      <c r="I170" s="649">
        <v>0</v>
      </c>
      <c r="J170" s="649">
        <v>0</v>
      </c>
      <c r="K170" s="649">
        <v>0</v>
      </c>
      <c r="L170" s="649">
        <v>0</v>
      </c>
      <c r="M170" s="649">
        <v>0</v>
      </c>
      <c r="N170" s="649">
        <v>0</v>
      </c>
      <c r="O170" s="2217">
        <v>0</v>
      </c>
      <c r="P170" s="2217">
        <v>0</v>
      </c>
      <c r="Q170" s="2217">
        <v>0</v>
      </c>
      <c r="R170" s="2217">
        <v>0</v>
      </c>
      <c r="S170" s="2217">
        <v>0</v>
      </c>
      <c r="T170" s="2217">
        <v>0</v>
      </c>
      <c r="U170" s="2217">
        <v>0</v>
      </c>
      <c r="V170" s="2217">
        <v>0</v>
      </c>
      <c r="W170" s="2217">
        <v>0</v>
      </c>
      <c r="X170" s="2217">
        <v>0</v>
      </c>
      <c r="Y170" s="2217">
        <v>0</v>
      </c>
      <c r="Z170" s="2217">
        <v>0</v>
      </c>
      <c r="AA170" s="2217">
        <v>0</v>
      </c>
      <c r="AB170" s="2217">
        <v>0</v>
      </c>
      <c r="AC170" s="2217">
        <v>0</v>
      </c>
      <c r="AD170" s="2217">
        <v>0</v>
      </c>
      <c r="AE170" s="2217">
        <v>0</v>
      </c>
      <c r="AF170" s="2217">
        <v>0</v>
      </c>
      <c r="AG170" s="649">
        <v>0</v>
      </c>
      <c r="AI170" s="649"/>
    </row>
    <row r="171" spans="1:35" x14ac:dyDescent="0.2">
      <c r="A171" s="2080">
        <v>1769</v>
      </c>
      <c r="B171" s="3296" t="s">
        <v>3954</v>
      </c>
      <c r="C171" s="3296"/>
      <c r="D171" t="str">
        <f t="shared" si="24"/>
        <v>prob</v>
      </c>
      <c r="E171" s="649">
        <v>815614.58</v>
      </c>
      <c r="F171" s="649">
        <v>0</v>
      </c>
      <c r="G171" s="649">
        <v>0</v>
      </c>
      <c r="H171" s="649">
        <v>0</v>
      </c>
      <c r="I171" s="649">
        <v>0</v>
      </c>
      <c r="J171" s="649">
        <v>195943.65</v>
      </c>
      <c r="K171" s="649">
        <v>619670.93000000005</v>
      </c>
      <c r="L171" s="649"/>
      <c r="M171" s="649">
        <v>0</v>
      </c>
      <c r="N171" s="649">
        <v>0</v>
      </c>
      <c r="O171" s="393">
        <v>0</v>
      </c>
      <c r="P171" s="393">
        <v>0</v>
      </c>
      <c r="Q171" s="393">
        <v>0</v>
      </c>
      <c r="R171" s="393">
        <v>0</v>
      </c>
      <c r="S171" s="393">
        <v>0</v>
      </c>
      <c r="T171" s="393">
        <v>0</v>
      </c>
      <c r="U171" s="393">
        <v>0</v>
      </c>
      <c r="V171" s="393">
        <v>0</v>
      </c>
      <c r="W171" s="393">
        <v>0</v>
      </c>
      <c r="X171" s="393">
        <v>0</v>
      </c>
      <c r="Y171" s="393">
        <v>3304415</v>
      </c>
      <c r="Z171" s="393">
        <v>0</v>
      </c>
      <c r="AA171" s="393">
        <v>2334907.2999999998</v>
      </c>
      <c r="AB171" s="393">
        <v>0</v>
      </c>
      <c r="AC171" s="393">
        <v>0</v>
      </c>
      <c r="AD171" s="393">
        <v>0</v>
      </c>
      <c r="AE171" s="393">
        <v>0</v>
      </c>
      <c r="AF171" s="393">
        <v>0</v>
      </c>
      <c r="AG171" s="649">
        <v>0</v>
      </c>
      <c r="AI171" s="649">
        <f t="shared" si="25"/>
        <v>6454936.8799999999</v>
      </c>
    </row>
    <row r="172" spans="1:35" x14ac:dyDescent="0.2">
      <c r="B172" s="3384" t="s">
        <v>1934</v>
      </c>
      <c r="C172" s="3384"/>
      <c r="D172" t="str">
        <f t="shared" si="24"/>
        <v>prob</v>
      </c>
      <c r="E172" s="661">
        <f>SUM(E161:E171)</f>
        <v>553008739.63999999</v>
      </c>
      <c r="F172" s="661">
        <f t="shared" ref="F172:AG172" si="26">SUM(F161:F171)</f>
        <v>436568163</v>
      </c>
      <c r="G172" s="661">
        <f t="shared" si="26"/>
        <v>113521499.31</v>
      </c>
      <c r="H172" s="661">
        <f t="shared" si="26"/>
        <v>0</v>
      </c>
      <c r="I172" s="661">
        <f t="shared" si="26"/>
        <v>2103462.75</v>
      </c>
      <c r="J172" s="661">
        <f t="shared" si="26"/>
        <v>195943.65</v>
      </c>
      <c r="K172" s="661">
        <f t="shared" si="26"/>
        <v>619670.93000000005</v>
      </c>
      <c r="L172" s="661">
        <f t="shared" si="26"/>
        <v>0</v>
      </c>
      <c r="M172" s="661">
        <f>SUM(M161:M171)</f>
        <v>0</v>
      </c>
      <c r="N172" s="661">
        <f t="shared" si="26"/>
        <v>0</v>
      </c>
      <c r="O172" s="706">
        <f t="shared" si="26"/>
        <v>98979472.090000004</v>
      </c>
      <c r="P172" s="661">
        <f>SUM(P161:P171)</f>
        <v>1010444221.11</v>
      </c>
      <c r="Q172" s="661">
        <f t="shared" si="26"/>
        <v>544559203</v>
      </c>
      <c r="R172" s="661">
        <f t="shared" si="26"/>
        <v>143287365.13999999</v>
      </c>
      <c r="S172" s="661">
        <f t="shared" si="26"/>
        <v>205929877.52000001</v>
      </c>
      <c r="T172" s="661">
        <f t="shared" si="26"/>
        <v>36123768.859999999</v>
      </c>
      <c r="U172" s="661">
        <f t="shared" si="26"/>
        <v>181829450.19</v>
      </c>
      <c r="V172" s="661">
        <f t="shared" si="26"/>
        <v>353071245</v>
      </c>
      <c r="W172" s="661">
        <f t="shared" si="26"/>
        <v>84328738</v>
      </c>
      <c r="X172" s="661">
        <f t="shared" si="26"/>
        <v>101792763.15000001</v>
      </c>
      <c r="Y172" s="661">
        <f t="shared" si="26"/>
        <v>179485333.86000001</v>
      </c>
      <c r="Z172" s="661">
        <f t="shared" si="26"/>
        <v>45723008.520000003</v>
      </c>
      <c r="AA172" s="661">
        <f t="shared" si="26"/>
        <v>53081609.299999997</v>
      </c>
      <c r="AB172" s="661">
        <f t="shared" si="26"/>
        <v>16673215</v>
      </c>
      <c r="AC172" s="661">
        <f t="shared" si="26"/>
        <v>44761938</v>
      </c>
      <c r="AD172" s="661">
        <f t="shared" si="26"/>
        <v>131324447.66</v>
      </c>
      <c r="AE172" s="661">
        <f t="shared" si="26"/>
        <v>19826489</v>
      </c>
      <c r="AF172" s="661">
        <f t="shared" si="26"/>
        <v>0</v>
      </c>
      <c r="AG172" s="661">
        <f t="shared" si="26"/>
        <v>1280767</v>
      </c>
      <c r="AI172" s="649">
        <f t="shared" si="25"/>
        <v>3804230885.04</v>
      </c>
    </row>
    <row r="173" spans="1:35" x14ac:dyDescent="0.2">
      <c r="B173" s="335"/>
      <c r="C173" s="335"/>
      <c r="E173" s="649"/>
      <c r="F173" s="649"/>
      <c r="G173" s="649"/>
      <c r="H173" s="649"/>
      <c r="I173" s="649"/>
      <c r="J173" s="649"/>
      <c r="K173" s="649"/>
      <c r="L173" s="649"/>
      <c r="M173" s="649"/>
      <c r="N173" s="649"/>
      <c r="O173" s="393"/>
      <c r="P173" s="649"/>
      <c r="Q173" s="649"/>
      <c r="R173" s="649"/>
      <c r="S173" s="649"/>
      <c r="T173" s="649"/>
      <c r="U173" s="649"/>
      <c r="V173" s="649"/>
      <c r="W173" s="649"/>
      <c r="X173" s="649"/>
      <c r="Y173" s="649"/>
      <c r="Z173" s="649"/>
      <c r="AA173" s="649"/>
      <c r="AB173" s="649"/>
      <c r="AC173" s="649"/>
      <c r="AD173" s="649"/>
      <c r="AE173" s="649"/>
      <c r="AF173" s="649"/>
      <c r="AG173" s="649"/>
      <c r="AI173" s="649">
        <f t="shared" si="25"/>
        <v>0</v>
      </c>
    </row>
    <row r="174" spans="1:35" x14ac:dyDescent="0.2">
      <c r="B174" s="395" t="s">
        <v>1905</v>
      </c>
      <c r="E174" s="649"/>
      <c r="F174" s="649"/>
      <c r="G174" s="649"/>
      <c r="H174" s="649"/>
      <c r="I174" s="649"/>
      <c r="J174" s="649"/>
      <c r="K174" s="649"/>
      <c r="L174" s="649"/>
      <c r="M174" s="649"/>
      <c r="N174" s="649"/>
      <c r="O174" s="1223" t="s">
        <v>1791</v>
      </c>
      <c r="P174" s="1222" t="s">
        <v>1792</v>
      </c>
      <c r="Q174" s="1222" t="s">
        <v>403</v>
      </c>
      <c r="R174" s="1223" t="s">
        <v>404</v>
      </c>
      <c r="S174" s="1223" t="s">
        <v>405</v>
      </c>
      <c r="T174" s="1223" t="s">
        <v>406</v>
      </c>
      <c r="U174" s="1223" t="s">
        <v>64</v>
      </c>
      <c r="V174" s="1223" t="s">
        <v>65</v>
      </c>
      <c r="W174" s="1223" t="s">
        <v>66</v>
      </c>
      <c r="X174" s="1223" t="s">
        <v>1793</v>
      </c>
      <c r="Y174" s="1223" t="s">
        <v>1794</v>
      </c>
      <c r="Z174" s="1223" t="s">
        <v>1795</v>
      </c>
      <c r="AA174" s="1223" t="s">
        <v>1796</v>
      </c>
      <c r="AB174" s="1223" t="s">
        <v>1797</v>
      </c>
      <c r="AC174" s="1223" t="s">
        <v>1798</v>
      </c>
      <c r="AD174" s="1223" t="s">
        <v>1799</v>
      </c>
      <c r="AE174" s="1223" t="s">
        <v>1800</v>
      </c>
      <c r="AF174" s="1223" t="s">
        <v>1689</v>
      </c>
      <c r="AG174" s="1234">
        <v>69</v>
      </c>
      <c r="AI174" s="649">
        <f t="shared" si="25"/>
        <v>0</v>
      </c>
    </row>
    <row r="175" spans="1:35" x14ac:dyDescent="0.2">
      <c r="A175" s="335">
        <v>2130</v>
      </c>
      <c r="B175" s="3206" t="s">
        <v>1937</v>
      </c>
      <c r="C175" s="3206"/>
      <c r="D175" t="str">
        <f>IF(SUM(F175:N175)-E175=0,"OK","prob")</f>
        <v>prob</v>
      </c>
      <c r="E175" s="649">
        <v>839663136.19000006</v>
      </c>
      <c r="F175" s="649">
        <v>625957600</v>
      </c>
      <c r="G175" s="649">
        <v>0</v>
      </c>
      <c r="H175" s="649">
        <v>0</v>
      </c>
      <c r="I175" s="649">
        <v>185585760.5</v>
      </c>
      <c r="J175" s="649">
        <v>-5486777.2199999997</v>
      </c>
      <c r="K175" s="649">
        <v>1180239.9099999999</v>
      </c>
      <c r="L175" s="649"/>
      <c r="M175" s="649">
        <v>0</v>
      </c>
      <c r="N175" s="649">
        <v>32426313</v>
      </c>
      <c r="O175" s="393">
        <v>59483956.82</v>
      </c>
      <c r="P175" s="393">
        <v>1656472890.3900001</v>
      </c>
      <c r="Q175" s="393">
        <v>1605410472.9100001</v>
      </c>
      <c r="R175" s="393">
        <v>524029897.69999999</v>
      </c>
      <c r="S175" s="393">
        <v>949136703.07000005</v>
      </c>
      <c r="T175" s="393">
        <v>167901060.66999999</v>
      </c>
      <c r="U175" s="393">
        <v>428354122.37</v>
      </c>
      <c r="V175" s="393">
        <v>859403840.23000002</v>
      </c>
      <c r="W175" s="393">
        <v>362801408.67000002</v>
      </c>
      <c r="X175" s="393">
        <v>388940117.13999999</v>
      </c>
      <c r="Y175" s="393">
        <v>457753355.88</v>
      </c>
      <c r="Z175" s="393">
        <v>163831259.78</v>
      </c>
      <c r="AA175" s="393">
        <v>174685710.53</v>
      </c>
      <c r="AB175" s="393">
        <v>114571056.28</v>
      </c>
      <c r="AC175" s="393">
        <v>145360989.86000001</v>
      </c>
      <c r="AD175" s="393">
        <v>198425886.88999999</v>
      </c>
      <c r="AE175" s="393">
        <v>117026872.31</v>
      </c>
      <c r="AF175" s="393">
        <v>52299936.140000001</v>
      </c>
      <c r="AG175" s="649">
        <v>5809919.1299999999</v>
      </c>
      <c r="AI175" s="649">
        <f t="shared" si="25"/>
        <v>9265552673.8299999</v>
      </c>
    </row>
    <row r="176" spans="1:35" x14ac:dyDescent="0.2">
      <c r="A176" s="330"/>
      <c r="B176" s="335" t="s">
        <v>1550</v>
      </c>
      <c r="C176" s="335"/>
      <c r="E176" s="649"/>
      <c r="F176" s="649"/>
      <c r="G176" s="649"/>
      <c r="H176" s="649"/>
      <c r="I176" s="649"/>
      <c r="J176" s="649"/>
      <c r="K176" s="649"/>
      <c r="L176" s="649"/>
      <c r="M176" s="649"/>
      <c r="N176" s="649"/>
      <c r="O176" s="393"/>
      <c r="P176" s="2052"/>
      <c r="Q176" s="649"/>
      <c r="R176" s="649"/>
      <c r="S176" s="649"/>
      <c r="T176" s="649"/>
      <c r="U176" s="649"/>
      <c r="V176" s="649"/>
      <c r="W176" s="649"/>
      <c r="X176" s="649"/>
      <c r="Y176" s="649"/>
      <c r="Z176" s="649"/>
      <c r="AA176" s="649"/>
      <c r="AB176" s="649"/>
      <c r="AC176" s="649"/>
      <c r="AD176" s="649"/>
      <c r="AE176" s="649"/>
      <c r="AF176" s="649"/>
      <c r="AG176" s="649"/>
      <c r="AI176" s="649">
        <f t="shared" si="25"/>
        <v>0</v>
      </c>
    </row>
    <row r="177" spans="1:35" x14ac:dyDescent="0.2">
      <c r="A177" s="335">
        <v>2140</v>
      </c>
      <c r="B177" s="3206" t="s">
        <v>192</v>
      </c>
      <c r="C177" s="3206"/>
      <c r="D177" t="str">
        <f>IF(SUM(F177:N177)-E177=0,"OK","prob")</f>
        <v>OK</v>
      </c>
      <c r="E177" s="649">
        <v>0</v>
      </c>
      <c r="F177" s="649">
        <v>0</v>
      </c>
      <c r="G177" s="649">
        <v>0</v>
      </c>
      <c r="H177" s="649">
        <v>0</v>
      </c>
      <c r="I177" s="649">
        <v>0</v>
      </c>
      <c r="J177" s="649">
        <v>0</v>
      </c>
      <c r="K177" s="649">
        <v>0</v>
      </c>
      <c r="L177" s="649"/>
      <c r="M177" s="649">
        <v>0</v>
      </c>
      <c r="N177" s="649">
        <v>0</v>
      </c>
      <c r="O177" s="393">
        <v>14802418.67</v>
      </c>
      <c r="P177" s="393">
        <v>949848314.09000003</v>
      </c>
      <c r="Q177" s="393">
        <v>175778620.58000001</v>
      </c>
      <c r="R177" s="393">
        <v>177517947.46000001</v>
      </c>
      <c r="S177" s="393">
        <v>47516604.780000001</v>
      </c>
      <c r="T177" s="393">
        <v>8145128.25</v>
      </c>
      <c r="U177" s="393">
        <v>72859495.170000002</v>
      </c>
      <c r="V177" s="393">
        <v>46649306.039999999</v>
      </c>
      <c r="W177" s="393">
        <v>60792054.140000001</v>
      </c>
      <c r="X177" s="393">
        <v>55419701.700000003</v>
      </c>
      <c r="Y177" s="393">
        <v>95332489.890000001</v>
      </c>
      <c r="Z177" s="393">
        <v>19044107.899999999</v>
      </c>
      <c r="AA177" s="393">
        <v>19878021.390000001</v>
      </c>
      <c r="AB177" s="393">
        <v>9045546.1699999999</v>
      </c>
      <c r="AC177" s="393">
        <v>13129763.98</v>
      </c>
      <c r="AD177" s="393">
        <v>53631397.560000002</v>
      </c>
      <c r="AE177" s="393">
        <v>22390695.16</v>
      </c>
      <c r="AF177" s="393">
        <v>0</v>
      </c>
      <c r="AG177" s="649">
        <v>0</v>
      </c>
      <c r="AI177" s="649">
        <f t="shared" si="25"/>
        <v>1841781612.9300001</v>
      </c>
    </row>
    <row r="178" spans="1:35" x14ac:dyDescent="0.2">
      <c r="A178" s="335">
        <v>2141</v>
      </c>
      <c r="B178" s="3206" t="s">
        <v>475</v>
      </c>
      <c r="C178" s="3206"/>
      <c r="D178" t="str">
        <f>IF(SUM(F178:N178)-E178=0,"OK","prob")</f>
        <v>OK</v>
      </c>
      <c r="E178" s="649">
        <v>402363.83</v>
      </c>
      <c r="F178" s="649">
        <v>0</v>
      </c>
      <c r="G178" s="649">
        <v>0</v>
      </c>
      <c r="H178" s="649">
        <v>0</v>
      </c>
      <c r="I178" s="649">
        <v>402363.83</v>
      </c>
      <c r="J178" s="649">
        <v>0</v>
      </c>
      <c r="K178" s="649">
        <v>0</v>
      </c>
      <c r="L178" s="649"/>
      <c r="M178" s="649">
        <v>0</v>
      </c>
      <c r="N178" s="649">
        <v>0</v>
      </c>
      <c r="O178" s="393">
        <v>0</v>
      </c>
      <c r="P178" s="393">
        <v>0</v>
      </c>
      <c r="Q178" s="393">
        <v>0</v>
      </c>
      <c r="R178" s="393">
        <v>0</v>
      </c>
      <c r="S178" s="393">
        <v>0</v>
      </c>
      <c r="T178" s="393">
        <v>0</v>
      </c>
      <c r="U178" s="393">
        <v>0</v>
      </c>
      <c r="V178" s="393">
        <v>0</v>
      </c>
      <c r="W178" s="393">
        <v>0</v>
      </c>
      <c r="X178" s="393">
        <v>0</v>
      </c>
      <c r="Y178" s="393">
        <v>0</v>
      </c>
      <c r="Z178" s="393">
        <v>0</v>
      </c>
      <c r="AA178" s="393">
        <v>0</v>
      </c>
      <c r="AB178" s="393">
        <v>0</v>
      </c>
      <c r="AC178" s="393">
        <v>0</v>
      </c>
      <c r="AD178" s="393">
        <v>0</v>
      </c>
      <c r="AE178" s="393">
        <v>0</v>
      </c>
      <c r="AF178" s="393">
        <v>0</v>
      </c>
      <c r="AG178" s="649">
        <v>0</v>
      </c>
      <c r="AI178" s="649">
        <f t="shared" si="25"/>
        <v>402363.83</v>
      </c>
    </row>
    <row r="179" spans="1:35" x14ac:dyDescent="0.2">
      <c r="A179" s="335">
        <v>2142</v>
      </c>
      <c r="B179" s="3206" t="s">
        <v>476</v>
      </c>
      <c r="C179" s="3206"/>
      <c r="D179" t="str">
        <f>IF(SUM(F179:N179)-E179=0,"OK","prob")</f>
        <v>OK</v>
      </c>
      <c r="E179" s="649">
        <v>0</v>
      </c>
      <c r="F179" s="649">
        <v>0</v>
      </c>
      <c r="G179" s="649">
        <v>0</v>
      </c>
      <c r="H179" s="649">
        <v>0</v>
      </c>
      <c r="I179" s="649">
        <v>0</v>
      </c>
      <c r="J179" s="649">
        <v>0</v>
      </c>
      <c r="K179" s="649">
        <v>0</v>
      </c>
      <c r="L179" s="649"/>
      <c r="M179" s="649">
        <v>0</v>
      </c>
      <c r="N179" s="649">
        <v>0</v>
      </c>
      <c r="O179" s="393">
        <v>0</v>
      </c>
      <c r="P179" s="393">
        <v>0</v>
      </c>
      <c r="Q179" s="393">
        <v>0</v>
      </c>
      <c r="R179" s="393">
        <v>0</v>
      </c>
      <c r="S179" s="393">
        <v>0</v>
      </c>
      <c r="T179" s="393">
        <v>0</v>
      </c>
      <c r="U179" s="393">
        <v>0</v>
      </c>
      <c r="V179" s="393">
        <v>0</v>
      </c>
      <c r="W179" s="393">
        <v>0</v>
      </c>
      <c r="X179" s="393">
        <v>0</v>
      </c>
      <c r="Y179" s="393">
        <v>0</v>
      </c>
      <c r="Z179" s="393">
        <v>0</v>
      </c>
      <c r="AA179" s="393">
        <v>0</v>
      </c>
      <c r="AB179" s="393">
        <v>0</v>
      </c>
      <c r="AC179" s="393">
        <v>0</v>
      </c>
      <c r="AD179" s="393">
        <v>0</v>
      </c>
      <c r="AE179" s="393">
        <v>0</v>
      </c>
      <c r="AF179" s="393">
        <v>0</v>
      </c>
      <c r="AG179" s="649">
        <v>0</v>
      </c>
      <c r="AI179" s="649">
        <f t="shared" si="25"/>
        <v>0</v>
      </c>
    </row>
    <row r="180" spans="1:35" x14ac:dyDescent="0.2">
      <c r="A180" s="330"/>
      <c r="B180" s="335" t="s">
        <v>1303</v>
      </c>
      <c r="C180" s="335"/>
      <c r="E180" s="649"/>
      <c r="F180" s="649"/>
      <c r="G180" s="649"/>
      <c r="H180" s="649"/>
      <c r="I180" s="649"/>
      <c r="J180" s="649"/>
      <c r="K180" s="649"/>
      <c r="L180" s="649"/>
      <c r="M180" s="649"/>
      <c r="N180" s="649"/>
      <c r="O180" s="393"/>
      <c r="P180" s="2052"/>
      <c r="Q180" s="649"/>
      <c r="R180" s="649"/>
      <c r="S180" s="649"/>
      <c r="T180" s="649"/>
      <c r="U180" s="649"/>
      <c r="V180" s="649"/>
      <c r="W180" s="649"/>
      <c r="X180" s="649"/>
      <c r="Y180" s="649"/>
      <c r="Z180" s="649"/>
      <c r="AA180" s="649"/>
      <c r="AB180" s="649"/>
      <c r="AC180" s="649"/>
      <c r="AD180" s="649"/>
      <c r="AE180" s="649"/>
      <c r="AF180" s="649"/>
      <c r="AG180" s="649"/>
      <c r="AI180" s="649">
        <f t="shared" si="25"/>
        <v>0</v>
      </c>
    </row>
    <row r="181" spans="1:35" x14ac:dyDescent="0.2">
      <c r="A181" s="335">
        <v>2150</v>
      </c>
      <c r="B181" s="3206" t="s">
        <v>192</v>
      </c>
      <c r="C181" s="3206"/>
      <c r="D181" t="str">
        <f>IF(SUM(F181:N181)-E181=0,"OK","prob")</f>
        <v>OK</v>
      </c>
      <c r="E181" s="649">
        <v>0</v>
      </c>
      <c r="F181" s="649">
        <v>0</v>
      </c>
      <c r="G181" s="649">
        <v>0</v>
      </c>
      <c r="H181" s="649">
        <v>0</v>
      </c>
      <c r="I181" s="649">
        <v>0</v>
      </c>
      <c r="J181" s="649">
        <v>0</v>
      </c>
      <c r="K181" s="649">
        <v>0</v>
      </c>
      <c r="L181" s="649"/>
      <c r="M181" s="649">
        <v>0</v>
      </c>
      <c r="N181" s="649">
        <v>0</v>
      </c>
      <c r="O181" s="393">
        <v>120593018.61</v>
      </c>
      <c r="P181" s="393">
        <v>2381550114.6300001</v>
      </c>
      <c r="Q181" s="393">
        <v>532933058.26999998</v>
      </c>
      <c r="R181" s="393">
        <v>232650843.00999999</v>
      </c>
      <c r="S181" s="393">
        <v>47810399.359999999</v>
      </c>
      <c r="T181" s="393">
        <v>17341613.84</v>
      </c>
      <c r="U181" s="393">
        <v>136453822.28</v>
      </c>
      <c r="V181" s="393">
        <v>97909216.5</v>
      </c>
      <c r="W181" s="393">
        <v>66856104.100000001</v>
      </c>
      <c r="X181" s="393">
        <v>117713402.17</v>
      </c>
      <c r="Y181" s="393">
        <v>137331341.16999999</v>
      </c>
      <c r="Z181" s="393">
        <v>25495884.109999999</v>
      </c>
      <c r="AA181" s="393">
        <v>24473302.210000001</v>
      </c>
      <c r="AB181" s="393">
        <v>26944920.23</v>
      </c>
      <c r="AC181" s="393">
        <v>27799064.100000001</v>
      </c>
      <c r="AD181" s="393">
        <v>0</v>
      </c>
      <c r="AE181" s="393">
        <v>32146489.75</v>
      </c>
      <c r="AF181" s="393">
        <v>0</v>
      </c>
      <c r="AG181" s="649">
        <v>0</v>
      </c>
      <c r="AI181" s="649">
        <f t="shared" si="25"/>
        <v>4026002594.3400002</v>
      </c>
    </row>
    <row r="182" spans="1:35" x14ac:dyDescent="0.2">
      <c r="A182" s="335">
        <v>2151</v>
      </c>
      <c r="B182" s="3206" t="s">
        <v>475</v>
      </c>
      <c r="C182" s="3206"/>
      <c r="D182" t="str">
        <f>IF(SUM(F182:N182)-E182=0,"OK","prob")</f>
        <v>OK</v>
      </c>
      <c r="E182" s="649">
        <v>428564179.31999999</v>
      </c>
      <c r="F182" s="649">
        <v>422328191</v>
      </c>
      <c r="G182" s="649">
        <v>0</v>
      </c>
      <c r="H182" s="649">
        <v>0</v>
      </c>
      <c r="I182" s="649">
        <v>6235988.3200000003</v>
      </c>
      <c r="J182" s="649">
        <v>0</v>
      </c>
      <c r="K182" s="649">
        <v>0</v>
      </c>
      <c r="L182" s="649"/>
      <c r="M182" s="649">
        <v>0</v>
      </c>
      <c r="N182" s="649">
        <v>0</v>
      </c>
      <c r="O182" s="393">
        <v>0</v>
      </c>
      <c r="P182" s="393">
        <v>0</v>
      </c>
      <c r="Q182" s="393">
        <v>0</v>
      </c>
      <c r="R182" s="393">
        <v>0</v>
      </c>
      <c r="S182" s="393">
        <v>0</v>
      </c>
      <c r="T182" s="393">
        <v>0</v>
      </c>
      <c r="U182" s="393">
        <v>0</v>
      </c>
      <c r="V182" s="393">
        <v>0</v>
      </c>
      <c r="W182" s="393">
        <v>0</v>
      </c>
      <c r="X182" s="393">
        <v>0</v>
      </c>
      <c r="Y182" s="393">
        <v>0</v>
      </c>
      <c r="Z182" s="393">
        <v>0</v>
      </c>
      <c r="AA182" s="393">
        <v>0</v>
      </c>
      <c r="AB182" s="393">
        <v>0</v>
      </c>
      <c r="AC182" s="393">
        <v>0</v>
      </c>
      <c r="AD182" s="393">
        <v>0</v>
      </c>
      <c r="AE182" s="393">
        <v>0</v>
      </c>
      <c r="AF182" s="393">
        <v>0</v>
      </c>
      <c r="AG182" s="649">
        <v>0</v>
      </c>
      <c r="AI182" s="649">
        <f t="shared" si="25"/>
        <v>428564179.31999999</v>
      </c>
    </row>
    <row r="183" spans="1:35" x14ac:dyDescent="0.2">
      <c r="A183" s="335">
        <v>2152</v>
      </c>
      <c r="B183" s="3206" t="s">
        <v>476</v>
      </c>
      <c r="C183" s="3206"/>
      <c r="D183" t="str">
        <f>IF(SUM(F183:N183)-E183=0,"OK","prob")</f>
        <v>OK</v>
      </c>
      <c r="E183" s="649">
        <v>0</v>
      </c>
      <c r="F183" s="649">
        <v>0</v>
      </c>
      <c r="G183" s="649">
        <v>0</v>
      </c>
      <c r="H183" s="649">
        <v>0</v>
      </c>
      <c r="I183" s="649">
        <v>0</v>
      </c>
      <c r="J183" s="649">
        <v>0</v>
      </c>
      <c r="K183" s="649">
        <v>0</v>
      </c>
      <c r="L183" s="649"/>
      <c r="M183" s="649">
        <v>0</v>
      </c>
      <c r="N183" s="649">
        <v>0</v>
      </c>
      <c r="O183" s="393">
        <v>0</v>
      </c>
      <c r="P183" s="393">
        <v>0</v>
      </c>
      <c r="Q183" s="393">
        <v>0</v>
      </c>
      <c r="R183" s="393">
        <v>0</v>
      </c>
      <c r="S183" s="393">
        <v>0</v>
      </c>
      <c r="T183" s="393">
        <v>0</v>
      </c>
      <c r="U183" s="393">
        <v>0</v>
      </c>
      <c r="V183" s="393">
        <v>0</v>
      </c>
      <c r="W183" s="393">
        <v>0</v>
      </c>
      <c r="X183" s="393">
        <v>0</v>
      </c>
      <c r="Y183" s="393">
        <v>0</v>
      </c>
      <c r="Z183" s="393">
        <v>0</v>
      </c>
      <c r="AA183" s="393">
        <v>0</v>
      </c>
      <c r="AB183" s="393">
        <v>0</v>
      </c>
      <c r="AC183" s="393">
        <v>0</v>
      </c>
      <c r="AD183" s="393">
        <v>0</v>
      </c>
      <c r="AE183" s="393">
        <v>0</v>
      </c>
      <c r="AF183" s="393">
        <v>0</v>
      </c>
      <c r="AG183" s="649">
        <v>2701608.43</v>
      </c>
      <c r="AI183" s="649">
        <f t="shared" si="25"/>
        <v>0</v>
      </c>
    </row>
    <row r="184" spans="1:35" s="2630" customFormat="1" x14ac:dyDescent="0.2">
      <c r="A184" s="2631">
        <v>0</v>
      </c>
      <c r="B184" s="3307" t="s">
        <v>5672</v>
      </c>
      <c r="C184" s="3307"/>
      <c r="D184" s="2630" t="str">
        <f>IF(SUM(F184:N184)-E184=0,"OK","prob")</f>
        <v>OK</v>
      </c>
      <c r="E184" s="649">
        <v>0</v>
      </c>
      <c r="F184" s="649">
        <v>0</v>
      </c>
      <c r="G184" s="649">
        <v>0</v>
      </c>
      <c r="H184" s="649">
        <v>0</v>
      </c>
      <c r="I184" s="649">
        <v>0</v>
      </c>
      <c r="J184" s="649">
        <v>0</v>
      </c>
      <c r="K184" s="649">
        <v>0</v>
      </c>
      <c r="L184" s="649">
        <v>0</v>
      </c>
      <c r="M184" s="649">
        <v>0</v>
      </c>
      <c r="N184" s="649">
        <v>0</v>
      </c>
      <c r="O184" s="649">
        <v>0</v>
      </c>
      <c r="P184" s="649">
        <v>0</v>
      </c>
      <c r="Q184" s="649">
        <v>0</v>
      </c>
      <c r="R184" s="649">
        <v>0</v>
      </c>
      <c r="S184" s="649">
        <v>0</v>
      </c>
      <c r="T184" s="649">
        <v>0</v>
      </c>
      <c r="U184" s="649">
        <v>0</v>
      </c>
      <c r="V184" s="649">
        <v>0</v>
      </c>
      <c r="W184" s="649">
        <v>0</v>
      </c>
      <c r="X184" s="649">
        <v>0</v>
      </c>
      <c r="Y184" s="649">
        <v>0</v>
      </c>
      <c r="Z184" s="649">
        <v>0</v>
      </c>
      <c r="AA184" s="649">
        <v>0</v>
      </c>
      <c r="AB184" s="649">
        <v>0</v>
      </c>
      <c r="AC184" s="649">
        <v>0</v>
      </c>
      <c r="AD184" s="649">
        <v>0</v>
      </c>
      <c r="AE184" s="649">
        <v>0</v>
      </c>
      <c r="AF184" s="649">
        <v>0</v>
      </c>
      <c r="AG184" s="649">
        <v>0</v>
      </c>
      <c r="AI184" s="649"/>
    </row>
    <row r="185" spans="1:35" x14ac:dyDescent="0.2">
      <c r="A185" s="335">
        <v>2180</v>
      </c>
      <c r="B185" s="3206" t="s">
        <v>923</v>
      </c>
      <c r="C185" s="3206"/>
      <c r="D185" t="str">
        <f>IF(SUM(F185:N185)=E185,"OK","prob")</f>
        <v>OK</v>
      </c>
      <c r="E185" s="651">
        <v>925609892.86000001</v>
      </c>
      <c r="F185" s="651">
        <v>-82972537.560000002</v>
      </c>
      <c r="G185" s="651">
        <v>129352347.98999999</v>
      </c>
      <c r="H185" s="651">
        <v>31789089</v>
      </c>
      <c r="I185" s="651">
        <v>752601444.55999994</v>
      </c>
      <c r="J185" s="651">
        <v>4604244.43</v>
      </c>
      <c r="K185" s="651">
        <v>36077336.960000001</v>
      </c>
      <c r="L185" s="651"/>
      <c r="M185" s="651">
        <v>14154557.119999999</v>
      </c>
      <c r="N185" s="651">
        <v>40003410.359999999</v>
      </c>
      <c r="O185" s="393">
        <v>-21677094.359999999</v>
      </c>
      <c r="P185" s="393">
        <v>-1337939017.1900001</v>
      </c>
      <c r="Q185" s="393">
        <v>-1252576526.8399999</v>
      </c>
      <c r="R185" s="393">
        <v>-264287730.78</v>
      </c>
      <c r="S185" s="393">
        <v>-248298365.11000001</v>
      </c>
      <c r="T185" s="393">
        <v>-89236460.239999995</v>
      </c>
      <c r="U185" s="393">
        <v>-200271518.16</v>
      </c>
      <c r="V185" s="393">
        <v>-777943259.46000004</v>
      </c>
      <c r="W185" s="393">
        <v>-88731694.430000007</v>
      </c>
      <c r="X185" s="393">
        <v>-96666399.200000003</v>
      </c>
      <c r="Y185" s="393">
        <v>-313008818.81</v>
      </c>
      <c r="Z185" s="393">
        <v>-116009739.31999999</v>
      </c>
      <c r="AA185" s="393">
        <v>-111066788.5</v>
      </c>
      <c r="AB185" s="393">
        <v>-23750287.09</v>
      </c>
      <c r="AC185" s="393">
        <v>-120585128.43000001</v>
      </c>
      <c r="AD185" s="393">
        <v>-161659971.90000001</v>
      </c>
      <c r="AE185" s="393">
        <v>-39308617.350000001</v>
      </c>
      <c r="AF185" s="393">
        <v>1643806.13</v>
      </c>
      <c r="AG185" s="651">
        <v>1134784.78</v>
      </c>
      <c r="AH185" s="335"/>
      <c r="AI185" s="649">
        <f t="shared" si="25"/>
        <v>-4335763718.1800003</v>
      </c>
    </row>
    <row r="186" spans="1:35" ht="13.5" thickBot="1" x14ac:dyDescent="0.25">
      <c r="B186" s="3206" t="s">
        <v>1889</v>
      </c>
      <c r="C186" s="3206"/>
      <c r="D186" t="str">
        <f>IF(SUM(F186:N186)-E186=0,"OK","prob")</f>
        <v>OK</v>
      </c>
      <c r="E186" s="804">
        <f t="shared" ref="E186:AG186" si="27">SUM(E175:E185)</f>
        <v>2194239572.1999998</v>
      </c>
      <c r="F186" s="804">
        <f t="shared" si="27"/>
        <v>965313253.44000006</v>
      </c>
      <c r="G186" s="804">
        <f t="shared" si="27"/>
        <v>129352347.98999999</v>
      </c>
      <c r="H186" s="804">
        <f t="shared" si="27"/>
        <v>31789089</v>
      </c>
      <c r="I186" s="804">
        <f t="shared" si="27"/>
        <v>944825557.21000004</v>
      </c>
      <c r="J186" s="804">
        <f t="shared" si="27"/>
        <v>-882532.79</v>
      </c>
      <c r="K186" s="804">
        <f t="shared" si="27"/>
        <v>37257576.869999997</v>
      </c>
      <c r="L186" s="804">
        <f t="shared" si="27"/>
        <v>0</v>
      </c>
      <c r="M186" s="804">
        <f>SUM(M175:M185)</f>
        <v>14154557.119999999</v>
      </c>
      <c r="N186" s="804">
        <f t="shared" si="27"/>
        <v>72429723.359999999</v>
      </c>
      <c r="O186" s="707">
        <f t="shared" si="27"/>
        <v>173202299.74000001</v>
      </c>
      <c r="P186" s="804">
        <f t="shared" si="27"/>
        <v>3649932301.9200001</v>
      </c>
      <c r="Q186" s="804">
        <f t="shared" si="27"/>
        <v>1061545624.92</v>
      </c>
      <c r="R186" s="804">
        <f t="shared" si="27"/>
        <v>669910957.38999999</v>
      </c>
      <c r="S186" s="804">
        <f t="shared" si="27"/>
        <v>796165342.10000002</v>
      </c>
      <c r="T186" s="804">
        <f t="shared" si="27"/>
        <v>104151342.52</v>
      </c>
      <c r="U186" s="804">
        <f t="shared" si="27"/>
        <v>437395921.66000003</v>
      </c>
      <c r="V186" s="804">
        <f t="shared" si="27"/>
        <v>226019103.31</v>
      </c>
      <c r="W186" s="804">
        <f t="shared" si="27"/>
        <v>401717872.48000002</v>
      </c>
      <c r="X186" s="804">
        <f t="shared" si="27"/>
        <v>465406821.81</v>
      </c>
      <c r="Y186" s="804">
        <f t="shared" si="27"/>
        <v>377408368.13</v>
      </c>
      <c r="Z186" s="804">
        <f t="shared" si="27"/>
        <v>92361512.469999999</v>
      </c>
      <c r="AA186" s="804">
        <f t="shared" si="27"/>
        <v>107970245.63</v>
      </c>
      <c r="AB186" s="804">
        <f t="shared" si="27"/>
        <v>126811235.59</v>
      </c>
      <c r="AC186" s="804">
        <f t="shared" si="27"/>
        <v>65704689.509999998</v>
      </c>
      <c r="AD186" s="804">
        <f t="shared" si="27"/>
        <v>90397312.549999997</v>
      </c>
      <c r="AE186" s="804">
        <f t="shared" si="27"/>
        <v>132255439.87</v>
      </c>
      <c r="AF186" s="804">
        <f t="shared" si="27"/>
        <v>53943742.270000003</v>
      </c>
      <c r="AG186" s="804">
        <f t="shared" si="27"/>
        <v>9646312.3399999999</v>
      </c>
      <c r="AH186" s="650">
        <f>SUM(F186:AF186)</f>
        <v>11226539706.07</v>
      </c>
    </row>
    <row r="187" spans="1:35" ht="13.5" thickTop="1" x14ac:dyDescent="0.2">
      <c r="B187" s="398"/>
      <c r="C187" s="398"/>
      <c r="E187" s="649"/>
      <c r="F187" s="649"/>
      <c r="G187" s="649"/>
      <c r="H187" s="649"/>
      <c r="I187" s="649"/>
      <c r="J187" s="649"/>
      <c r="K187" s="649"/>
      <c r="L187" s="649"/>
      <c r="M187" s="649"/>
      <c r="N187" s="649"/>
      <c r="O187" s="393"/>
      <c r="P187" s="649"/>
      <c r="Q187" s="649"/>
      <c r="R187" s="649"/>
      <c r="S187" s="649"/>
      <c r="T187" s="649"/>
      <c r="U187" s="649"/>
      <c r="V187" s="649"/>
      <c r="W187" s="649"/>
      <c r="X187" s="649"/>
      <c r="Y187" s="649"/>
      <c r="Z187" s="649"/>
      <c r="AA187" s="649"/>
      <c r="AB187" s="649"/>
      <c r="AC187" s="649"/>
      <c r="AD187" s="649"/>
      <c r="AE187" s="649"/>
      <c r="AF187" s="649"/>
      <c r="AG187" s="649"/>
      <c r="AH187" s="335" t="s">
        <v>3493</v>
      </c>
    </row>
    <row r="188" spans="1:35" x14ac:dyDescent="0.2">
      <c r="B188" s="335" t="s">
        <v>1936</v>
      </c>
      <c r="C188" s="44"/>
      <c r="E188" s="805" t="str">
        <f t="shared" ref="E188:AG188" si="28">IF(ROUND(E84+E94-E159-E172,2)=E186, "In Bal.","Out of Bal.")</f>
        <v>In Bal.</v>
      </c>
      <c r="F188" s="805" t="str">
        <f t="shared" si="28"/>
        <v>In Bal.</v>
      </c>
      <c r="G188" s="805" t="str">
        <f t="shared" si="28"/>
        <v>In Bal.</v>
      </c>
      <c r="H188" s="805" t="str">
        <f t="shared" si="28"/>
        <v>In Bal.</v>
      </c>
      <c r="I188" s="805" t="str">
        <f t="shared" si="28"/>
        <v>In Bal.</v>
      </c>
      <c r="J188" s="805" t="str">
        <f t="shared" si="28"/>
        <v>In Bal.</v>
      </c>
      <c r="K188" s="805" t="str">
        <f t="shared" si="28"/>
        <v>In Bal.</v>
      </c>
      <c r="L188" s="805" t="str">
        <f t="shared" si="28"/>
        <v>In Bal.</v>
      </c>
      <c r="M188" s="805" t="str">
        <f t="shared" si="28"/>
        <v>In Bal.</v>
      </c>
      <c r="N188" s="805" t="str">
        <f t="shared" si="28"/>
        <v>In Bal.</v>
      </c>
      <c r="O188" s="2049" t="str">
        <f t="shared" si="28"/>
        <v>In Bal.</v>
      </c>
      <c r="P188" s="805" t="str">
        <f t="shared" si="28"/>
        <v>In Bal.</v>
      </c>
      <c r="Q188" s="805" t="str">
        <f t="shared" si="28"/>
        <v>In Bal.</v>
      </c>
      <c r="R188" s="805" t="str">
        <f t="shared" si="28"/>
        <v>In Bal.</v>
      </c>
      <c r="S188" s="805" t="str">
        <f t="shared" si="28"/>
        <v>In Bal.</v>
      </c>
      <c r="T188" s="805" t="str">
        <f t="shared" si="28"/>
        <v>In Bal.</v>
      </c>
      <c r="U188" s="805" t="str">
        <f t="shared" si="28"/>
        <v>In Bal.</v>
      </c>
      <c r="V188" s="805" t="str">
        <f t="shared" si="28"/>
        <v>In Bal.</v>
      </c>
      <c r="W188" s="805" t="str">
        <f t="shared" si="28"/>
        <v>In Bal.</v>
      </c>
      <c r="X188" s="805" t="str">
        <f t="shared" si="28"/>
        <v>In Bal.</v>
      </c>
      <c r="Y188" s="805" t="str">
        <f t="shared" si="28"/>
        <v>In Bal.</v>
      </c>
      <c r="Z188" s="805" t="str">
        <f t="shared" si="28"/>
        <v>In Bal.</v>
      </c>
      <c r="AA188" s="805" t="str">
        <f t="shared" si="28"/>
        <v>In Bal.</v>
      </c>
      <c r="AB188" s="805" t="str">
        <f t="shared" si="28"/>
        <v>In Bal.</v>
      </c>
      <c r="AC188" s="805" t="str">
        <f t="shared" si="28"/>
        <v>In Bal.</v>
      </c>
      <c r="AD188" s="805" t="str">
        <f t="shared" si="28"/>
        <v>In Bal.</v>
      </c>
      <c r="AE188" s="805" t="str">
        <f t="shared" si="28"/>
        <v>In Bal.</v>
      </c>
      <c r="AF188" s="805" t="str">
        <f t="shared" si="28"/>
        <v>In Bal.</v>
      </c>
      <c r="AG188" s="805" t="str">
        <f t="shared" si="28"/>
        <v>In Bal.</v>
      </c>
      <c r="AH188" s="1223"/>
    </row>
    <row r="189" spans="1:35" x14ac:dyDescent="0.2">
      <c r="B189" s="44"/>
      <c r="C189" s="44"/>
      <c r="E189" s="649"/>
      <c r="F189" s="649"/>
      <c r="G189" s="649"/>
      <c r="H189" s="649"/>
      <c r="I189" s="649"/>
      <c r="J189" s="649"/>
      <c r="K189" s="649"/>
      <c r="L189" s="649"/>
      <c r="M189" s="649"/>
      <c r="N189" s="649"/>
      <c r="O189" s="1223" t="s">
        <v>401</v>
      </c>
      <c r="P189" s="1222" t="s">
        <v>402</v>
      </c>
      <c r="Q189" s="1222" t="s">
        <v>403</v>
      </c>
      <c r="R189" s="1223" t="s">
        <v>404</v>
      </c>
      <c r="S189" s="1223" t="s">
        <v>405</v>
      </c>
      <c r="T189" s="1223" t="s">
        <v>406</v>
      </c>
      <c r="U189" s="1223" t="s">
        <v>64</v>
      </c>
      <c r="V189" s="1223" t="s">
        <v>65</v>
      </c>
      <c r="W189" s="1223" t="s">
        <v>66</v>
      </c>
      <c r="X189" s="1223" t="s">
        <v>67</v>
      </c>
      <c r="Y189" s="1223" t="s">
        <v>741</v>
      </c>
      <c r="Z189" s="1223" t="s">
        <v>742</v>
      </c>
      <c r="AA189" s="1223" t="s">
        <v>743</v>
      </c>
      <c r="AB189" s="1223" t="s">
        <v>744</v>
      </c>
      <c r="AC189" s="1223" t="s">
        <v>745</v>
      </c>
      <c r="AD189" s="1223" t="s">
        <v>746</v>
      </c>
      <c r="AE189" s="1223" t="s">
        <v>747</v>
      </c>
      <c r="AF189" s="1223" t="s">
        <v>1689</v>
      </c>
      <c r="AG189" s="1234" t="s">
        <v>399</v>
      </c>
    </row>
    <row r="190" spans="1:35" x14ac:dyDescent="0.2">
      <c r="B190" s="407" t="s">
        <v>1906</v>
      </c>
      <c r="C190" s="653"/>
      <c r="E190" s="792" t="str">
        <f>CONCATENATE("FYE ",+TEXT(Data!$A$4,"mmmm d,yyyy"))</f>
        <v>FYE June 30,2021</v>
      </c>
      <c r="F190" s="792" t="str">
        <f>CONCATENATE("FYE ",+TEXT(Data!$A$4,"mmmm d,yyyy"))</f>
        <v>FYE June 30,2021</v>
      </c>
      <c r="G190" s="792" t="str">
        <f>CONCATENATE("FYE ",+TEXT(Data!$A$4,"mmmm d,yyyy"))</f>
        <v>FYE June 30,2021</v>
      </c>
      <c r="H190" s="792" t="str">
        <f>CONCATENATE("FYE ",+TEXT(Data!$A$4,"mmmm d,yyyy"))</f>
        <v>FYE June 30,2021</v>
      </c>
      <c r="I190" s="792" t="str">
        <f>CONCATENATE("FYE ",+TEXT(Data!$A$4,"mmmm d,yyyy"))</f>
        <v>FYE June 30,2021</v>
      </c>
      <c r="J190" s="792" t="str">
        <f>CONCATENATE("FYE ",+TEXT(Data!$A$4,"mmmm d,yyyy"))</f>
        <v>FYE June 30,2021</v>
      </c>
      <c r="K190" s="792" t="str">
        <f>CONCATENATE("FYE ",+TEXT(Data!$A$4,"mmmm d,yyyy"))</f>
        <v>FYE June 30,2021</v>
      </c>
      <c r="L190" s="792" t="str">
        <f>CONCATENATE("FYE ",+TEXT(Data!$A$4,"mmmm d,yyyy"))</f>
        <v>FYE June 30,2021</v>
      </c>
      <c r="M190" s="792" t="str">
        <f>CONCATENATE("FYE ",+TEXT(Data!$A$4,"mmmm d,yyyy"))</f>
        <v>FYE June 30,2021</v>
      </c>
      <c r="N190" s="792" t="str">
        <f>CONCATENATE("FYE ",+TEXT(Data!$A$4,"mmmm d,yyyy"))</f>
        <v>FYE June 30,2021</v>
      </c>
      <c r="O190" s="2037" t="str">
        <f>CONCATENATE("FYE ",+TEXT(Data!$A$4,"mmmm d,yyyy"))</f>
        <v>FYE June 30,2021</v>
      </c>
      <c r="P190" s="792" t="str">
        <f>CONCATENATE("FYE ",+TEXT(Data!$A$4,"mmmm d,yyyy"))</f>
        <v>FYE June 30,2021</v>
      </c>
      <c r="Q190" s="792" t="str">
        <f>CONCATENATE("FYE ",+TEXT(Data!$A$4,"mmmm d,yyyy"))</f>
        <v>FYE June 30,2021</v>
      </c>
      <c r="R190" s="792" t="str">
        <f>CONCATENATE("FYE ",+TEXT(Data!$A$4,"mmmm d,yyyy"))</f>
        <v>FYE June 30,2021</v>
      </c>
      <c r="S190" s="792" t="str">
        <f>CONCATENATE("FYE ",+TEXT(Data!$A$4,"mmmm d,yyyy"))</f>
        <v>FYE June 30,2021</v>
      </c>
      <c r="T190" s="792" t="str">
        <f>CONCATENATE("FYE ",+TEXT(Data!$A$4,"mmmm d,yyyy"))</f>
        <v>FYE June 30,2021</v>
      </c>
      <c r="U190" s="792" t="str">
        <f>CONCATENATE("FYE ",+TEXT(Data!$A$4,"mmmm d,yyyy"))</f>
        <v>FYE June 30,2021</v>
      </c>
      <c r="V190" s="792" t="str">
        <f>CONCATENATE("FYE ",+TEXT(Data!$A$4,"mmmm d,yyyy"))</f>
        <v>FYE June 30,2021</v>
      </c>
      <c r="W190" s="792" t="str">
        <f>CONCATENATE("FYE ",+TEXT(Data!$A$4,"mmmm d,yyyy"))</f>
        <v>FYE June 30,2021</v>
      </c>
      <c r="X190" s="792" t="str">
        <f>CONCATENATE("FYE ",+TEXT(Data!$A$4,"mmmm d,yyyy"))</f>
        <v>FYE June 30,2021</v>
      </c>
      <c r="Y190" s="792" t="str">
        <f>CONCATENATE("FYE ",+TEXT(Data!$A$4,"mmmm d,yyyy"))</f>
        <v>FYE June 30,2021</v>
      </c>
      <c r="Z190" s="792" t="str">
        <f>CONCATENATE("FYE ",+TEXT(Data!$A$4,"mmmm d,yyyy"))</f>
        <v>FYE June 30,2021</v>
      </c>
      <c r="AA190" s="792" t="str">
        <f>CONCATENATE("FYE ",+TEXT(Data!$A$4,"mmmm d,yyyy"))</f>
        <v>FYE June 30,2021</v>
      </c>
      <c r="AB190" s="792" t="str">
        <f>CONCATENATE("FYE ",+TEXT(Data!$A$4,"mmmm d,yyyy"))</f>
        <v>FYE June 30,2021</v>
      </c>
      <c r="AC190" s="792" t="str">
        <f>CONCATENATE("FYE ",+TEXT(Data!$A$4,"mmmm d,yyyy"))</f>
        <v>FYE June 30,2021</v>
      </c>
      <c r="AD190" s="792" t="str">
        <f>CONCATENATE("FYE ",+TEXT(Data!$A$4,"mmmm d,yyyy"))</f>
        <v>FYE June 30,2021</v>
      </c>
      <c r="AE190" s="792" t="str">
        <f>CONCATENATE("FYE ",+TEXT(Data!$A$4,"mmmm d,yyyy"))</f>
        <v>FYE June 30,2021</v>
      </c>
      <c r="AF190" s="792" t="str">
        <f>CONCATENATE("FYE ",+TEXT(Data!$A$4,"mmmm d,yyyy"))</f>
        <v>FYE June 30,2021</v>
      </c>
      <c r="AG190" s="792" t="str">
        <f>CONCATENATE("FYE ",+TEXT(Data!$A$4,"mmmm d,yyyy"))</f>
        <v>FYE June 30,2021</v>
      </c>
    </row>
    <row r="191" spans="1:35" x14ac:dyDescent="0.2">
      <c r="B191" s="407" t="s">
        <v>387</v>
      </c>
      <c r="C191" s="407"/>
      <c r="E191" s="649"/>
      <c r="F191" s="649"/>
      <c r="G191" s="649"/>
      <c r="H191" s="649"/>
      <c r="I191" s="649"/>
      <c r="J191" s="649"/>
      <c r="K191" s="649"/>
      <c r="L191" s="649"/>
      <c r="M191" s="649"/>
      <c r="N191" s="649"/>
      <c r="O191" s="393"/>
      <c r="P191" s="649"/>
      <c r="Q191" s="649"/>
      <c r="R191" s="649"/>
      <c r="S191" s="649"/>
      <c r="T191" s="649"/>
      <c r="U191" s="649"/>
      <c r="V191" s="649"/>
      <c r="W191" s="649"/>
      <c r="X191" s="649"/>
      <c r="Y191" s="649"/>
      <c r="Z191" s="649"/>
      <c r="AA191" s="649"/>
      <c r="AB191" s="649"/>
      <c r="AC191" s="649"/>
      <c r="AD191" s="649"/>
      <c r="AE191" s="649"/>
      <c r="AF191" s="649"/>
      <c r="AG191" s="649"/>
      <c r="AI191" s="649">
        <f t="shared" ref="AI191:AI222" si="29">SUM(F191:AF191)</f>
        <v>0</v>
      </c>
    </row>
    <row r="192" spans="1:35" x14ac:dyDescent="0.2">
      <c r="A192" s="335">
        <v>2310</v>
      </c>
      <c r="B192" s="3206" t="s">
        <v>782</v>
      </c>
      <c r="C192" s="3206"/>
      <c r="D192" t="str">
        <f t="shared" ref="D192:D203" si="30">IF(SUM(F192:N192)-E192=0,"OK","prob")</f>
        <v>OK</v>
      </c>
      <c r="E192" s="650">
        <v>69200108.670000002</v>
      </c>
      <c r="F192" s="650">
        <v>0</v>
      </c>
      <c r="G192" s="650">
        <v>0</v>
      </c>
      <c r="H192" s="650">
        <v>2850000</v>
      </c>
      <c r="I192" s="650">
        <v>66350108.670000002</v>
      </c>
      <c r="J192" s="650">
        <v>0</v>
      </c>
      <c r="K192" s="650">
        <v>0</v>
      </c>
      <c r="L192" s="650"/>
      <c r="M192" s="650">
        <v>0</v>
      </c>
      <c r="N192" s="650">
        <v>0</v>
      </c>
      <c r="O192" s="1825">
        <v>12831268.380000001</v>
      </c>
      <c r="P192" s="1822">
        <v>397368948.55000001</v>
      </c>
      <c r="Q192" s="650">
        <v>179067420.09999999</v>
      </c>
      <c r="R192" s="650">
        <v>41375783.170000002</v>
      </c>
      <c r="S192" s="650">
        <v>38502980.439999998</v>
      </c>
      <c r="T192" s="1825">
        <v>9952297.6099999994</v>
      </c>
      <c r="U192" s="650">
        <v>37287675.039999999</v>
      </c>
      <c r="V192" s="650">
        <v>47711703.950000003</v>
      </c>
      <c r="W192" s="650">
        <v>18191628.219999999</v>
      </c>
      <c r="X192" s="650">
        <v>38047879.460000001</v>
      </c>
      <c r="Y192" s="650">
        <v>69452823.200000003</v>
      </c>
      <c r="Z192" s="650">
        <v>14378960.92</v>
      </c>
      <c r="AA192" s="650">
        <v>17103474.309999999</v>
      </c>
      <c r="AB192" s="650">
        <v>4597941.3099999996</v>
      </c>
      <c r="AC192" s="650">
        <v>8153016.4800000004</v>
      </c>
      <c r="AD192" s="650">
        <v>25833026.609999999</v>
      </c>
      <c r="AE192" s="650">
        <v>6202462.7800000003</v>
      </c>
      <c r="AF192" s="1826">
        <v>2613995.88</v>
      </c>
      <c r="AG192" s="650">
        <v>544981.73</v>
      </c>
      <c r="AI192" s="649">
        <f t="shared" si="29"/>
        <v>1037873395.08</v>
      </c>
    </row>
    <row r="193" spans="1:35" ht="15" x14ac:dyDescent="0.25">
      <c r="A193" s="335">
        <v>2320</v>
      </c>
      <c r="B193" s="3206" t="s">
        <v>1425</v>
      </c>
      <c r="C193" s="3206"/>
      <c r="D193" t="str">
        <f t="shared" si="30"/>
        <v>OK</v>
      </c>
      <c r="E193" s="649">
        <v>0</v>
      </c>
      <c r="F193" s="649">
        <v>0</v>
      </c>
      <c r="G193" s="649">
        <v>0</v>
      </c>
      <c r="H193" s="649">
        <v>0</v>
      </c>
      <c r="I193" s="649">
        <v>0</v>
      </c>
      <c r="J193" s="649">
        <v>0</v>
      </c>
      <c r="K193" s="649">
        <v>0</v>
      </c>
      <c r="L193" s="649"/>
      <c r="M193" s="649">
        <v>0</v>
      </c>
      <c r="N193" s="649">
        <v>0</v>
      </c>
      <c r="O193" s="2039">
        <v>0</v>
      </c>
      <c r="P193" s="1987">
        <v>412071787.94999999</v>
      </c>
      <c r="Q193" s="1829">
        <v>329081528.61000001</v>
      </c>
      <c r="R193" s="1829">
        <v>100030185.40000001</v>
      </c>
      <c r="S193" s="1829">
        <v>214358068.66999999</v>
      </c>
      <c r="T193" s="2039">
        <v>19561396.190000001</v>
      </c>
      <c r="U193" s="649">
        <v>105270022.68000001</v>
      </c>
      <c r="V193" s="649">
        <v>180877492.46000001</v>
      </c>
      <c r="W193" s="649">
        <v>67369163.519999996</v>
      </c>
      <c r="X193" s="649">
        <v>43520281.399999999</v>
      </c>
      <c r="Y193" s="649">
        <v>130660907.44</v>
      </c>
      <c r="Z193" s="649">
        <v>23055191.449999999</v>
      </c>
      <c r="AA193" s="1827">
        <v>20402159.68</v>
      </c>
      <c r="AB193" s="649">
        <v>4772203.26</v>
      </c>
      <c r="AC193" s="649">
        <v>17785646.120000001</v>
      </c>
      <c r="AD193" s="649">
        <v>52118390.619999997</v>
      </c>
      <c r="AE193" s="649">
        <v>15454231.02</v>
      </c>
      <c r="AF193" s="1288">
        <v>0</v>
      </c>
      <c r="AG193" s="649">
        <v>0</v>
      </c>
      <c r="AI193" s="649">
        <f t="shared" si="29"/>
        <v>1736388656.47</v>
      </c>
    </row>
    <row r="194" spans="1:35" x14ac:dyDescent="0.2">
      <c r="A194" s="335">
        <v>2330</v>
      </c>
      <c r="B194" s="3206" t="s">
        <v>1426</v>
      </c>
      <c r="C194" s="3206"/>
      <c r="D194" t="str">
        <f t="shared" si="30"/>
        <v>OK</v>
      </c>
      <c r="E194" s="649">
        <v>4009397330.6999998</v>
      </c>
      <c r="F194" s="649">
        <v>2361574427</v>
      </c>
      <c r="G194" s="649">
        <v>191952</v>
      </c>
      <c r="H194" s="649">
        <v>0</v>
      </c>
      <c r="I194" s="649">
        <v>1215056082.99</v>
      </c>
      <c r="J194" s="649">
        <v>39609163.329999998</v>
      </c>
      <c r="K194" s="649">
        <v>201844370.08000001</v>
      </c>
      <c r="L194" s="649"/>
      <c r="M194" s="649">
        <v>52443735.539999999</v>
      </c>
      <c r="N194" s="649">
        <v>138677599.75999999</v>
      </c>
      <c r="O194" s="2039">
        <v>0</v>
      </c>
      <c r="P194" s="1987">
        <v>545209574.26999998</v>
      </c>
      <c r="Q194" s="1829">
        <v>0</v>
      </c>
      <c r="R194" s="1829">
        <v>0</v>
      </c>
      <c r="S194" s="1829">
        <v>0</v>
      </c>
      <c r="T194" s="2039">
        <v>0</v>
      </c>
      <c r="U194" s="649">
        <v>0</v>
      </c>
      <c r="V194" s="649">
        <v>233127640.86000001</v>
      </c>
      <c r="W194" s="649">
        <v>0</v>
      </c>
      <c r="X194" s="649">
        <v>0</v>
      </c>
      <c r="Y194" s="649">
        <v>0</v>
      </c>
      <c r="Z194" s="649">
        <v>0</v>
      </c>
      <c r="AA194" s="649">
        <v>0</v>
      </c>
      <c r="AB194" s="649">
        <v>0</v>
      </c>
      <c r="AC194" s="649">
        <v>0</v>
      </c>
      <c r="AD194" s="649">
        <v>0</v>
      </c>
      <c r="AE194" s="649">
        <v>0</v>
      </c>
      <c r="AF194" s="1288">
        <v>0</v>
      </c>
      <c r="AG194" s="649">
        <v>0</v>
      </c>
      <c r="AI194" s="649">
        <f t="shared" si="29"/>
        <v>4787734545.8299999</v>
      </c>
    </row>
    <row r="195" spans="1:35" x14ac:dyDescent="0.2">
      <c r="A195" s="335">
        <v>2350</v>
      </c>
      <c r="B195" s="3206" t="s">
        <v>1427</v>
      </c>
      <c r="C195" s="3206"/>
      <c r="D195" t="str">
        <f t="shared" si="30"/>
        <v>OK</v>
      </c>
      <c r="E195" s="649">
        <v>0</v>
      </c>
      <c r="F195" s="649">
        <v>0</v>
      </c>
      <c r="G195" s="649">
        <v>0</v>
      </c>
      <c r="H195" s="649">
        <v>0</v>
      </c>
      <c r="I195" s="649">
        <v>0</v>
      </c>
      <c r="J195" s="649">
        <v>0</v>
      </c>
      <c r="K195" s="649">
        <v>0</v>
      </c>
      <c r="L195" s="649"/>
      <c r="M195" s="649">
        <v>0</v>
      </c>
      <c r="N195" s="649">
        <v>0</v>
      </c>
      <c r="O195" s="2039">
        <v>0</v>
      </c>
      <c r="P195" s="1987">
        <v>0</v>
      </c>
      <c r="Q195" s="1829">
        <v>23020618.43</v>
      </c>
      <c r="R195" s="1829">
        <v>0</v>
      </c>
      <c r="S195" s="1829">
        <v>0</v>
      </c>
      <c r="T195" s="2039">
        <v>0</v>
      </c>
      <c r="U195" s="649">
        <v>0</v>
      </c>
      <c r="V195" s="649">
        <v>0</v>
      </c>
      <c r="W195" s="649">
        <v>10712962.390000001</v>
      </c>
      <c r="X195" s="649">
        <v>0</v>
      </c>
      <c r="Y195" s="649">
        <v>0</v>
      </c>
      <c r="Z195" s="649">
        <v>0</v>
      </c>
      <c r="AA195" s="649">
        <v>0</v>
      </c>
      <c r="AB195" s="649">
        <v>0</v>
      </c>
      <c r="AC195" s="649">
        <v>0</v>
      </c>
      <c r="AD195" s="649">
        <v>0</v>
      </c>
      <c r="AE195" s="649">
        <v>0</v>
      </c>
      <c r="AF195" s="1288">
        <v>0</v>
      </c>
      <c r="AG195" s="649">
        <v>0</v>
      </c>
      <c r="AI195" s="649">
        <f t="shared" si="29"/>
        <v>33733580.82</v>
      </c>
    </row>
    <row r="196" spans="1:35" x14ac:dyDescent="0.2">
      <c r="A196" s="335">
        <v>2370</v>
      </c>
      <c r="B196" s="3206" t="s">
        <v>388</v>
      </c>
      <c r="C196" s="3206"/>
      <c r="D196" t="str">
        <f t="shared" si="30"/>
        <v>OK</v>
      </c>
      <c r="E196" s="649">
        <v>36771359</v>
      </c>
      <c r="F196" s="649">
        <v>0</v>
      </c>
      <c r="G196" s="649">
        <v>36771359</v>
      </c>
      <c r="H196" s="649">
        <v>0</v>
      </c>
      <c r="I196" s="649">
        <v>0</v>
      </c>
      <c r="J196" s="649">
        <v>0</v>
      </c>
      <c r="K196" s="649">
        <v>0</v>
      </c>
      <c r="L196" s="649"/>
      <c r="M196" s="649">
        <v>0</v>
      </c>
      <c r="N196" s="649">
        <v>0</v>
      </c>
      <c r="O196" s="2039">
        <v>0</v>
      </c>
      <c r="P196" s="1987">
        <v>763623334.87</v>
      </c>
      <c r="Q196" s="1829">
        <v>180385370.58000001</v>
      </c>
      <c r="R196" s="1829">
        <v>26449742.43</v>
      </c>
      <c r="S196" s="1829">
        <v>37205607.200000003</v>
      </c>
      <c r="T196" s="2039">
        <v>1869649.75</v>
      </c>
      <c r="U196" s="649">
        <v>7231863.8499999996</v>
      </c>
      <c r="V196" s="649">
        <v>36734686.780000001</v>
      </c>
      <c r="W196" s="649">
        <v>22637512.969999999</v>
      </c>
      <c r="X196" s="649">
        <v>5390042.9100000001</v>
      </c>
      <c r="Y196" s="649">
        <v>6342456.7199999997</v>
      </c>
      <c r="Z196" s="649">
        <v>0</v>
      </c>
      <c r="AA196" s="649">
        <v>0</v>
      </c>
      <c r="AB196" s="649">
        <v>0</v>
      </c>
      <c r="AC196" s="649">
        <v>321228.08</v>
      </c>
      <c r="AD196" s="649">
        <v>12341891.84</v>
      </c>
      <c r="AE196" s="649">
        <v>55674.48</v>
      </c>
      <c r="AF196" s="1288">
        <v>0</v>
      </c>
      <c r="AG196" s="649">
        <v>0</v>
      </c>
      <c r="AI196" s="649">
        <f t="shared" si="29"/>
        <v>1137360421.46</v>
      </c>
    </row>
    <row r="197" spans="1:35" x14ac:dyDescent="0.2">
      <c r="A197" s="335">
        <v>2390</v>
      </c>
      <c r="B197" s="3206" t="s">
        <v>389</v>
      </c>
      <c r="C197" s="3206"/>
      <c r="D197" t="str">
        <f t="shared" si="30"/>
        <v>OK</v>
      </c>
      <c r="E197" s="649">
        <v>0</v>
      </c>
      <c r="F197" s="649">
        <v>0</v>
      </c>
      <c r="G197" s="649">
        <v>0</v>
      </c>
      <c r="H197" s="649">
        <v>0</v>
      </c>
      <c r="I197" s="649">
        <v>0</v>
      </c>
      <c r="J197" s="649">
        <v>0</v>
      </c>
      <c r="K197" s="649">
        <v>0</v>
      </c>
      <c r="L197" s="649"/>
      <c r="M197" s="649">
        <v>0</v>
      </c>
      <c r="N197" s="649">
        <v>0</v>
      </c>
      <c r="O197" s="2039">
        <v>0</v>
      </c>
      <c r="P197" s="1987">
        <v>12375102.289999999</v>
      </c>
      <c r="Q197" s="1829">
        <v>52473340.789999999</v>
      </c>
      <c r="R197" s="1829">
        <v>9928004.7300000004</v>
      </c>
      <c r="S197" s="1829">
        <v>3289915.34</v>
      </c>
      <c r="T197" s="2039">
        <v>870224.46</v>
      </c>
      <c r="U197" s="649">
        <v>3420402.35</v>
      </c>
      <c r="V197" s="649">
        <v>8567529.1099999994</v>
      </c>
      <c r="W197" s="649">
        <v>5037128.5599999996</v>
      </c>
      <c r="X197" s="649">
        <v>800225.9</v>
      </c>
      <c r="Y197" s="649">
        <v>3135370.18</v>
      </c>
      <c r="Z197" s="649">
        <v>356519.22</v>
      </c>
      <c r="AA197" s="649">
        <v>0</v>
      </c>
      <c r="AB197" s="649">
        <v>0</v>
      </c>
      <c r="AC197" s="649">
        <v>0</v>
      </c>
      <c r="AD197" s="649">
        <v>127003.6</v>
      </c>
      <c r="AE197" s="649">
        <v>0</v>
      </c>
      <c r="AF197" s="1288">
        <v>0</v>
      </c>
      <c r="AG197" s="649">
        <v>0</v>
      </c>
      <c r="AI197" s="649">
        <f t="shared" si="29"/>
        <v>100380766.53</v>
      </c>
    </row>
    <row r="198" spans="1:35" x14ac:dyDescent="0.2">
      <c r="A198" s="335">
        <v>2400</v>
      </c>
      <c r="B198" s="3206" t="s">
        <v>390</v>
      </c>
      <c r="C198" s="3206"/>
      <c r="D198" t="str">
        <f t="shared" si="30"/>
        <v>OK</v>
      </c>
      <c r="E198" s="649">
        <v>16577820</v>
      </c>
      <c r="F198" s="649">
        <v>0</v>
      </c>
      <c r="G198" s="649">
        <v>16577820</v>
      </c>
      <c r="H198" s="649">
        <v>0</v>
      </c>
      <c r="I198" s="649">
        <v>0</v>
      </c>
      <c r="J198" s="649">
        <v>0</v>
      </c>
      <c r="K198" s="649">
        <v>0</v>
      </c>
      <c r="L198" s="649"/>
      <c r="M198" s="649">
        <v>0</v>
      </c>
      <c r="N198" s="649">
        <v>0</v>
      </c>
      <c r="O198" s="2039">
        <v>0</v>
      </c>
      <c r="P198" s="1987">
        <v>182500012.66999999</v>
      </c>
      <c r="Q198" s="1829">
        <v>94157324.709999993</v>
      </c>
      <c r="R198" s="1829">
        <v>1497993.85</v>
      </c>
      <c r="S198" s="1829">
        <v>5333401.76</v>
      </c>
      <c r="T198" s="2039">
        <v>1060544.52</v>
      </c>
      <c r="U198" s="649">
        <v>1754763.89</v>
      </c>
      <c r="V198" s="649">
        <v>13521801.939999999</v>
      </c>
      <c r="W198" s="649">
        <v>1238393.6000000001</v>
      </c>
      <c r="X198" s="649">
        <v>765479.19</v>
      </c>
      <c r="Y198" s="649">
        <v>587345.55000000005</v>
      </c>
      <c r="Z198" s="649">
        <v>101969.2</v>
      </c>
      <c r="AA198" s="649">
        <v>0</v>
      </c>
      <c r="AB198" s="649">
        <v>0</v>
      </c>
      <c r="AC198" s="649">
        <v>0</v>
      </c>
      <c r="AD198" s="649">
        <v>1237609.6599999999</v>
      </c>
      <c r="AE198" s="649">
        <v>0</v>
      </c>
      <c r="AF198" s="1288">
        <v>1118301</v>
      </c>
      <c r="AG198" s="649">
        <v>0</v>
      </c>
      <c r="AI198" s="649">
        <f t="shared" si="29"/>
        <v>321452761.54000002</v>
      </c>
    </row>
    <row r="199" spans="1:35" ht="15" x14ac:dyDescent="0.25">
      <c r="A199" s="335">
        <v>2410</v>
      </c>
      <c r="B199" s="3206" t="s">
        <v>391</v>
      </c>
      <c r="C199" s="3206"/>
      <c r="D199" t="str">
        <f t="shared" si="30"/>
        <v>OK</v>
      </c>
      <c r="E199" s="649">
        <v>0</v>
      </c>
      <c r="F199" s="649">
        <v>0</v>
      </c>
      <c r="G199" s="649">
        <v>0</v>
      </c>
      <c r="H199" s="649">
        <v>0</v>
      </c>
      <c r="I199" s="649">
        <v>0</v>
      </c>
      <c r="J199" s="649">
        <v>0</v>
      </c>
      <c r="K199" s="649">
        <v>0</v>
      </c>
      <c r="L199" s="649"/>
      <c r="M199" s="649">
        <v>0</v>
      </c>
      <c r="N199" s="649">
        <v>0</v>
      </c>
      <c r="O199" s="2039">
        <v>0</v>
      </c>
      <c r="P199" s="1987">
        <v>951583.87</v>
      </c>
      <c r="Q199" s="1829">
        <v>219261.6</v>
      </c>
      <c r="R199" s="1829">
        <v>102749.3</v>
      </c>
      <c r="S199" s="1829">
        <v>173170.93</v>
      </c>
      <c r="T199" s="2039">
        <v>32038.58</v>
      </c>
      <c r="U199" s="649">
        <v>7567.69</v>
      </c>
      <c r="V199" s="649">
        <v>289319.75</v>
      </c>
      <c r="W199" s="649">
        <v>3539.53</v>
      </c>
      <c r="X199" s="649">
        <v>16239.5</v>
      </c>
      <c r="Y199" s="649">
        <v>53567.47</v>
      </c>
      <c r="Z199" s="649">
        <v>20764.25</v>
      </c>
      <c r="AA199" s="1827">
        <v>4.21</v>
      </c>
      <c r="AB199" s="649">
        <v>0</v>
      </c>
      <c r="AC199" s="649">
        <v>0</v>
      </c>
      <c r="AD199" s="649">
        <v>-58405.11</v>
      </c>
      <c r="AE199" s="649">
        <v>0</v>
      </c>
      <c r="AF199" s="1288">
        <v>7557.92</v>
      </c>
      <c r="AG199" s="649">
        <v>0</v>
      </c>
      <c r="AI199" s="649">
        <f t="shared" si="29"/>
        <v>1818959.49</v>
      </c>
    </row>
    <row r="200" spans="1:35" x14ac:dyDescent="0.2">
      <c r="A200" s="335">
        <v>2420</v>
      </c>
      <c r="B200" s="3206" t="s">
        <v>783</v>
      </c>
      <c r="C200" s="3206"/>
      <c r="D200" t="str">
        <f t="shared" si="30"/>
        <v>OK</v>
      </c>
      <c r="E200" s="649">
        <v>8059030</v>
      </c>
      <c r="F200" s="649">
        <v>0</v>
      </c>
      <c r="G200" s="649">
        <v>8059030</v>
      </c>
      <c r="H200" s="649">
        <v>0</v>
      </c>
      <c r="I200" s="649">
        <v>0</v>
      </c>
      <c r="J200" s="649">
        <v>0</v>
      </c>
      <c r="K200" s="649">
        <v>0</v>
      </c>
      <c r="L200" s="649"/>
      <c r="M200" s="649">
        <v>0</v>
      </c>
      <c r="N200" s="649">
        <v>0</v>
      </c>
      <c r="O200" s="2039">
        <v>327285.99</v>
      </c>
      <c r="P200" s="1987">
        <v>0</v>
      </c>
      <c r="Q200" s="1829">
        <v>6443915.9500000002</v>
      </c>
      <c r="R200" s="1829">
        <v>352420</v>
      </c>
      <c r="S200" s="1829">
        <v>1029669.59</v>
      </c>
      <c r="T200" s="2039">
        <v>421029.38</v>
      </c>
      <c r="U200" s="649">
        <v>699551.1</v>
      </c>
      <c r="V200" s="649">
        <v>260205.05</v>
      </c>
      <c r="W200" s="649">
        <v>0</v>
      </c>
      <c r="X200" s="649">
        <v>618554.36</v>
      </c>
      <c r="Y200" s="649">
        <v>201005.1</v>
      </c>
      <c r="Z200" s="649">
        <v>0</v>
      </c>
      <c r="AA200" s="649">
        <v>97185.72</v>
      </c>
      <c r="AB200" s="649">
        <v>183598.46</v>
      </c>
      <c r="AC200" s="649">
        <v>144961.69</v>
      </c>
      <c r="AD200" s="649">
        <v>0</v>
      </c>
      <c r="AE200" s="649">
        <v>1171603.1200000001</v>
      </c>
      <c r="AF200" s="1288">
        <v>2105061.5499999998</v>
      </c>
      <c r="AG200" s="649">
        <v>64502</v>
      </c>
      <c r="AI200" s="649">
        <f t="shared" si="29"/>
        <v>22115077.059999999</v>
      </c>
    </row>
    <row r="201" spans="1:35" x14ac:dyDescent="0.2">
      <c r="A201" s="335">
        <v>2430</v>
      </c>
      <c r="B201" s="3206" t="s">
        <v>8</v>
      </c>
      <c r="C201" s="3206"/>
      <c r="D201" s="2078" t="str">
        <f t="shared" si="30"/>
        <v>prob</v>
      </c>
      <c r="E201" s="649">
        <v>42982931.329999998</v>
      </c>
      <c r="F201" s="649">
        <v>0</v>
      </c>
      <c r="G201" s="649">
        <v>140794651</v>
      </c>
      <c r="H201" s="649">
        <v>0</v>
      </c>
      <c r="I201" s="649">
        <v>0</v>
      </c>
      <c r="J201" s="649">
        <v>0</v>
      </c>
      <c r="K201" s="649">
        <v>0</v>
      </c>
      <c r="L201" s="649"/>
      <c r="M201" s="649">
        <v>0</v>
      </c>
      <c r="N201" s="649">
        <v>0</v>
      </c>
      <c r="O201" s="2039">
        <v>0</v>
      </c>
      <c r="P201" s="1987">
        <v>1603809.55</v>
      </c>
      <c r="Q201" s="1829">
        <v>382</v>
      </c>
      <c r="R201" s="1829">
        <v>0</v>
      </c>
      <c r="S201" s="1829">
        <v>597045.67000000004</v>
      </c>
      <c r="T201" s="2039">
        <v>458928.59</v>
      </c>
      <c r="U201" s="649">
        <v>766373.18</v>
      </c>
      <c r="V201" s="649">
        <v>40868.639999999999</v>
      </c>
      <c r="W201" s="649">
        <v>0</v>
      </c>
      <c r="X201" s="649">
        <v>505752.45</v>
      </c>
      <c r="Y201" s="649">
        <v>0</v>
      </c>
      <c r="Z201" s="649">
        <v>0</v>
      </c>
      <c r="AA201" s="649">
        <v>529.29</v>
      </c>
      <c r="AB201" s="649">
        <v>0</v>
      </c>
      <c r="AC201" s="649">
        <v>68428.600000000006</v>
      </c>
      <c r="AD201" s="649">
        <v>0</v>
      </c>
      <c r="AE201" s="649">
        <v>0</v>
      </c>
      <c r="AF201" s="1288">
        <v>0</v>
      </c>
      <c r="AG201" s="649">
        <v>1097280</v>
      </c>
      <c r="AI201" s="649">
        <f t="shared" si="29"/>
        <v>144836768.97</v>
      </c>
    </row>
    <row r="202" spans="1:35" x14ac:dyDescent="0.2">
      <c r="A202" s="335">
        <v>2450</v>
      </c>
      <c r="B202" s="3206" t="s">
        <v>643</v>
      </c>
      <c r="C202" s="3206"/>
      <c r="D202" t="str">
        <f t="shared" si="30"/>
        <v>prob</v>
      </c>
      <c r="E202" s="651">
        <v>165449704.06</v>
      </c>
      <c r="F202" s="651">
        <v>36225406.100000001</v>
      </c>
      <c r="G202" s="651">
        <v>2318716</v>
      </c>
      <c r="H202" s="651">
        <v>0</v>
      </c>
      <c r="I202" s="651">
        <v>0</v>
      </c>
      <c r="J202" s="651">
        <v>1244718.8899999999</v>
      </c>
      <c r="K202" s="651">
        <v>119307314.39</v>
      </c>
      <c r="L202" s="651"/>
      <c r="M202" s="651">
        <v>1918592.7</v>
      </c>
      <c r="N202" s="651">
        <v>5969561.9800000004</v>
      </c>
      <c r="O202" s="2039">
        <v>31882.85</v>
      </c>
      <c r="P202" s="1987">
        <v>3512734.23</v>
      </c>
      <c r="Q202" s="1829">
        <v>12814762.199999999</v>
      </c>
      <c r="R202" s="1829">
        <v>2775637.24</v>
      </c>
      <c r="S202" s="1829">
        <v>2032825.12</v>
      </c>
      <c r="T202" s="2039">
        <v>893466.12</v>
      </c>
      <c r="U202" s="651">
        <v>2787175.56</v>
      </c>
      <c r="V202" s="651">
        <v>876069.74</v>
      </c>
      <c r="W202" s="651">
        <v>5704444.9500000002</v>
      </c>
      <c r="X202" s="651">
        <v>2055516.48</v>
      </c>
      <c r="Y202" s="651">
        <v>3123343.73</v>
      </c>
      <c r="Z202" s="651">
        <v>3101679.51</v>
      </c>
      <c r="AA202" s="651">
        <v>2682623.25</v>
      </c>
      <c r="AB202" s="651">
        <v>947677.72</v>
      </c>
      <c r="AC202" s="651">
        <v>1452388.19</v>
      </c>
      <c r="AD202" s="651">
        <v>6921803.0099999998</v>
      </c>
      <c r="AE202" s="651">
        <v>0</v>
      </c>
      <c r="AF202" s="1828">
        <v>526838.17000000004</v>
      </c>
      <c r="AG202" s="651">
        <v>123028.75</v>
      </c>
      <c r="AI202" s="649">
        <f t="shared" si="29"/>
        <v>219225178.13</v>
      </c>
    </row>
    <row r="203" spans="1:35" x14ac:dyDescent="0.2">
      <c r="A203" s="785"/>
      <c r="B203" s="3206" t="s">
        <v>392</v>
      </c>
      <c r="C203" s="3206"/>
      <c r="D203" t="str">
        <f t="shared" si="30"/>
        <v>prob</v>
      </c>
      <c r="E203" s="661">
        <f t="shared" ref="E203:AG203" si="31">SUM(E192:E202)</f>
        <v>4348438283.7600002</v>
      </c>
      <c r="F203" s="661">
        <f t="shared" si="31"/>
        <v>2397799833.0999999</v>
      </c>
      <c r="G203" s="661">
        <f t="shared" si="31"/>
        <v>204713528</v>
      </c>
      <c r="H203" s="661">
        <f t="shared" si="31"/>
        <v>2850000</v>
      </c>
      <c r="I203" s="661">
        <f t="shared" si="31"/>
        <v>1281406191.6600001</v>
      </c>
      <c r="J203" s="661">
        <f t="shared" si="31"/>
        <v>40853882.219999999</v>
      </c>
      <c r="K203" s="661">
        <f t="shared" si="31"/>
        <v>321151684.47000003</v>
      </c>
      <c r="L203" s="661">
        <f t="shared" si="31"/>
        <v>0</v>
      </c>
      <c r="M203" s="661">
        <f t="shared" si="31"/>
        <v>54362328.240000002</v>
      </c>
      <c r="N203" s="661">
        <f t="shared" si="31"/>
        <v>144647161.74000001</v>
      </c>
      <c r="O203" s="706">
        <f t="shared" si="31"/>
        <v>13190437.220000001</v>
      </c>
      <c r="P203" s="661">
        <f t="shared" si="31"/>
        <v>2319216888.25</v>
      </c>
      <c r="Q203" s="661">
        <f t="shared" si="31"/>
        <v>877663924.97000003</v>
      </c>
      <c r="R203" s="661">
        <f t="shared" si="31"/>
        <v>182512516.12</v>
      </c>
      <c r="S203" s="661">
        <f t="shared" si="31"/>
        <v>302522684.72000003</v>
      </c>
      <c r="T203" s="661">
        <f t="shared" si="31"/>
        <v>35119575.200000003</v>
      </c>
      <c r="U203" s="661">
        <f t="shared" si="31"/>
        <v>159225395.34</v>
      </c>
      <c r="V203" s="661">
        <f t="shared" si="31"/>
        <v>522007318.27999997</v>
      </c>
      <c r="W203" s="661">
        <f t="shared" si="31"/>
        <v>130894773.73999999</v>
      </c>
      <c r="X203" s="661">
        <f t="shared" si="31"/>
        <v>91719971.650000006</v>
      </c>
      <c r="Y203" s="661">
        <f t="shared" si="31"/>
        <v>213556819.38999999</v>
      </c>
      <c r="Z203" s="661">
        <f t="shared" si="31"/>
        <v>41015084.549999997</v>
      </c>
      <c r="AA203" s="661">
        <f t="shared" si="31"/>
        <v>40285976.460000001</v>
      </c>
      <c r="AB203" s="661">
        <f t="shared" si="31"/>
        <v>10501420.75</v>
      </c>
      <c r="AC203" s="661">
        <f t="shared" si="31"/>
        <v>27925669.16</v>
      </c>
      <c r="AD203" s="661">
        <f t="shared" si="31"/>
        <v>98521320.230000004</v>
      </c>
      <c r="AE203" s="661">
        <f t="shared" si="31"/>
        <v>22883971.399999999</v>
      </c>
      <c r="AF203" s="661">
        <f t="shared" si="31"/>
        <v>6371754.5199999996</v>
      </c>
      <c r="AG203" s="661">
        <f t="shared" si="31"/>
        <v>1829792.48</v>
      </c>
      <c r="AI203" s="649">
        <f t="shared" si="29"/>
        <v>9542920111.3799992</v>
      </c>
    </row>
    <row r="204" spans="1:35" x14ac:dyDescent="0.2">
      <c r="B204" s="398"/>
      <c r="C204" s="398"/>
      <c r="E204" s="649"/>
      <c r="F204" s="649"/>
      <c r="G204" s="649"/>
      <c r="H204" s="649"/>
      <c r="I204" s="649"/>
      <c r="J204" s="649"/>
      <c r="K204" s="649"/>
      <c r="L204" s="649"/>
      <c r="M204" s="649"/>
      <c r="N204" s="649"/>
      <c r="O204" s="393"/>
      <c r="P204" s="649"/>
      <c r="Q204" s="649"/>
      <c r="R204" s="649"/>
      <c r="S204" s="649"/>
      <c r="T204" s="649"/>
      <c r="U204" s="649"/>
      <c r="V204" s="649"/>
      <c r="W204" s="649"/>
      <c r="X204" s="649"/>
      <c r="Y204" s="649"/>
      <c r="Z204" s="649"/>
      <c r="AA204" s="649"/>
      <c r="AB204" s="649"/>
      <c r="AC204" s="649"/>
      <c r="AD204" s="649"/>
      <c r="AE204" s="649"/>
      <c r="AF204" s="649"/>
      <c r="AG204" s="649"/>
      <c r="AI204" s="649">
        <f t="shared" si="29"/>
        <v>0</v>
      </c>
    </row>
    <row r="205" spans="1:35" x14ac:dyDescent="0.2">
      <c r="B205" s="407" t="s">
        <v>393</v>
      </c>
      <c r="C205" s="407"/>
      <c r="E205" s="649"/>
      <c r="F205" s="649"/>
      <c r="G205" s="649"/>
      <c r="H205" s="649"/>
      <c r="I205" s="649"/>
      <c r="J205" s="649"/>
      <c r="K205" s="649"/>
      <c r="L205" s="649"/>
      <c r="M205" s="649"/>
      <c r="N205" s="649"/>
      <c r="O205" s="393"/>
      <c r="P205" s="649"/>
      <c r="Q205" s="649"/>
      <c r="R205" s="649"/>
      <c r="S205" s="649"/>
      <c r="T205" s="649"/>
      <c r="U205" s="649"/>
      <c r="V205" s="649"/>
      <c r="W205" s="649"/>
      <c r="X205" s="649"/>
      <c r="Y205" s="649"/>
      <c r="Z205" s="649"/>
      <c r="AA205" s="649"/>
      <c r="AB205" s="649"/>
      <c r="AC205" s="649"/>
      <c r="AD205" s="649"/>
      <c r="AE205" s="649"/>
      <c r="AF205" s="649"/>
      <c r="AG205" s="649"/>
      <c r="AI205" s="649">
        <f t="shared" si="29"/>
        <v>0</v>
      </c>
    </row>
    <row r="206" spans="1:35" x14ac:dyDescent="0.2">
      <c r="A206" s="335">
        <v>2490</v>
      </c>
      <c r="B206" s="3206" t="s">
        <v>394</v>
      </c>
      <c r="C206" s="3206"/>
      <c r="D206" t="str">
        <f>IF(SUM(F206:N206)-E206=0,"OK","prob")</f>
        <v>prob</v>
      </c>
      <c r="E206" s="649">
        <v>1807681486.1600001</v>
      </c>
      <c r="F206" s="649">
        <v>879417763.5</v>
      </c>
      <c r="G206" s="649">
        <v>0</v>
      </c>
      <c r="H206" s="649">
        <v>0</v>
      </c>
      <c r="I206" s="649">
        <v>593534746.20000005</v>
      </c>
      <c r="J206" s="649">
        <v>14119839.359999999</v>
      </c>
      <c r="K206" s="649">
        <v>218569463.06999999</v>
      </c>
      <c r="L206" s="649"/>
      <c r="M206" s="649">
        <v>30186606.699999999</v>
      </c>
      <c r="N206" s="649">
        <v>71853067.329999998</v>
      </c>
      <c r="O206" s="393">
        <v>40864681.509999998</v>
      </c>
      <c r="P206" s="1286">
        <v>1811778597.0699999</v>
      </c>
      <c r="Q206" s="649">
        <v>953216704.07000005</v>
      </c>
      <c r="R206" s="649">
        <v>281121503.67000002</v>
      </c>
      <c r="S206" s="649">
        <v>401245909.54000002</v>
      </c>
      <c r="T206" s="649">
        <v>56514365.020000003</v>
      </c>
      <c r="U206" s="649">
        <v>217064716.75</v>
      </c>
      <c r="V206" s="649">
        <v>571439084.91999996</v>
      </c>
      <c r="W206" s="649">
        <v>178781161.65000001</v>
      </c>
      <c r="X206" s="649">
        <v>142875165.87</v>
      </c>
      <c r="Y206" s="649">
        <v>263694624.49000001</v>
      </c>
      <c r="Z206" s="649">
        <v>77540157.400000006</v>
      </c>
      <c r="AA206" s="649">
        <v>69259917.75</v>
      </c>
      <c r="AB206" s="649">
        <v>31994423.02</v>
      </c>
      <c r="AC206" s="649">
        <v>72384051.340000004</v>
      </c>
      <c r="AD206" s="649">
        <v>119995339.76000001</v>
      </c>
      <c r="AE206" s="649">
        <v>43785867.390000001</v>
      </c>
      <c r="AF206" s="1288">
        <v>0</v>
      </c>
      <c r="AG206" s="649">
        <v>2074475.22</v>
      </c>
      <c r="AI206" s="649">
        <f t="shared" si="29"/>
        <v>7141237757.3800001</v>
      </c>
    </row>
    <row r="207" spans="1:35" x14ac:dyDescent="0.2">
      <c r="A207" s="335">
        <v>2510</v>
      </c>
      <c r="B207" s="3206" t="s">
        <v>395</v>
      </c>
      <c r="C207" s="3206"/>
      <c r="D207" t="str">
        <f>IF(ROUND(SUM(F207:N207),2)-ROUND(E207,2)=0,"OK","prob")</f>
        <v>OK</v>
      </c>
      <c r="E207" s="649">
        <v>1198554026.6900001</v>
      </c>
      <c r="F207" s="649">
        <v>757926240.41999996</v>
      </c>
      <c r="G207" s="649">
        <v>18804539.870000001</v>
      </c>
      <c r="H207" s="649">
        <v>0</v>
      </c>
      <c r="I207" s="649">
        <v>363699844.23000002</v>
      </c>
      <c r="J207" s="649">
        <v>3056094.67</v>
      </c>
      <c r="K207" s="649">
        <v>22495480.329999998</v>
      </c>
      <c r="L207" s="649"/>
      <c r="M207" s="649">
        <v>7156194.7599999998</v>
      </c>
      <c r="N207" s="649">
        <v>25415632.41</v>
      </c>
      <c r="O207" s="393">
        <v>3707302.17</v>
      </c>
      <c r="P207" s="1286">
        <v>192007910.84</v>
      </c>
      <c r="Q207" s="649">
        <v>98448939.890000001</v>
      </c>
      <c r="R207" s="649">
        <v>27984709.120000001</v>
      </c>
      <c r="S207" s="649">
        <v>30147968.879999999</v>
      </c>
      <c r="T207" s="649">
        <v>4232909.4400000004</v>
      </c>
      <c r="U207" s="649">
        <v>24569402.579999998</v>
      </c>
      <c r="V207" s="649">
        <v>50656785.890000001</v>
      </c>
      <c r="W207" s="649">
        <v>20002010.239999998</v>
      </c>
      <c r="X207" s="649">
        <v>23564421.579999998</v>
      </c>
      <c r="Y207" s="649">
        <v>22570658.75</v>
      </c>
      <c r="Z207" s="649">
        <v>14079063.02</v>
      </c>
      <c r="AA207" s="649">
        <v>8563525.6899999995</v>
      </c>
      <c r="AB207" s="649">
        <v>8647775.1699999999</v>
      </c>
      <c r="AC207" s="649">
        <v>9461782.1699999999</v>
      </c>
      <c r="AD207" s="649">
        <v>16252167.02</v>
      </c>
      <c r="AE207" s="649">
        <v>4692766.2699999996</v>
      </c>
      <c r="AF207" s="1288">
        <v>438228.86</v>
      </c>
      <c r="AG207" s="649">
        <v>71095.23</v>
      </c>
      <c r="AI207" s="649">
        <f t="shared" si="29"/>
        <v>1758582354.27</v>
      </c>
    </row>
    <row r="208" spans="1:35" x14ac:dyDescent="0.2">
      <c r="A208" s="335">
        <v>2520</v>
      </c>
      <c r="B208" s="3206" t="s">
        <v>396</v>
      </c>
      <c r="C208" s="3206"/>
      <c r="D208" s="2078" t="str">
        <f t="shared" ref="D208:D213" si="32">IF(SUM(F208:N208)-E208=0,"OK","prob")</f>
        <v>prob</v>
      </c>
      <c r="E208" s="649">
        <v>731877886.11000001</v>
      </c>
      <c r="F208" s="649">
        <v>414678606.31999999</v>
      </c>
      <c r="G208" s="649">
        <v>0</v>
      </c>
      <c r="H208" s="649">
        <v>129246</v>
      </c>
      <c r="I208" s="649">
        <v>231628462.43000001</v>
      </c>
      <c r="J208" s="649">
        <v>21092012.25</v>
      </c>
      <c r="K208" s="649">
        <v>103055316.77</v>
      </c>
      <c r="L208" s="649"/>
      <c r="M208" s="649">
        <v>24498129.989999998</v>
      </c>
      <c r="N208" s="649">
        <v>34607832.020000003</v>
      </c>
      <c r="O208" s="393">
        <v>33873748.469999999</v>
      </c>
      <c r="P208" s="1286">
        <v>784453111.02999997</v>
      </c>
      <c r="Q208" s="649">
        <v>209156225.25</v>
      </c>
      <c r="R208" s="649">
        <v>45151199.82</v>
      </c>
      <c r="S208" s="649">
        <v>70573648.719999999</v>
      </c>
      <c r="T208" s="649">
        <v>12169124.060000001</v>
      </c>
      <c r="U208" s="649">
        <v>49718104.07</v>
      </c>
      <c r="V208" s="649">
        <v>86615577.909999996</v>
      </c>
      <c r="W208" s="649">
        <v>43226390.350000001</v>
      </c>
      <c r="X208" s="649">
        <v>34658686.810000002</v>
      </c>
      <c r="Y208" s="649">
        <v>44968716.43</v>
      </c>
      <c r="Z208" s="649">
        <v>28363756.879999999</v>
      </c>
      <c r="AA208" s="649">
        <v>19602477.140000001</v>
      </c>
      <c r="AB208" s="649">
        <v>10525838.960000001</v>
      </c>
      <c r="AC208" s="649">
        <v>17187154.620000001</v>
      </c>
      <c r="AD208" s="649">
        <v>40423065.939999998</v>
      </c>
      <c r="AE208" s="649">
        <v>8743792.5500000007</v>
      </c>
      <c r="AF208" s="1288">
        <v>2125032.86</v>
      </c>
      <c r="AG208" s="649">
        <v>639197.37</v>
      </c>
      <c r="AI208" s="649">
        <f t="shared" si="29"/>
        <v>2371225257.6500001</v>
      </c>
    </row>
    <row r="209" spans="1:35" x14ac:dyDescent="0.2">
      <c r="A209" s="335">
        <v>2550</v>
      </c>
      <c r="B209" s="3206" t="s">
        <v>397</v>
      </c>
      <c r="C209" s="3206"/>
      <c r="D209" t="str">
        <f t="shared" si="32"/>
        <v>OK</v>
      </c>
      <c r="E209" s="649">
        <v>0</v>
      </c>
      <c r="F209" s="649">
        <v>0</v>
      </c>
      <c r="G209" s="649">
        <v>0</v>
      </c>
      <c r="H209" s="649">
        <v>0</v>
      </c>
      <c r="I209" s="649">
        <v>0</v>
      </c>
      <c r="J209" s="649">
        <v>0</v>
      </c>
      <c r="K209" s="649">
        <v>0</v>
      </c>
      <c r="L209" s="649"/>
      <c r="M209" s="649">
        <v>0</v>
      </c>
      <c r="N209" s="649">
        <v>0</v>
      </c>
      <c r="O209" s="393">
        <v>0</v>
      </c>
      <c r="P209" s="1286">
        <v>282314.88</v>
      </c>
      <c r="Q209" s="649">
        <v>22893305.149999999</v>
      </c>
      <c r="R209" s="649">
        <v>317303.08</v>
      </c>
      <c r="S209" s="649">
        <v>4675478.55</v>
      </c>
      <c r="T209" s="649">
        <v>6373.29</v>
      </c>
      <c r="U209" s="649">
        <v>1141474.5</v>
      </c>
      <c r="V209" s="649">
        <v>35499623.810000002</v>
      </c>
      <c r="W209" s="649">
        <v>0</v>
      </c>
      <c r="X209" s="649">
        <v>5549514.9299999997</v>
      </c>
      <c r="Y209" s="649">
        <v>20313608.850000001</v>
      </c>
      <c r="Z209" s="649">
        <v>0</v>
      </c>
      <c r="AA209" s="649">
        <v>39625</v>
      </c>
      <c r="AB209" s="649">
        <v>37500</v>
      </c>
      <c r="AC209" s="649">
        <v>0</v>
      </c>
      <c r="AD209" s="649">
        <v>0</v>
      </c>
      <c r="AE209" s="393">
        <v>0</v>
      </c>
      <c r="AF209" s="1288">
        <v>0</v>
      </c>
      <c r="AG209" s="649">
        <v>217327.97</v>
      </c>
      <c r="AI209" s="649">
        <f t="shared" si="29"/>
        <v>90756122.040000007</v>
      </c>
    </row>
    <row r="210" spans="1:35" x14ac:dyDescent="0.2">
      <c r="A210" s="335">
        <v>2540</v>
      </c>
      <c r="B210" s="3206" t="s">
        <v>1171</v>
      </c>
      <c r="C210" s="3206"/>
      <c r="D210" t="str">
        <f t="shared" si="32"/>
        <v>prob</v>
      </c>
      <c r="E210" s="649">
        <v>4734632</v>
      </c>
      <c r="F210" s="649">
        <v>0</v>
      </c>
      <c r="G210" s="649">
        <v>0</v>
      </c>
      <c r="H210" s="649">
        <v>6269238</v>
      </c>
      <c r="I210" s="649">
        <v>0</v>
      </c>
      <c r="J210" s="649">
        <v>0</v>
      </c>
      <c r="K210" s="649">
        <v>0</v>
      </c>
      <c r="L210" s="649"/>
      <c r="M210" s="649">
        <v>0</v>
      </c>
      <c r="N210" s="649">
        <v>0</v>
      </c>
      <c r="O210" s="393">
        <v>0</v>
      </c>
      <c r="P210" s="1286">
        <v>185517.45</v>
      </c>
      <c r="Q210" s="649">
        <v>83806.559999999998</v>
      </c>
      <c r="R210" s="649">
        <v>107388.49</v>
      </c>
      <c r="S210" s="649">
        <v>16734.240000000002</v>
      </c>
      <c r="T210" s="649">
        <v>0</v>
      </c>
      <c r="U210" s="649">
        <v>23043.21</v>
      </c>
      <c r="V210" s="649">
        <v>47190.13</v>
      </c>
      <c r="W210" s="649">
        <v>48419.44</v>
      </c>
      <c r="X210" s="649">
        <v>41844.49</v>
      </c>
      <c r="Y210" s="649">
        <v>36793.379999999997</v>
      </c>
      <c r="Z210" s="649">
        <v>0</v>
      </c>
      <c r="AA210" s="649">
        <v>8115.12</v>
      </c>
      <c r="AB210" s="649">
        <v>30970.68</v>
      </c>
      <c r="AC210" s="649">
        <v>0</v>
      </c>
      <c r="AD210" s="649">
        <v>0</v>
      </c>
      <c r="AE210" s="649">
        <v>17941.96</v>
      </c>
      <c r="AF210" s="1288">
        <v>0</v>
      </c>
      <c r="AG210" s="649">
        <v>0</v>
      </c>
      <c r="AI210" s="649">
        <f t="shared" si="29"/>
        <v>6917003.1500000004</v>
      </c>
    </row>
    <row r="211" spans="1:35" x14ac:dyDescent="0.2">
      <c r="A211" s="335">
        <v>2560</v>
      </c>
      <c r="B211" s="3206" t="s">
        <v>379</v>
      </c>
      <c r="C211" s="3206"/>
      <c r="D211" t="str">
        <f t="shared" si="32"/>
        <v>prob</v>
      </c>
      <c r="E211" s="649">
        <v>197154684.15000001</v>
      </c>
      <c r="F211" s="649">
        <v>87957773</v>
      </c>
      <c r="G211" s="649">
        <v>47091304</v>
      </c>
      <c r="H211" s="649">
        <v>0</v>
      </c>
      <c r="I211" s="649">
        <v>48259861.810000002</v>
      </c>
      <c r="J211" s="649">
        <v>2021562.26</v>
      </c>
      <c r="K211" s="649">
        <v>2277323.34</v>
      </c>
      <c r="L211" s="649"/>
      <c r="M211" s="649">
        <v>1983331.01</v>
      </c>
      <c r="N211" s="649">
        <v>7563528.7300000004</v>
      </c>
      <c r="O211" s="393">
        <v>4922100.58</v>
      </c>
      <c r="P211" s="1286">
        <v>159181030.25</v>
      </c>
      <c r="Q211" s="649">
        <v>114947437.93000001</v>
      </c>
      <c r="R211" s="649">
        <v>24614292.350000001</v>
      </c>
      <c r="S211" s="649">
        <v>35169232.280000001</v>
      </c>
      <c r="T211" s="649">
        <v>6704747.4500000002</v>
      </c>
      <c r="U211" s="649">
        <v>16741544.76</v>
      </c>
      <c r="V211" s="649">
        <v>36738693.600000001</v>
      </c>
      <c r="W211" s="649">
        <v>14658461.67</v>
      </c>
      <c r="X211" s="649">
        <v>10507106.83</v>
      </c>
      <c r="Y211" s="649">
        <v>24429627.690000001</v>
      </c>
      <c r="Z211" s="649">
        <v>7357875.3499999996</v>
      </c>
      <c r="AA211" s="649">
        <v>9461147.6099999994</v>
      </c>
      <c r="AB211" s="649">
        <v>4493031.9000000004</v>
      </c>
      <c r="AC211" s="649">
        <v>5013207.62</v>
      </c>
      <c r="AD211" s="649">
        <v>12492915.74</v>
      </c>
      <c r="AE211" s="649">
        <v>4154727.01</v>
      </c>
      <c r="AF211" s="1288">
        <v>2469187.69</v>
      </c>
      <c r="AG211" s="649">
        <v>178146.74</v>
      </c>
      <c r="AI211" s="649">
        <f t="shared" si="29"/>
        <v>691211052.46000004</v>
      </c>
    </row>
    <row r="212" spans="1:35" x14ac:dyDescent="0.2">
      <c r="A212" s="335">
        <v>2570</v>
      </c>
      <c r="B212" s="3206" t="s">
        <v>1183</v>
      </c>
      <c r="C212" s="3206"/>
      <c r="D212" t="str">
        <f t="shared" si="32"/>
        <v>OK</v>
      </c>
      <c r="E212" s="649">
        <v>8495355.6500000004</v>
      </c>
      <c r="F212" s="649">
        <v>0</v>
      </c>
      <c r="G212" s="649">
        <v>0</v>
      </c>
      <c r="H212" s="649">
        <v>39083</v>
      </c>
      <c r="I212" s="649">
        <v>5554244.3200000003</v>
      </c>
      <c r="J212" s="649">
        <v>0</v>
      </c>
      <c r="K212" s="649">
        <v>1589418.01</v>
      </c>
      <c r="L212" s="649"/>
      <c r="M212" s="649">
        <v>479230.95</v>
      </c>
      <c r="N212" s="649">
        <v>833379.37</v>
      </c>
      <c r="O212" s="393">
        <v>1241142.73</v>
      </c>
      <c r="P212" s="1286">
        <v>7086893.7300000004</v>
      </c>
      <c r="Q212" s="649">
        <v>3666545.94</v>
      </c>
      <c r="R212" s="649">
        <v>1646249.15</v>
      </c>
      <c r="S212" s="649">
        <v>12056864.27</v>
      </c>
      <c r="T212" s="649">
        <v>647071.54</v>
      </c>
      <c r="U212" s="649">
        <v>3721680.75</v>
      </c>
      <c r="V212" s="649">
        <v>7145810.7599999998</v>
      </c>
      <c r="W212" s="649">
        <v>1131733.1599999999</v>
      </c>
      <c r="X212" s="649">
        <v>1029237.66</v>
      </c>
      <c r="Y212" s="649">
        <v>1254044.97</v>
      </c>
      <c r="Z212" s="649">
        <v>2563821.56</v>
      </c>
      <c r="AA212" s="649">
        <v>1724489.14</v>
      </c>
      <c r="AB212" s="649">
        <v>1480127.77</v>
      </c>
      <c r="AC212" s="649">
        <v>460118.58</v>
      </c>
      <c r="AD212" s="649">
        <v>922042.48</v>
      </c>
      <c r="AE212" s="649">
        <v>443801.14</v>
      </c>
      <c r="AF212" s="1288">
        <v>107156.09</v>
      </c>
      <c r="AG212" s="649">
        <v>23069.599999999999</v>
      </c>
      <c r="AI212" s="649">
        <f t="shared" si="29"/>
        <v>56824187.07</v>
      </c>
    </row>
    <row r="213" spans="1:35" x14ac:dyDescent="0.2">
      <c r="A213" s="335">
        <v>2590</v>
      </c>
      <c r="B213" s="3206" t="s">
        <v>1428</v>
      </c>
      <c r="C213" s="3206"/>
      <c r="D213" t="str">
        <f t="shared" si="32"/>
        <v>OK</v>
      </c>
      <c r="E213" s="649">
        <v>0</v>
      </c>
      <c r="F213" s="649">
        <v>0</v>
      </c>
      <c r="G213" s="649">
        <v>0</v>
      </c>
      <c r="H213" s="649">
        <v>0</v>
      </c>
      <c r="I213" s="649">
        <v>0</v>
      </c>
      <c r="J213" s="649">
        <v>0</v>
      </c>
      <c r="K213" s="649">
        <v>0</v>
      </c>
      <c r="L213" s="649"/>
      <c r="M213" s="649">
        <v>0</v>
      </c>
      <c r="N213" s="649">
        <v>0</v>
      </c>
      <c r="O213" s="393">
        <v>0</v>
      </c>
      <c r="P213" s="1286">
        <v>121919611.23</v>
      </c>
      <c r="Q213" s="649">
        <v>69942017.599999994</v>
      </c>
      <c r="R213" s="649">
        <v>38104641.729999997</v>
      </c>
      <c r="S213" s="649">
        <v>72114513.299999997</v>
      </c>
      <c r="T213" s="649">
        <v>7165285.2199999997</v>
      </c>
      <c r="U213" s="649">
        <v>41958140.619999997</v>
      </c>
      <c r="V213" s="649">
        <v>54831838.969999999</v>
      </c>
      <c r="W213" s="649">
        <v>37532508.369999997</v>
      </c>
      <c r="X213" s="649">
        <v>24540351.68</v>
      </c>
      <c r="Y213" s="649">
        <v>46451744.140000001</v>
      </c>
      <c r="Z213" s="649">
        <v>16825822.32</v>
      </c>
      <c r="AA213" s="649">
        <v>15868741.939999999</v>
      </c>
      <c r="AB213" s="649">
        <v>7593469.4800000004</v>
      </c>
      <c r="AC213" s="649">
        <v>17039088.690000001</v>
      </c>
      <c r="AD213" s="649">
        <v>29143538.050000001</v>
      </c>
      <c r="AE213" s="649">
        <v>1730314.51</v>
      </c>
      <c r="AF213" s="1288">
        <v>0</v>
      </c>
      <c r="AG213" s="649">
        <v>0</v>
      </c>
      <c r="AI213" s="649">
        <f t="shared" si="29"/>
        <v>602761627.85000002</v>
      </c>
    </row>
    <row r="214" spans="1:35" x14ac:dyDescent="0.2">
      <c r="A214" s="335"/>
      <c r="B214" s="335" t="s">
        <v>635</v>
      </c>
      <c r="C214" s="335"/>
      <c r="E214" s="649"/>
      <c r="F214" s="649"/>
      <c r="G214" s="649"/>
      <c r="H214" s="649"/>
      <c r="I214" s="649"/>
      <c r="J214" s="649"/>
      <c r="K214" s="649"/>
      <c r="L214" s="649"/>
      <c r="M214" s="649"/>
      <c r="N214" s="649"/>
      <c r="O214" s="393"/>
      <c r="P214" s="1286"/>
      <c r="Q214" s="649"/>
      <c r="R214" s="649"/>
      <c r="S214" s="649"/>
      <c r="T214" s="649"/>
      <c r="U214" s="649"/>
      <c r="V214" s="649"/>
      <c r="W214" s="649"/>
      <c r="X214" s="649"/>
      <c r="Y214" s="649"/>
      <c r="Z214" s="649"/>
      <c r="AA214" s="649"/>
      <c r="AB214" s="649"/>
      <c r="AC214" s="649"/>
      <c r="AD214" s="649"/>
      <c r="AE214" s="649"/>
      <c r="AF214" s="1288"/>
      <c r="AG214" s="649"/>
      <c r="AI214" s="649">
        <f t="shared" si="29"/>
        <v>0</v>
      </c>
    </row>
    <row r="215" spans="1:35" x14ac:dyDescent="0.2">
      <c r="A215" s="335">
        <v>2610</v>
      </c>
      <c r="B215" s="3355" t="s">
        <v>1429</v>
      </c>
      <c r="C215" s="3355"/>
      <c r="D215" t="str">
        <f>IF(SUM(F215:N215)-E215=0,"OK","prob")</f>
        <v>OK</v>
      </c>
      <c r="E215" s="649">
        <v>2654788</v>
      </c>
      <c r="F215" s="649">
        <v>2654788</v>
      </c>
      <c r="G215" s="649">
        <v>0</v>
      </c>
      <c r="H215" s="649">
        <v>0</v>
      </c>
      <c r="I215" s="649">
        <v>0</v>
      </c>
      <c r="J215" s="649">
        <v>0</v>
      </c>
      <c r="K215" s="649">
        <v>0</v>
      </c>
      <c r="L215" s="649"/>
      <c r="M215" s="649">
        <v>0</v>
      </c>
      <c r="N215" s="649">
        <v>0</v>
      </c>
      <c r="O215" s="393">
        <v>1182337.76</v>
      </c>
      <c r="P215" s="1286">
        <v>24130019.16</v>
      </c>
      <c r="Q215" s="649">
        <v>22636779.859999999</v>
      </c>
      <c r="R215" s="649">
        <v>5048564.42</v>
      </c>
      <c r="S215" s="649">
        <v>8829782.3900000006</v>
      </c>
      <c r="T215" s="649">
        <v>1066706.93</v>
      </c>
      <c r="U215" s="649">
        <v>4246642.03</v>
      </c>
      <c r="V215" s="649">
        <v>14654079.529999999</v>
      </c>
      <c r="W215" s="649">
        <v>5255247.8499999996</v>
      </c>
      <c r="X215" s="649">
        <v>3158510.09</v>
      </c>
      <c r="Y215" s="649">
        <v>3562768.82</v>
      </c>
      <c r="Z215" s="649">
        <v>3085982.51</v>
      </c>
      <c r="AA215" s="649">
        <v>5738061.4800000004</v>
      </c>
      <c r="AB215" s="649">
        <v>3408524.77</v>
      </c>
      <c r="AC215" s="649">
        <v>2934828.89</v>
      </c>
      <c r="AD215" s="649">
        <v>2448094.3199999998</v>
      </c>
      <c r="AE215" s="649">
        <v>2131203.61</v>
      </c>
      <c r="AF215" s="1288">
        <v>236250</v>
      </c>
      <c r="AG215" s="649">
        <v>0</v>
      </c>
      <c r="AI215" s="649">
        <f t="shared" si="29"/>
        <v>116409172.42</v>
      </c>
    </row>
    <row r="216" spans="1:35" x14ac:dyDescent="0.2">
      <c r="A216" s="335">
        <v>2625</v>
      </c>
      <c r="B216" s="3355" t="s">
        <v>1464</v>
      </c>
      <c r="C216" s="3355"/>
      <c r="D216" t="str">
        <f>IF(SUM(F216:N216)-E216=0,"OK","prob")</f>
        <v>OK</v>
      </c>
      <c r="E216" s="649">
        <v>0</v>
      </c>
      <c r="F216" s="649">
        <v>0</v>
      </c>
      <c r="G216" s="649">
        <v>0</v>
      </c>
      <c r="H216" s="649">
        <v>0</v>
      </c>
      <c r="I216" s="649">
        <v>0</v>
      </c>
      <c r="J216" s="649">
        <v>0</v>
      </c>
      <c r="K216" s="649">
        <v>0</v>
      </c>
      <c r="L216" s="649"/>
      <c r="M216" s="649">
        <v>0</v>
      </c>
      <c r="N216" s="649">
        <v>0</v>
      </c>
      <c r="O216" s="393">
        <v>0</v>
      </c>
      <c r="P216" s="1286">
        <v>98666.97</v>
      </c>
      <c r="Q216" s="649">
        <v>0</v>
      </c>
      <c r="R216" s="649">
        <v>5839482.6699999999</v>
      </c>
      <c r="S216" s="649">
        <v>5145888.0599999996</v>
      </c>
      <c r="T216" s="649">
        <v>44677.77</v>
      </c>
      <c r="U216" s="649">
        <v>227285.38</v>
      </c>
      <c r="V216" s="649">
        <v>0</v>
      </c>
      <c r="W216" s="649">
        <v>305912.89</v>
      </c>
      <c r="X216" s="649">
        <v>4152.7700000000004</v>
      </c>
      <c r="Y216" s="649">
        <v>0</v>
      </c>
      <c r="Z216" s="649">
        <v>0</v>
      </c>
      <c r="AA216" s="649">
        <v>271655.08</v>
      </c>
      <c r="AB216" s="649">
        <v>0</v>
      </c>
      <c r="AC216" s="649">
        <v>154811.92000000001</v>
      </c>
      <c r="AD216" s="649">
        <v>1742792.5</v>
      </c>
      <c r="AE216" s="649">
        <v>0</v>
      </c>
      <c r="AF216" s="1288">
        <v>0</v>
      </c>
      <c r="AG216" s="649">
        <v>0</v>
      </c>
      <c r="AI216" s="649">
        <f t="shared" si="29"/>
        <v>13835326.01</v>
      </c>
    </row>
    <row r="217" spans="1:35" x14ac:dyDescent="0.2">
      <c r="A217" s="335">
        <v>2630</v>
      </c>
      <c r="B217" s="3355" t="s">
        <v>1430</v>
      </c>
      <c r="C217" s="3355"/>
      <c r="D217" t="str">
        <f>IF(SUM(F217:N217)-E217=0,"OK","prob")</f>
        <v>OK</v>
      </c>
      <c r="E217" s="651">
        <v>55529988.32</v>
      </c>
      <c r="F217" s="651">
        <v>0</v>
      </c>
      <c r="G217" s="651">
        <v>53754940</v>
      </c>
      <c r="H217" s="651">
        <v>0</v>
      </c>
      <c r="I217" s="651">
        <v>0</v>
      </c>
      <c r="J217" s="651">
        <v>1757892.17</v>
      </c>
      <c r="K217" s="651">
        <v>0</v>
      </c>
      <c r="L217" s="651"/>
      <c r="M217" s="651">
        <v>0</v>
      </c>
      <c r="N217" s="651">
        <v>17156.150000000001</v>
      </c>
      <c r="O217" s="393">
        <v>882523.27</v>
      </c>
      <c r="P217" s="1286">
        <v>35023907.119999997</v>
      </c>
      <c r="Q217" s="649">
        <v>41805387.880000003</v>
      </c>
      <c r="R217" s="649">
        <v>1904660.78</v>
      </c>
      <c r="S217" s="649">
        <v>4195100.1900000004</v>
      </c>
      <c r="T217" s="649">
        <v>1854863.83</v>
      </c>
      <c r="U217" s="651">
        <v>1514526.37</v>
      </c>
      <c r="V217" s="651">
        <v>6994018.8300000001</v>
      </c>
      <c r="W217" s="651">
        <v>1250406.76</v>
      </c>
      <c r="X217" s="651">
        <v>3464067.2</v>
      </c>
      <c r="Y217" s="651">
        <v>6000283.9900000002</v>
      </c>
      <c r="Z217" s="651">
        <v>0</v>
      </c>
      <c r="AA217" s="651">
        <v>1182011.8400000001</v>
      </c>
      <c r="AB217" s="651">
        <v>114170.62</v>
      </c>
      <c r="AC217" s="651">
        <v>2139628.02</v>
      </c>
      <c r="AD217" s="651">
        <v>759333.04</v>
      </c>
      <c r="AE217" s="651">
        <v>974232.55</v>
      </c>
      <c r="AF217" s="1828">
        <v>1468468.16</v>
      </c>
      <c r="AG217" s="651">
        <v>115968.68</v>
      </c>
      <c r="AI217" s="649">
        <f t="shared" si="29"/>
        <v>167057578.77000001</v>
      </c>
    </row>
    <row r="218" spans="1:35" x14ac:dyDescent="0.2">
      <c r="B218" s="3206" t="s">
        <v>1184</v>
      </c>
      <c r="C218" s="3206"/>
      <c r="D218" s="2078" t="str">
        <f>IF(SUM(F218:N218)-E218=0,"OK","prob")</f>
        <v>prob</v>
      </c>
      <c r="E218" s="706">
        <f t="shared" ref="E218:AG218" si="33">SUM(E206:E217)</f>
        <v>4006682847.0799999</v>
      </c>
      <c r="F218" s="706">
        <f t="shared" si="33"/>
        <v>2142635171.24</v>
      </c>
      <c r="G218" s="706">
        <f t="shared" si="33"/>
        <v>119650783.87</v>
      </c>
      <c r="H218" s="706">
        <f t="shared" si="33"/>
        <v>6437567</v>
      </c>
      <c r="I218" s="706">
        <f t="shared" si="33"/>
        <v>1242677158.99</v>
      </c>
      <c r="J218" s="706">
        <f t="shared" si="33"/>
        <v>42047400.710000001</v>
      </c>
      <c r="K218" s="706">
        <f t="shared" si="33"/>
        <v>347987001.51999998</v>
      </c>
      <c r="L218" s="706">
        <f>SUM(L206:L217)</f>
        <v>0</v>
      </c>
      <c r="M218" s="706">
        <f>SUM(M206:M217)</f>
        <v>64303493.409999996</v>
      </c>
      <c r="N218" s="706">
        <f>SUM(N206:N217)</f>
        <v>140290596.00999999</v>
      </c>
      <c r="O218" s="706">
        <f t="shared" si="33"/>
        <v>86673836.489999995</v>
      </c>
      <c r="P218" s="706">
        <f t="shared" si="33"/>
        <v>3136147579.73</v>
      </c>
      <c r="Q218" s="706">
        <f t="shared" si="33"/>
        <v>1536797150.1300001</v>
      </c>
      <c r="R218" s="706">
        <f t="shared" si="33"/>
        <v>431839995.27999997</v>
      </c>
      <c r="S218" s="706">
        <f t="shared" si="33"/>
        <v>644171120.41999996</v>
      </c>
      <c r="T218" s="706">
        <f t="shared" si="33"/>
        <v>90406124.549999997</v>
      </c>
      <c r="U218" s="706">
        <f t="shared" si="33"/>
        <v>360926561.01999998</v>
      </c>
      <c r="V218" s="706">
        <f t="shared" si="33"/>
        <v>864622704.35000002</v>
      </c>
      <c r="W218" s="706">
        <f t="shared" si="33"/>
        <v>302192252.38</v>
      </c>
      <c r="X218" s="706">
        <f t="shared" si="33"/>
        <v>249393059.91</v>
      </c>
      <c r="Y218" s="706">
        <f t="shared" si="33"/>
        <v>433282871.50999999</v>
      </c>
      <c r="Z218" s="706">
        <f t="shared" si="33"/>
        <v>149816479.03999999</v>
      </c>
      <c r="AA218" s="706">
        <f t="shared" si="33"/>
        <v>131719767.79000001</v>
      </c>
      <c r="AB218" s="706">
        <f t="shared" si="33"/>
        <v>68325832.370000005</v>
      </c>
      <c r="AC218" s="706">
        <f t="shared" si="33"/>
        <v>126774671.84999999</v>
      </c>
      <c r="AD218" s="706">
        <f t="shared" si="33"/>
        <v>224179288.84999999</v>
      </c>
      <c r="AE218" s="706">
        <f t="shared" si="33"/>
        <v>66674646.990000002</v>
      </c>
      <c r="AF218" s="706">
        <f t="shared" si="33"/>
        <v>6844323.6600000001</v>
      </c>
      <c r="AG218" s="706">
        <f t="shared" si="33"/>
        <v>3319280.81</v>
      </c>
      <c r="AI218" s="649">
        <f t="shared" si="29"/>
        <v>13016817439.07</v>
      </c>
    </row>
    <row r="219" spans="1:35" x14ac:dyDescent="0.2">
      <c r="B219" s="3206" t="s">
        <v>933</v>
      </c>
      <c r="C219" s="3206"/>
      <c r="D219" t="str">
        <f>IF(SUM(F219:N219)-E219=0,"OK","prob")</f>
        <v>OK</v>
      </c>
      <c r="E219" s="706">
        <f t="shared" ref="E219:AG219" si="34">E203-E218</f>
        <v>341755436.68000001</v>
      </c>
      <c r="F219" s="706">
        <f t="shared" si="34"/>
        <v>255164661.86000001</v>
      </c>
      <c r="G219" s="706">
        <f t="shared" si="34"/>
        <v>85062744.129999995</v>
      </c>
      <c r="H219" s="706">
        <f t="shared" si="34"/>
        <v>-3587567</v>
      </c>
      <c r="I219" s="706">
        <f t="shared" si="34"/>
        <v>38729032.670000002</v>
      </c>
      <c r="J219" s="706">
        <f t="shared" si="34"/>
        <v>-1193518.49</v>
      </c>
      <c r="K219" s="706">
        <f t="shared" si="34"/>
        <v>-26835317.050000001</v>
      </c>
      <c r="L219" s="706">
        <f>L203-L218</f>
        <v>0</v>
      </c>
      <c r="M219" s="706">
        <f>M203-M218</f>
        <v>-9941165.1699999999</v>
      </c>
      <c r="N219" s="706">
        <f>N203-N218</f>
        <v>4356565.7300000004</v>
      </c>
      <c r="O219" s="706">
        <f t="shared" si="34"/>
        <v>-73483399.269999996</v>
      </c>
      <c r="P219" s="706">
        <f t="shared" si="34"/>
        <v>-816930691.48000002</v>
      </c>
      <c r="Q219" s="706">
        <f t="shared" si="34"/>
        <v>-659133225.15999997</v>
      </c>
      <c r="R219" s="706">
        <f t="shared" si="34"/>
        <v>-249327479.16</v>
      </c>
      <c r="S219" s="706">
        <f t="shared" si="34"/>
        <v>-341648435.69999999</v>
      </c>
      <c r="T219" s="706">
        <f t="shared" si="34"/>
        <v>-55286549.350000001</v>
      </c>
      <c r="U219" s="706">
        <f t="shared" si="34"/>
        <v>-201701165.68000001</v>
      </c>
      <c r="V219" s="706">
        <f t="shared" si="34"/>
        <v>-342615386.06999999</v>
      </c>
      <c r="W219" s="706">
        <f t="shared" si="34"/>
        <v>-171297478.63999999</v>
      </c>
      <c r="X219" s="706">
        <f t="shared" si="34"/>
        <v>-157673088.25999999</v>
      </c>
      <c r="Y219" s="706">
        <f t="shared" si="34"/>
        <v>-219726052.12</v>
      </c>
      <c r="Z219" s="706">
        <f t="shared" si="34"/>
        <v>-108801394.48999999</v>
      </c>
      <c r="AA219" s="706">
        <f t="shared" si="34"/>
        <v>-91433791.329999998</v>
      </c>
      <c r="AB219" s="706">
        <f t="shared" si="34"/>
        <v>-57824411.619999997</v>
      </c>
      <c r="AC219" s="706">
        <f t="shared" si="34"/>
        <v>-98849002.689999998</v>
      </c>
      <c r="AD219" s="706">
        <f t="shared" si="34"/>
        <v>-125657968.62</v>
      </c>
      <c r="AE219" s="706">
        <f t="shared" si="34"/>
        <v>-43790675.590000004</v>
      </c>
      <c r="AF219" s="706">
        <f t="shared" si="34"/>
        <v>-472569.14</v>
      </c>
      <c r="AG219" s="706">
        <f t="shared" si="34"/>
        <v>-1489488.33</v>
      </c>
      <c r="AI219" s="649">
        <f t="shared" si="29"/>
        <v>-3473897327.6900001</v>
      </c>
    </row>
    <row r="220" spans="1:35" x14ac:dyDescent="0.2">
      <c r="B220" s="398"/>
      <c r="C220" s="398"/>
      <c r="E220" s="649"/>
      <c r="F220" s="649"/>
      <c r="G220" s="649"/>
      <c r="H220" s="649"/>
      <c r="I220" s="649"/>
      <c r="J220" s="649"/>
      <c r="K220" s="649"/>
      <c r="L220" s="649"/>
      <c r="M220" s="649"/>
      <c r="N220" s="649"/>
      <c r="O220" s="393"/>
      <c r="P220" s="649"/>
      <c r="Q220" s="649"/>
      <c r="R220" s="649"/>
      <c r="S220" s="649"/>
      <c r="T220" s="649"/>
      <c r="U220" s="649"/>
      <c r="V220" s="649"/>
      <c r="W220" s="649"/>
      <c r="X220" s="649"/>
      <c r="Y220" s="649"/>
      <c r="Z220" s="649"/>
      <c r="AA220" s="649"/>
      <c r="AB220" s="649"/>
      <c r="AC220" s="649"/>
      <c r="AD220" s="649"/>
      <c r="AE220" s="649"/>
      <c r="AF220" s="649"/>
      <c r="AG220" s="649"/>
      <c r="AI220" s="649">
        <f t="shared" si="29"/>
        <v>0</v>
      </c>
    </row>
    <row r="221" spans="1:35" x14ac:dyDescent="0.2">
      <c r="B221" s="395" t="s">
        <v>1185</v>
      </c>
      <c r="E221" s="649"/>
      <c r="F221" s="649"/>
      <c r="G221" s="649"/>
      <c r="H221" s="649"/>
      <c r="I221" s="649"/>
      <c r="J221" s="649"/>
      <c r="K221" s="649"/>
      <c r="L221" s="649"/>
      <c r="M221" s="649"/>
      <c r="N221" s="649"/>
      <c r="O221" s="393"/>
      <c r="P221" s="649"/>
      <c r="Q221" s="649"/>
      <c r="R221" s="649"/>
      <c r="S221" s="649"/>
      <c r="T221" s="649"/>
      <c r="U221" s="649"/>
      <c r="V221" s="649"/>
      <c r="W221" s="649"/>
      <c r="X221" s="649"/>
      <c r="Y221" s="649"/>
      <c r="Z221" s="649"/>
      <c r="AA221" s="649"/>
      <c r="AB221" s="649"/>
      <c r="AC221" s="649"/>
      <c r="AD221" s="649"/>
      <c r="AE221" s="649"/>
      <c r="AF221" s="649"/>
      <c r="AG221" s="649"/>
      <c r="AI221" s="649">
        <f t="shared" si="29"/>
        <v>0</v>
      </c>
    </row>
    <row r="222" spans="1:35" x14ac:dyDescent="0.2">
      <c r="A222" s="335">
        <v>2690</v>
      </c>
      <c r="B222" s="3206" t="s">
        <v>898</v>
      </c>
      <c r="C222" s="3206"/>
      <c r="D222" t="str">
        <f t="shared" ref="D222:D240" si="35">IF(SUM(F222:N222)-E222=0,"OK","prob")</f>
        <v>OK</v>
      </c>
      <c r="E222" s="649">
        <v>0</v>
      </c>
      <c r="F222" s="649">
        <v>0</v>
      </c>
      <c r="G222" s="649">
        <v>0</v>
      </c>
      <c r="H222" s="649">
        <v>0</v>
      </c>
      <c r="I222" s="649">
        <v>0</v>
      </c>
      <c r="J222" s="649">
        <v>0</v>
      </c>
      <c r="K222" s="649">
        <v>0</v>
      </c>
      <c r="L222" s="649"/>
      <c r="M222" s="649">
        <v>0</v>
      </c>
      <c r="N222" s="649">
        <v>0</v>
      </c>
      <c r="O222" s="393">
        <v>345797292.69</v>
      </c>
      <c r="P222" s="1286">
        <v>537409228.96000004</v>
      </c>
      <c r="Q222" s="649">
        <v>520557104.12</v>
      </c>
      <c r="R222" s="649">
        <v>179816778.18000001</v>
      </c>
      <c r="S222" s="649">
        <v>255438158.15000001</v>
      </c>
      <c r="T222" s="649">
        <v>40619983.030000001</v>
      </c>
      <c r="U222" s="649">
        <v>148882748.47999999</v>
      </c>
      <c r="V222" s="649">
        <v>296470173.10000002</v>
      </c>
      <c r="W222" s="649">
        <v>88887955.760000005</v>
      </c>
      <c r="X222" s="649">
        <v>128977387.42</v>
      </c>
      <c r="Y222" s="649">
        <v>149535624.83000001</v>
      </c>
      <c r="Z222" s="649">
        <v>81282060.739999995</v>
      </c>
      <c r="AA222" s="649">
        <v>64374313.039999999</v>
      </c>
      <c r="AB222" s="1829">
        <v>35390924.170000002</v>
      </c>
      <c r="AC222" s="649">
        <v>59753593.579999998</v>
      </c>
      <c r="AD222" s="649">
        <v>85116591</v>
      </c>
      <c r="AE222" s="649">
        <v>32240042.649999999</v>
      </c>
      <c r="AF222" s="1288">
        <v>0</v>
      </c>
      <c r="AG222" s="649">
        <v>0</v>
      </c>
      <c r="AI222" s="649">
        <f t="shared" si="29"/>
        <v>3050549959.9000001</v>
      </c>
    </row>
    <row r="223" spans="1:35" x14ac:dyDescent="0.2">
      <c r="A223" s="335">
        <v>2691</v>
      </c>
      <c r="B223" s="3206" t="s">
        <v>1340</v>
      </c>
      <c r="C223" s="3206"/>
      <c r="D223" t="str">
        <f t="shared" si="35"/>
        <v>OK</v>
      </c>
      <c r="E223" s="649">
        <v>0</v>
      </c>
      <c r="F223" s="649">
        <v>0</v>
      </c>
      <c r="G223" s="649">
        <v>0</v>
      </c>
      <c r="H223" s="649">
        <v>0</v>
      </c>
      <c r="I223" s="649">
        <v>0</v>
      </c>
      <c r="J223" s="649">
        <v>0</v>
      </c>
      <c r="K223" s="649">
        <v>0</v>
      </c>
      <c r="L223" s="649"/>
      <c r="M223" s="649">
        <v>0</v>
      </c>
      <c r="N223" s="649">
        <v>0</v>
      </c>
      <c r="O223" s="393">
        <v>0</v>
      </c>
      <c r="P223" s="1286">
        <v>0</v>
      </c>
      <c r="Q223" s="649">
        <v>0</v>
      </c>
      <c r="R223" s="649">
        <v>0</v>
      </c>
      <c r="S223" s="649">
        <v>0</v>
      </c>
      <c r="T223" s="649">
        <v>0</v>
      </c>
      <c r="U223" s="649">
        <v>1308041</v>
      </c>
      <c r="V223" s="649">
        <v>0</v>
      </c>
      <c r="W223" s="649">
        <v>0</v>
      </c>
      <c r="X223" s="649">
        <v>0</v>
      </c>
      <c r="Y223" s="649">
        <v>0</v>
      </c>
      <c r="Z223" s="649">
        <v>0</v>
      </c>
      <c r="AA223" s="649">
        <v>0</v>
      </c>
      <c r="AB223" s="649">
        <v>0</v>
      </c>
      <c r="AC223" s="649">
        <v>0</v>
      </c>
      <c r="AD223" s="649">
        <v>0</v>
      </c>
      <c r="AE223" s="649">
        <v>0</v>
      </c>
      <c r="AF223" s="1288">
        <v>0</v>
      </c>
      <c r="AG223" s="649">
        <v>0</v>
      </c>
      <c r="AI223" s="649">
        <f t="shared" ref="AI223:AI253" si="36">SUM(F223:AF223)</f>
        <v>1308041</v>
      </c>
    </row>
    <row r="224" spans="1:35" x14ac:dyDescent="0.2">
      <c r="A224" s="335">
        <v>2692</v>
      </c>
      <c r="B224" s="3206" t="s">
        <v>1339</v>
      </c>
      <c r="C224" s="3206"/>
      <c r="D224" t="str">
        <f t="shared" si="35"/>
        <v>OK</v>
      </c>
      <c r="E224" s="649">
        <v>0</v>
      </c>
      <c r="F224" s="649">
        <v>0</v>
      </c>
      <c r="G224" s="649">
        <v>0</v>
      </c>
      <c r="H224" s="649">
        <v>0</v>
      </c>
      <c r="I224" s="649">
        <v>0</v>
      </c>
      <c r="J224" s="649">
        <v>0</v>
      </c>
      <c r="K224" s="649">
        <v>0</v>
      </c>
      <c r="L224" s="649"/>
      <c r="M224" s="649">
        <v>0</v>
      </c>
      <c r="N224" s="649">
        <v>0</v>
      </c>
      <c r="O224" s="393">
        <v>0</v>
      </c>
      <c r="P224" s="1286">
        <v>0</v>
      </c>
      <c r="Q224" s="649">
        <v>0</v>
      </c>
      <c r="R224" s="649">
        <v>0</v>
      </c>
      <c r="S224" s="649">
        <v>0</v>
      </c>
      <c r="T224" s="649">
        <v>0</v>
      </c>
      <c r="U224" s="649">
        <v>0</v>
      </c>
      <c r="V224" s="649">
        <v>0</v>
      </c>
      <c r="W224" s="649">
        <v>0</v>
      </c>
      <c r="X224" s="649">
        <v>0</v>
      </c>
      <c r="Y224" s="649">
        <v>0</v>
      </c>
      <c r="Z224" s="649">
        <v>0</v>
      </c>
      <c r="AA224" s="649">
        <v>0</v>
      </c>
      <c r="AB224" s="649">
        <v>0</v>
      </c>
      <c r="AC224" s="649">
        <v>0</v>
      </c>
      <c r="AD224" s="649">
        <v>0</v>
      </c>
      <c r="AE224" s="649">
        <v>0</v>
      </c>
      <c r="AF224" s="1288">
        <v>0</v>
      </c>
      <c r="AG224" s="649">
        <v>0</v>
      </c>
      <c r="AI224" s="649">
        <f t="shared" si="36"/>
        <v>0</v>
      </c>
    </row>
    <row r="225" spans="1:35" s="2151" customFormat="1" x14ac:dyDescent="0.2">
      <c r="A225" s="2080">
        <v>2693</v>
      </c>
      <c r="B225" s="3306" t="s">
        <v>4794</v>
      </c>
      <c r="C225" s="3306"/>
      <c r="D225" s="2038" t="str">
        <f t="shared" si="35"/>
        <v>OK</v>
      </c>
      <c r="E225" s="649">
        <v>5488427</v>
      </c>
      <c r="F225" s="649">
        <v>3000000</v>
      </c>
      <c r="G225" s="649">
        <v>0</v>
      </c>
      <c r="H225" s="649">
        <v>0</v>
      </c>
      <c r="I225" s="649">
        <v>1559788</v>
      </c>
      <c r="J225" s="649">
        <v>0</v>
      </c>
      <c r="K225" s="649">
        <v>0</v>
      </c>
      <c r="L225" s="649"/>
      <c r="M225" s="649">
        <v>0</v>
      </c>
      <c r="N225" s="649">
        <v>928639</v>
      </c>
      <c r="O225" s="393">
        <v>98601228.790000007</v>
      </c>
      <c r="P225" s="1286">
        <v>36885130</v>
      </c>
      <c r="Q225" s="649">
        <v>0</v>
      </c>
      <c r="R225" s="649">
        <v>1501532</v>
      </c>
      <c r="S225" s="649">
        <v>11027786.17</v>
      </c>
      <c r="T225" s="649">
        <v>569578.64</v>
      </c>
      <c r="U225" s="649">
        <v>1167421</v>
      </c>
      <c r="V225" s="649">
        <v>17930910.07</v>
      </c>
      <c r="W225" s="649">
        <v>1904344</v>
      </c>
      <c r="X225" s="649">
        <v>918937.74</v>
      </c>
      <c r="Y225" s="649">
        <v>1314773</v>
      </c>
      <c r="Z225" s="649">
        <v>4577179</v>
      </c>
      <c r="AA225" s="649">
        <v>768217</v>
      </c>
      <c r="AB225" s="649">
        <v>423146</v>
      </c>
      <c r="AC225" s="649">
        <v>0</v>
      </c>
      <c r="AD225" s="649">
        <v>0</v>
      </c>
      <c r="AE225" s="649">
        <v>608792</v>
      </c>
      <c r="AF225" s="1288">
        <v>0</v>
      </c>
      <c r="AG225" s="649">
        <v>0</v>
      </c>
      <c r="AI225" s="649">
        <f t="shared" si="36"/>
        <v>183687402.41</v>
      </c>
    </row>
    <row r="226" spans="1:35" x14ac:dyDescent="0.2">
      <c r="A226" s="2080">
        <v>2700</v>
      </c>
      <c r="B226" s="3306" t="s">
        <v>1186</v>
      </c>
      <c r="C226" s="3306"/>
      <c r="D226" s="2038" t="str">
        <f t="shared" si="35"/>
        <v>OK</v>
      </c>
      <c r="E226" s="649">
        <v>0</v>
      </c>
      <c r="F226" s="649">
        <v>0</v>
      </c>
      <c r="G226" s="649">
        <v>0</v>
      </c>
      <c r="H226" s="649">
        <v>0</v>
      </c>
      <c r="I226" s="649">
        <v>0</v>
      </c>
      <c r="J226" s="649">
        <v>0</v>
      </c>
      <c r="K226" s="649">
        <v>0</v>
      </c>
      <c r="L226" s="649"/>
      <c r="M226" s="649">
        <v>0</v>
      </c>
      <c r="N226" s="649">
        <v>0</v>
      </c>
      <c r="O226" s="393">
        <v>81955497.439999998</v>
      </c>
      <c r="P226" s="1286">
        <v>45344653.899999999</v>
      </c>
      <c r="Q226" s="649">
        <v>52474811.579999998</v>
      </c>
      <c r="R226" s="649">
        <v>65367932.979999997</v>
      </c>
      <c r="S226" s="649">
        <v>71791526.829999998</v>
      </c>
      <c r="T226" s="649">
        <v>9736765.0800000001</v>
      </c>
      <c r="U226" s="649">
        <v>28915504.469999999</v>
      </c>
      <c r="V226" s="649">
        <v>55374723.68</v>
      </c>
      <c r="W226" s="649">
        <v>59144940.960000001</v>
      </c>
      <c r="X226" s="649">
        <v>23966484.920000002</v>
      </c>
      <c r="Y226" s="649">
        <v>49753087.960000001</v>
      </c>
      <c r="Z226" s="649">
        <v>19392306.5</v>
      </c>
      <c r="AA226" s="649">
        <v>34849554</v>
      </c>
      <c r="AB226" s="649">
        <v>15124222.630000001</v>
      </c>
      <c r="AC226" s="649">
        <v>40087352.960000001</v>
      </c>
      <c r="AD226" s="649">
        <v>31878761.170000002</v>
      </c>
      <c r="AE226" s="649">
        <v>1846168.67</v>
      </c>
      <c r="AF226" s="1288">
        <v>0</v>
      </c>
      <c r="AG226" s="649">
        <v>0</v>
      </c>
      <c r="AI226" s="649">
        <f t="shared" si="36"/>
        <v>687004295.73000002</v>
      </c>
    </row>
    <row r="227" spans="1:35" s="2159" customFormat="1" x14ac:dyDescent="0.2">
      <c r="A227" s="2080">
        <v>2701</v>
      </c>
      <c r="B227" s="3306" t="s">
        <v>4807</v>
      </c>
      <c r="C227" s="3306"/>
      <c r="D227" s="2038" t="str">
        <f t="shared" si="35"/>
        <v>OK</v>
      </c>
      <c r="E227" s="649">
        <v>25590397.41</v>
      </c>
      <c r="F227" s="649">
        <v>11664146</v>
      </c>
      <c r="G227" s="649">
        <v>0</v>
      </c>
      <c r="H227" s="649">
        <v>0</v>
      </c>
      <c r="I227" s="649">
        <v>13847439.59</v>
      </c>
      <c r="J227" s="649">
        <v>-1344404.9</v>
      </c>
      <c r="K227" s="649">
        <v>1422936.72</v>
      </c>
      <c r="L227" s="649"/>
      <c r="M227" s="649">
        <v>280</v>
      </c>
      <c r="N227" s="649">
        <v>0</v>
      </c>
      <c r="O227" s="393">
        <v>0</v>
      </c>
      <c r="P227" s="1286">
        <v>28824393.82</v>
      </c>
      <c r="Q227" s="649">
        <v>26363450</v>
      </c>
      <c r="R227" s="649">
        <v>17836615.48</v>
      </c>
      <c r="S227" s="649">
        <v>52347879.420000002</v>
      </c>
      <c r="T227" s="649">
        <v>4183953.97</v>
      </c>
      <c r="U227" s="649">
        <v>39482899.460000001</v>
      </c>
      <c r="V227" s="649">
        <v>30474016.170000002</v>
      </c>
      <c r="W227" s="649">
        <v>50597627.090000004</v>
      </c>
      <c r="X227" s="649">
        <v>10316054</v>
      </c>
      <c r="Y227" s="649">
        <v>36913743.159999996</v>
      </c>
      <c r="Z227" s="649">
        <v>9742356.6600000001</v>
      </c>
      <c r="AA227" s="649">
        <v>9781389.0999999996</v>
      </c>
      <c r="AB227" s="649">
        <v>6367716.4900000002</v>
      </c>
      <c r="AC227" s="649">
        <v>16455535.689999999</v>
      </c>
      <c r="AD227" s="649">
        <v>26201610.780000001</v>
      </c>
      <c r="AE227" s="649">
        <v>1218920.32</v>
      </c>
      <c r="AF227" s="1288">
        <v>0</v>
      </c>
      <c r="AG227" s="649">
        <v>0</v>
      </c>
      <c r="AI227" s="649">
        <f t="shared" si="36"/>
        <v>392698559.01999998</v>
      </c>
    </row>
    <row r="228" spans="1:35" x14ac:dyDescent="0.2">
      <c r="A228" s="335">
        <v>2710</v>
      </c>
      <c r="B228" s="3206" t="s">
        <v>1187</v>
      </c>
      <c r="C228" s="3206"/>
      <c r="D228" t="str">
        <f t="shared" si="35"/>
        <v>prob</v>
      </c>
      <c r="E228" s="649">
        <v>196402.29</v>
      </c>
      <c r="F228" s="649">
        <v>0</v>
      </c>
      <c r="G228" s="649">
        <v>0</v>
      </c>
      <c r="H228" s="649">
        <v>0</v>
      </c>
      <c r="I228" s="649">
        <v>178978.55</v>
      </c>
      <c r="J228" s="649">
        <v>0</v>
      </c>
      <c r="K228" s="649">
        <v>0</v>
      </c>
      <c r="L228" s="649"/>
      <c r="M228" s="649">
        <v>0</v>
      </c>
      <c r="N228" s="649">
        <v>17423.740000000002</v>
      </c>
      <c r="O228" s="393">
        <v>16571732.26</v>
      </c>
      <c r="P228" s="1286">
        <v>198974727.38</v>
      </c>
      <c r="Q228" s="649">
        <v>80254635.069999993</v>
      </c>
      <c r="R228" s="649">
        <v>2811505.04</v>
      </c>
      <c r="S228" s="649">
        <v>11549135.48</v>
      </c>
      <c r="T228" s="649">
        <v>3060577.02</v>
      </c>
      <c r="U228" s="649">
        <v>3319504.13</v>
      </c>
      <c r="V228" s="649">
        <v>15640627.99</v>
      </c>
      <c r="W228" s="649">
        <v>49852068.130000003</v>
      </c>
      <c r="X228" s="649">
        <v>5952687.8600000003</v>
      </c>
      <c r="Y228" s="649">
        <v>14683361.609999999</v>
      </c>
      <c r="Z228" s="649">
        <v>3892732.21</v>
      </c>
      <c r="AA228" s="649">
        <v>68703</v>
      </c>
      <c r="AB228" s="649">
        <v>16077255.619999999</v>
      </c>
      <c r="AC228" s="649">
        <v>891147.72</v>
      </c>
      <c r="AD228" s="649">
        <v>94089.85</v>
      </c>
      <c r="AE228" s="649">
        <v>4461583.2300000004</v>
      </c>
      <c r="AF228" s="1288">
        <v>0</v>
      </c>
      <c r="AG228" s="649">
        <v>2273116.2200000002</v>
      </c>
      <c r="AI228" s="649">
        <f t="shared" si="36"/>
        <v>428352475.88999999</v>
      </c>
    </row>
    <row r="229" spans="1:35" s="2630" customFormat="1" x14ac:dyDescent="0.2">
      <c r="A229" s="2631">
        <v>2711</v>
      </c>
      <c r="B229" s="3206" t="s">
        <v>5674</v>
      </c>
      <c r="C229" s="3206"/>
      <c r="D229" s="2630" t="str">
        <f t="shared" si="35"/>
        <v>OK</v>
      </c>
      <c r="E229" s="649">
        <v>20831061</v>
      </c>
      <c r="F229" s="649">
        <v>16379463</v>
      </c>
      <c r="G229" s="649">
        <v>4451598</v>
      </c>
      <c r="H229" s="649">
        <v>0</v>
      </c>
      <c r="I229" s="649">
        <v>0</v>
      </c>
      <c r="J229" s="649">
        <v>0</v>
      </c>
      <c r="K229" s="649">
        <v>0</v>
      </c>
      <c r="L229" s="649"/>
      <c r="M229" s="649">
        <v>0</v>
      </c>
      <c r="N229" s="649">
        <v>0</v>
      </c>
      <c r="O229" s="2217">
        <v>62611</v>
      </c>
      <c r="P229" s="1286">
        <v>33071756</v>
      </c>
      <c r="Q229" s="649">
        <v>18550749</v>
      </c>
      <c r="R229" s="649">
        <v>4855470</v>
      </c>
      <c r="S229" s="649">
        <v>7355975</v>
      </c>
      <c r="T229" s="649">
        <v>1144841</v>
      </c>
      <c r="U229" s="649">
        <v>3897766</v>
      </c>
      <c r="V229" s="649">
        <v>11531382</v>
      </c>
      <c r="W229" s="649">
        <v>2807546</v>
      </c>
      <c r="X229" s="649">
        <v>2760328</v>
      </c>
      <c r="Y229" s="649">
        <v>4930413</v>
      </c>
      <c r="Z229" s="649">
        <v>1499031</v>
      </c>
      <c r="AA229" s="649">
        <v>1326592</v>
      </c>
      <c r="AB229" s="649">
        <v>547461</v>
      </c>
      <c r="AC229" s="649">
        <v>1285440</v>
      </c>
      <c r="AD229" s="649">
        <v>2060802</v>
      </c>
      <c r="AE229" s="649">
        <v>732852</v>
      </c>
      <c r="AF229" s="1288">
        <v>0</v>
      </c>
      <c r="AG229" s="649"/>
      <c r="AI229" s="649"/>
    </row>
    <row r="230" spans="1:35" x14ac:dyDescent="0.2">
      <c r="A230" s="335">
        <v>2720</v>
      </c>
      <c r="B230" s="3206" t="s">
        <v>1188</v>
      </c>
      <c r="C230" s="3206"/>
      <c r="D230" t="str">
        <f t="shared" si="35"/>
        <v>OK</v>
      </c>
      <c r="E230" s="393">
        <v>-26962619.239999998</v>
      </c>
      <c r="F230" s="393">
        <v>-15149133.83</v>
      </c>
      <c r="G230" s="393">
        <v>-28074</v>
      </c>
      <c r="H230" s="393">
        <v>0</v>
      </c>
      <c r="I230" s="649">
        <v>-11423951.029999999</v>
      </c>
      <c r="J230" s="649">
        <v>-361460.38</v>
      </c>
      <c r="K230" s="393">
        <v>0</v>
      </c>
      <c r="L230" s="393"/>
      <c r="M230" s="393">
        <v>0</v>
      </c>
      <c r="N230" s="393">
        <v>0</v>
      </c>
      <c r="O230" s="393">
        <v>-3930.73</v>
      </c>
      <c r="P230" s="1286">
        <v>-51189310.950000003</v>
      </c>
      <c r="Q230" s="649">
        <v>-18133723.149999999</v>
      </c>
      <c r="R230" s="649">
        <v>-10648788.58</v>
      </c>
      <c r="S230" s="649">
        <v>-20965300.870000001</v>
      </c>
      <c r="T230" s="649">
        <v>-2945266.54</v>
      </c>
      <c r="U230" s="1830">
        <v>-7775981.5</v>
      </c>
      <c r="V230" s="1830">
        <v>-12865166.140000001</v>
      </c>
      <c r="W230" s="1830">
        <v>-3734054.21</v>
      </c>
      <c r="X230" s="1830">
        <v>-8151922.6699999999</v>
      </c>
      <c r="Y230" s="1830">
        <v>-9940920.0800000001</v>
      </c>
      <c r="Z230" s="1830">
        <v>-2135406.35</v>
      </c>
      <c r="AA230" s="1830">
        <v>-4161499.24</v>
      </c>
      <c r="AB230" s="1830">
        <v>-1066838.1499999999</v>
      </c>
      <c r="AC230" s="1830">
        <v>-2518242.0299999998</v>
      </c>
      <c r="AD230" s="1830">
        <v>-3938349.77</v>
      </c>
      <c r="AE230" s="1830">
        <v>-1670562.46</v>
      </c>
      <c r="AF230" s="1831">
        <v>-790508.31</v>
      </c>
      <c r="AG230" s="393">
        <v>0</v>
      </c>
      <c r="AI230" s="649">
        <f t="shared" si="36"/>
        <v>-189598390.97</v>
      </c>
    </row>
    <row r="231" spans="1:35" x14ac:dyDescent="0.2">
      <c r="A231" s="335">
        <v>2740</v>
      </c>
      <c r="B231" s="3206" t="s">
        <v>497</v>
      </c>
      <c r="C231" s="3206"/>
      <c r="D231" t="str">
        <f t="shared" si="35"/>
        <v>OK</v>
      </c>
      <c r="E231" s="393">
        <v>0</v>
      </c>
      <c r="F231" s="393">
        <v>0</v>
      </c>
      <c r="G231" s="393">
        <v>0</v>
      </c>
      <c r="H231" s="393">
        <v>0</v>
      </c>
      <c r="I231" s="393">
        <v>0</v>
      </c>
      <c r="J231" s="393">
        <v>0</v>
      </c>
      <c r="K231" s="393">
        <v>0</v>
      </c>
      <c r="L231" s="393"/>
      <c r="M231" s="393">
        <v>0</v>
      </c>
      <c r="N231" s="393">
        <v>0</v>
      </c>
      <c r="O231" s="393">
        <v>0</v>
      </c>
      <c r="P231" s="1286">
        <v>0</v>
      </c>
      <c r="Q231" s="649">
        <v>74136.97</v>
      </c>
      <c r="R231" s="649">
        <v>0</v>
      </c>
      <c r="S231" s="649">
        <v>0</v>
      </c>
      <c r="T231" s="649">
        <v>0</v>
      </c>
      <c r="U231" s="1830">
        <v>0</v>
      </c>
      <c r="V231" s="1830">
        <v>0</v>
      </c>
      <c r="W231" s="1830">
        <v>0</v>
      </c>
      <c r="X231" s="1830">
        <v>79537.3</v>
      </c>
      <c r="Y231" s="1830">
        <v>8200.01</v>
      </c>
      <c r="Z231" s="1830">
        <v>0</v>
      </c>
      <c r="AA231" s="1830">
        <v>0</v>
      </c>
      <c r="AB231" s="1830">
        <v>0</v>
      </c>
      <c r="AC231" s="1830">
        <v>1042.76</v>
      </c>
      <c r="AD231" s="1830">
        <v>0</v>
      </c>
      <c r="AE231" s="1830">
        <v>0</v>
      </c>
      <c r="AF231" s="1831">
        <v>0</v>
      </c>
      <c r="AG231" s="393">
        <v>0</v>
      </c>
      <c r="AI231" s="649">
        <f t="shared" si="36"/>
        <v>162917.04</v>
      </c>
    </row>
    <row r="232" spans="1:35" x14ac:dyDescent="0.2">
      <c r="A232" s="335">
        <v>2750</v>
      </c>
      <c r="B232" s="3206" t="s">
        <v>995</v>
      </c>
      <c r="C232" s="3206"/>
      <c r="D232" t="str">
        <f t="shared" si="35"/>
        <v>prob</v>
      </c>
      <c r="E232" s="393">
        <v>-4025461.03</v>
      </c>
      <c r="F232" s="393">
        <v>0</v>
      </c>
      <c r="G232" s="393">
        <v>-2268969</v>
      </c>
      <c r="H232" s="393">
        <v>0</v>
      </c>
      <c r="I232" s="393">
        <v>-1756492.03</v>
      </c>
      <c r="J232" s="393">
        <v>0</v>
      </c>
      <c r="K232" s="393">
        <v>0</v>
      </c>
      <c r="L232" s="393"/>
      <c r="M232" s="393">
        <v>0</v>
      </c>
      <c r="N232" s="393">
        <v>0</v>
      </c>
      <c r="O232" s="393">
        <v>-794384.7</v>
      </c>
      <c r="P232" s="1286">
        <v>-13968185.76</v>
      </c>
      <c r="Q232" s="649">
        <v>-3976286.2</v>
      </c>
      <c r="R232" s="649">
        <v>-250946.02</v>
      </c>
      <c r="S232" s="649">
        <v>-1200206.3600000001</v>
      </c>
      <c r="T232" s="649">
        <v>0</v>
      </c>
      <c r="U232" s="1830">
        <v>-93404.5</v>
      </c>
      <c r="V232" s="1830">
        <v>-1249241.6000000001</v>
      </c>
      <c r="W232" s="1830">
        <v>-428315.58</v>
      </c>
      <c r="X232" s="1830">
        <v>-2027752.52</v>
      </c>
      <c r="Y232" s="1830">
        <v>-1222244.04</v>
      </c>
      <c r="Z232" s="1830">
        <v>-113715.89</v>
      </c>
      <c r="AA232" s="1830">
        <v>0</v>
      </c>
      <c r="AB232" s="1830">
        <v>-315063.84000000003</v>
      </c>
      <c r="AC232" s="1830">
        <v>-734281.4</v>
      </c>
      <c r="AD232" s="1830">
        <v>0</v>
      </c>
      <c r="AE232" s="1830">
        <v>-19166.689999999999</v>
      </c>
      <c r="AF232" s="1831">
        <v>0</v>
      </c>
      <c r="AG232" s="393">
        <v>0</v>
      </c>
      <c r="AI232" s="649">
        <f t="shared" si="36"/>
        <v>-30418656.129999999</v>
      </c>
    </row>
    <row r="233" spans="1:35" x14ac:dyDescent="0.2">
      <c r="A233" s="2080">
        <v>2755</v>
      </c>
      <c r="B233" s="3306" t="s">
        <v>4505</v>
      </c>
      <c r="C233" s="3306"/>
      <c r="D233" t="str">
        <f t="shared" si="35"/>
        <v>OK</v>
      </c>
      <c r="E233" s="393">
        <v>0</v>
      </c>
      <c r="F233" s="393">
        <v>0</v>
      </c>
      <c r="G233" s="393">
        <v>0</v>
      </c>
      <c r="H233" s="393">
        <v>0</v>
      </c>
      <c r="I233" s="393">
        <v>0</v>
      </c>
      <c r="J233" s="393">
        <v>0</v>
      </c>
      <c r="K233" s="393">
        <v>0</v>
      </c>
      <c r="L233" s="393"/>
      <c r="M233" s="393">
        <v>0</v>
      </c>
      <c r="N233" s="393">
        <v>0</v>
      </c>
      <c r="O233" s="393">
        <v>0</v>
      </c>
      <c r="P233" s="1286">
        <v>0</v>
      </c>
      <c r="Q233" s="649">
        <v>0</v>
      </c>
      <c r="R233" s="649">
        <v>0</v>
      </c>
      <c r="S233" s="649">
        <v>0</v>
      </c>
      <c r="T233" s="649">
        <v>0</v>
      </c>
      <c r="U233" s="1830">
        <v>0</v>
      </c>
      <c r="V233" s="1830">
        <v>0</v>
      </c>
      <c r="W233" s="1830">
        <v>0</v>
      </c>
      <c r="X233" s="1830">
        <v>0</v>
      </c>
      <c r="Y233" s="1901">
        <v>0</v>
      </c>
      <c r="Z233" s="1901">
        <v>0</v>
      </c>
      <c r="AA233" s="1830">
        <v>0</v>
      </c>
      <c r="AB233" s="1830">
        <v>0</v>
      </c>
      <c r="AC233" s="1830">
        <v>0</v>
      </c>
      <c r="AD233" s="1830">
        <v>0</v>
      </c>
      <c r="AE233" s="1830">
        <v>0</v>
      </c>
      <c r="AF233" s="1831">
        <v>0</v>
      </c>
      <c r="AG233" s="393">
        <v>0</v>
      </c>
      <c r="AI233" s="649">
        <f t="shared" si="36"/>
        <v>0</v>
      </c>
    </row>
    <row r="234" spans="1:35" x14ac:dyDescent="0.2">
      <c r="A234" s="335">
        <v>2760</v>
      </c>
      <c r="B234" s="3206" t="s">
        <v>1045</v>
      </c>
      <c r="C234" s="3206"/>
      <c r="D234" t="str">
        <f t="shared" si="35"/>
        <v>prob</v>
      </c>
      <c r="E234" s="649">
        <v>619213510.08000004</v>
      </c>
      <c r="F234" s="649">
        <v>357148076.19999999</v>
      </c>
      <c r="G234" s="649">
        <v>126458385</v>
      </c>
      <c r="H234" s="649">
        <v>5616871</v>
      </c>
      <c r="I234" s="649">
        <v>127024405.29000001</v>
      </c>
      <c r="J234" s="649">
        <v>68558.55</v>
      </c>
      <c r="K234" s="649">
        <v>24104</v>
      </c>
      <c r="L234" s="649"/>
      <c r="M234" s="649">
        <v>2705852.14</v>
      </c>
      <c r="N234" s="649">
        <v>167257.9</v>
      </c>
      <c r="O234" s="393">
        <v>36570489.960000001</v>
      </c>
      <c r="P234" s="2051">
        <v>1099206098.9100001</v>
      </c>
      <c r="Q234" s="649">
        <v>161240750.53</v>
      </c>
      <c r="R234" s="649">
        <v>94288965.079999998</v>
      </c>
      <c r="S234" s="649">
        <v>28472464.309999999</v>
      </c>
      <c r="T234" s="649">
        <v>6582911.9699999997</v>
      </c>
      <c r="U234" s="649">
        <v>40511580.789999999</v>
      </c>
      <c r="V234" s="649">
        <v>20065233.120000001</v>
      </c>
      <c r="W234" s="649">
        <v>36527291.020000003</v>
      </c>
      <c r="X234" s="649">
        <v>37623413.490000002</v>
      </c>
      <c r="Y234" s="649">
        <v>56016855.539999999</v>
      </c>
      <c r="Z234" s="649">
        <v>8766416.5199999996</v>
      </c>
      <c r="AA234" s="649">
        <v>14995036.75</v>
      </c>
      <c r="AB234" s="649">
        <v>5272772.3</v>
      </c>
      <c r="AC234" s="649">
        <v>8263117.4299999997</v>
      </c>
      <c r="AD234" s="649">
        <v>17332771.890000001</v>
      </c>
      <c r="AE234" s="649">
        <v>11909467.689999999</v>
      </c>
      <c r="AF234" s="1288">
        <v>0</v>
      </c>
      <c r="AG234" s="649">
        <v>58569.58</v>
      </c>
      <c r="AI234" s="649">
        <f t="shared" si="36"/>
        <v>2302859147.3800001</v>
      </c>
    </row>
    <row r="235" spans="1:35" x14ac:dyDescent="0.2">
      <c r="A235" s="335">
        <v>2770</v>
      </c>
      <c r="B235" s="3206" t="s">
        <v>1076</v>
      </c>
      <c r="C235" s="3206"/>
      <c r="D235" t="str">
        <f t="shared" si="35"/>
        <v>OK</v>
      </c>
      <c r="E235" s="649">
        <v>0</v>
      </c>
      <c r="F235" s="649">
        <v>0</v>
      </c>
      <c r="G235" s="649">
        <v>0</v>
      </c>
      <c r="H235" s="649">
        <v>0</v>
      </c>
      <c r="I235" s="649">
        <v>0</v>
      </c>
      <c r="J235" s="649">
        <v>0</v>
      </c>
      <c r="K235" s="649">
        <v>0</v>
      </c>
      <c r="L235" s="649"/>
      <c r="M235" s="649">
        <v>0</v>
      </c>
      <c r="N235" s="649">
        <v>0</v>
      </c>
      <c r="O235" s="393">
        <v>0</v>
      </c>
      <c r="P235" s="1286">
        <v>0</v>
      </c>
      <c r="Q235" s="649">
        <v>531937.66</v>
      </c>
      <c r="R235" s="649">
        <v>0</v>
      </c>
      <c r="S235" s="649">
        <v>10214.370000000001</v>
      </c>
      <c r="T235" s="649">
        <v>0</v>
      </c>
      <c r="U235" s="649">
        <v>0</v>
      </c>
      <c r="V235" s="649">
        <v>0</v>
      </c>
      <c r="W235" s="649">
        <v>0</v>
      </c>
      <c r="X235" s="649">
        <v>2183.0300000000002</v>
      </c>
      <c r="Y235" s="649">
        <v>0</v>
      </c>
      <c r="Z235" s="649">
        <v>0</v>
      </c>
      <c r="AA235" s="649">
        <v>0</v>
      </c>
      <c r="AB235" s="649">
        <v>0</v>
      </c>
      <c r="AC235" s="649">
        <v>0</v>
      </c>
      <c r="AD235" s="649">
        <v>0</v>
      </c>
      <c r="AE235" s="649">
        <v>0</v>
      </c>
      <c r="AF235" s="1288">
        <v>0</v>
      </c>
      <c r="AG235" s="649">
        <v>0</v>
      </c>
      <c r="AI235" s="649">
        <f t="shared" si="36"/>
        <v>544335.06000000006</v>
      </c>
    </row>
    <row r="236" spans="1:35" x14ac:dyDescent="0.2">
      <c r="A236" s="335">
        <v>2780</v>
      </c>
      <c r="B236" s="3206" t="s">
        <v>799</v>
      </c>
      <c r="C236" s="3206"/>
      <c r="D236" t="str">
        <f t="shared" si="35"/>
        <v>OK</v>
      </c>
      <c r="E236" s="393">
        <v>0</v>
      </c>
      <c r="F236" s="393">
        <v>0</v>
      </c>
      <c r="G236" s="393">
        <v>0</v>
      </c>
      <c r="H236" s="393">
        <v>0</v>
      </c>
      <c r="I236" s="393">
        <v>0</v>
      </c>
      <c r="J236" s="393">
        <v>0</v>
      </c>
      <c r="K236" s="393">
        <v>0</v>
      </c>
      <c r="L236" s="393"/>
      <c r="M236" s="393">
        <v>0</v>
      </c>
      <c r="N236" s="393">
        <v>0</v>
      </c>
      <c r="O236" s="393">
        <v>-323696464.66000003</v>
      </c>
      <c r="P236" s="1286">
        <v>0</v>
      </c>
      <c r="Q236" s="649">
        <v>0</v>
      </c>
      <c r="R236" s="649">
        <v>0</v>
      </c>
      <c r="S236" s="649">
        <v>0</v>
      </c>
      <c r="T236" s="649">
        <v>-326800</v>
      </c>
      <c r="U236" s="1830">
        <v>0</v>
      </c>
      <c r="V236" s="1830">
        <v>0</v>
      </c>
      <c r="W236" s="1830">
        <v>0</v>
      </c>
      <c r="X236" s="1830">
        <v>0</v>
      </c>
      <c r="Y236">
        <v>0</v>
      </c>
      <c r="Z236">
        <v>0</v>
      </c>
      <c r="AA236" s="1830">
        <v>0</v>
      </c>
      <c r="AB236" s="1830">
        <v>0</v>
      </c>
      <c r="AC236" s="1830">
        <v>0</v>
      </c>
      <c r="AD236" s="1830">
        <v>0</v>
      </c>
      <c r="AE236" s="1830">
        <v>0</v>
      </c>
      <c r="AF236" s="1831">
        <v>0</v>
      </c>
      <c r="AG236" s="393">
        <v>0</v>
      </c>
      <c r="AI236" s="649">
        <f t="shared" si="36"/>
        <v>-324023264.66000003</v>
      </c>
    </row>
    <row r="237" spans="1:35" x14ac:dyDescent="0.2">
      <c r="A237" s="335">
        <v>2785</v>
      </c>
      <c r="B237" s="3206" t="s">
        <v>1551</v>
      </c>
      <c r="C237" s="3206"/>
      <c r="D237" t="str">
        <f t="shared" si="35"/>
        <v>OK</v>
      </c>
      <c r="E237" s="649">
        <v>0</v>
      </c>
      <c r="F237" s="649">
        <v>0</v>
      </c>
      <c r="G237" s="649">
        <v>0</v>
      </c>
      <c r="H237" s="649">
        <v>0</v>
      </c>
      <c r="I237" s="649">
        <v>0</v>
      </c>
      <c r="J237" s="649">
        <v>0</v>
      </c>
      <c r="K237" s="649">
        <v>0</v>
      </c>
      <c r="L237" s="649"/>
      <c r="M237" s="649">
        <v>0</v>
      </c>
      <c r="N237" s="649">
        <v>0</v>
      </c>
      <c r="O237" s="393">
        <v>0</v>
      </c>
      <c r="P237" s="1286">
        <v>2143405.38</v>
      </c>
      <c r="Q237" s="649">
        <v>0</v>
      </c>
      <c r="R237" s="649">
        <v>0</v>
      </c>
      <c r="S237" s="649">
        <v>470258.13</v>
      </c>
      <c r="T237" s="649">
        <v>0</v>
      </c>
      <c r="U237" s="649">
        <v>0</v>
      </c>
      <c r="V237" s="649">
        <v>103486.12</v>
      </c>
      <c r="W237" s="649">
        <v>0</v>
      </c>
      <c r="X237" s="649">
        <v>0</v>
      </c>
      <c r="Y237" s="649">
        <v>0</v>
      </c>
      <c r="Z237" s="649">
        <v>0</v>
      </c>
      <c r="AA237" s="649">
        <v>0</v>
      </c>
      <c r="AB237" s="649">
        <v>0</v>
      </c>
      <c r="AC237" s="649">
        <v>0</v>
      </c>
      <c r="AD237" s="649">
        <v>0</v>
      </c>
      <c r="AE237" s="649">
        <v>0</v>
      </c>
      <c r="AF237" s="1288">
        <v>0</v>
      </c>
      <c r="AG237" s="649">
        <v>0</v>
      </c>
      <c r="AI237" s="649">
        <f t="shared" si="36"/>
        <v>2717149.63</v>
      </c>
    </row>
    <row r="238" spans="1:35" s="2630" customFormat="1" x14ac:dyDescent="0.2">
      <c r="A238" s="2156">
        <v>2786</v>
      </c>
      <c r="B238" s="3307" t="s">
        <v>5527</v>
      </c>
      <c r="C238" s="3307"/>
      <c r="D238" s="2630" t="str">
        <f t="shared" si="35"/>
        <v>OK</v>
      </c>
      <c r="E238" s="649">
        <v>0</v>
      </c>
      <c r="F238" s="649">
        <v>0</v>
      </c>
      <c r="G238" s="649">
        <v>0</v>
      </c>
      <c r="H238" s="649">
        <v>0</v>
      </c>
      <c r="I238" s="649">
        <v>0</v>
      </c>
      <c r="J238" s="649">
        <v>0</v>
      </c>
      <c r="K238" s="649">
        <v>0</v>
      </c>
      <c r="L238" s="649"/>
      <c r="M238" s="649">
        <v>0</v>
      </c>
      <c r="N238" s="649">
        <v>0</v>
      </c>
      <c r="O238" s="2217">
        <v>0</v>
      </c>
      <c r="P238" s="1286">
        <v>0</v>
      </c>
      <c r="Q238" s="649">
        <v>0</v>
      </c>
      <c r="R238" s="649">
        <v>0</v>
      </c>
      <c r="S238" s="649">
        <v>0</v>
      </c>
      <c r="T238" s="649">
        <v>0</v>
      </c>
      <c r="U238" s="649">
        <v>0</v>
      </c>
      <c r="V238" s="649">
        <v>0</v>
      </c>
      <c r="W238" s="649">
        <v>0</v>
      </c>
      <c r="X238" s="649">
        <v>0</v>
      </c>
      <c r="Y238" s="649">
        <v>0</v>
      </c>
      <c r="Z238" s="649">
        <v>0</v>
      </c>
      <c r="AA238" s="649">
        <v>0</v>
      </c>
      <c r="AB238" s="649">
        <v>0</v>
      </c>
      <c r="AC238" s="649">
        <v>0</v>
      </c>
      <c r="AD238" s="649">
        <v>0</v>
      </c>
      <c r="AE238" s="649">
        <v>0</v>
      </c>
      <c r="AF238" s="1288">
        <v>0</v>
      </c>
      <c r="AG238" s="649">
        <v>0</v>
      </c>
      <c r="AI238" s="649"/>
    </row>
    <row r="239" spans="1:35" x14ac:dyDescent="0.2">
      <c r="A239" s="335">
        <v>2800</v>
      </c>
      <c r="B239" s="3206" t="s">
        <v>800</v>
      </c>
      <c r="C239" s="3206"/>
      <c r="D239" s="2078" t="str">
        <f t="shared" si="35"/>
        <v>prob</v>
      </c>
      <c r="E239" s="393">
        <v>35283144.289999999</v>
      </c>
      <c r="F239" s="393">
        <v>0</v>
      </c>
      <c r="G239" s="393">
        <v>566274963</v>
      </c>
      <c r="H239" s="393">
        <v>0</v>
      </c>
      <c r="I239" s="393">
        <v>0</v>
      </c>
      <c r="J239" s="393">
        <v>132450.64000000001</v>
      </c>
      <c r="K239" s="393">
        <v>0</v>
      </c>
      <c r="L239" s="393"/>
      <c r="M239" s="393">
        <v>1046.27</v>
      </c>
      <c r="N239" s="393">
        <v>0</v>
      </c>
      <c r="O239" s="393">
        <v>75786.740000000005</v>
      </c>
      <c r="P239" s="1286">
        <v>933903.7</v>
      </c>
      <c r="Q239" s="649">
        <v>3706647.87</v>
      </c>
      <c r="R239" s="649">
        <v>34493.5</v>
      </c>
      <c r="S239" s="649">
        <v>317483.69</v>
      </c>
      <c r="T239" s="649">
        <v>0</v>
      </c>
      <c r="U239" s="1830">
        <v>128832.92</v>
      </c>
      <c r="V239" s="1830">
        <v>292376.31</v>
      </c>
      <c r="W239" s="1830">
        <v>0</v>
      </c>
      <c r="X239" s="1830">
        <v>136937.87</v>
      </c>
      <c r="Y239" s="568">
        <v>1274118.81</v>
      </c>
      <c r="Z239" s="568">
        <v>262733.09999999998</v>
      </c>
      <c r="AA239" s="1830">
        <v>0</v>
      </c>
      <c r="AB239" s="568">
        <v>590822.68999999994</v>
      </c>
      <c r="AC239" s="1830">
        <v>0</v>
      </c>
      <c r="AD239" s="1830">
        <v>0</v>
      </c>
      <c r="AE239" s="1830">
        <v>391135.05</v>
      </c>
      <c r="AF239" s="1831">
        <v>0</v>
      </c>
      <c r="AG239" s="393">
        <v>0</v>
      </c>
      <c r="AI239" s="649">
        <f t="shared" si="36"/>
        <v>574553732.15999997</v>
      </c>
    </row>
    <row r="240" spans="1:35" x14ac:dyDescent="0.2">
      <c r="A240" s="335">
        <v>2810</v>
      </c>
      <c r="B240" s="3206" t="s">
        <v>801</v>
      </c>
      <c r="C240" s="3206"/>
      <c r="D240" s="2078" t="str">
        <f t="shared" si="35"/>
        <v>prob</v>
      </c>
      <c r="E240" s="393">
        <v>-75890000.079999998</v>
      </c>
      <c r="F240" s="393">
        <v>-161428.99</v>
      </c>
      <c r="G240" s="393">
        <v>-600350888</v>
      </c>
      <c r="H240" s="393">
        <v>0</v>
      </c>
      <c r="I240" s="393">
        <v>-6502998.71</v>
      </c>
      <c r="J240" s="393">
        <v>0</v>
      </c>
      <c r="K240" s="393">
        <v>0</v>
      </c>
      <c r="L240" s="393"/>
      <c r="M240" s="393">
        <v>0</v>
      </c>
      <c r="N240" s="393">
        <v>0</v>
      </c>
      <c r="O240" s="393">
        <v>-390461.18</v>
      </c>
      <c r="P240" s="1286">
        <v>-12464569.6</v>
      </c>
      <c r="Q240" s="649">
        <v>-649685.74</v>
      </c>
      <c r="R240" s="649">
        <v>0</v>
      </c>
      <c r="S240" s="649">
        <v>-685401.04</v>
      </c>
      <c r="T240" s="649">
        <v>-58633.440000000002</v>
      </c>
      <c r="U240" s="1830">
        <v>-193.24</v>
      </c>
      <c r="V240" s="1830">
        <v>-572355.98</v>
      </c>
      <c r="W240" s="1830">
        <v>0</v>
      </c>
      <c r="X240" s="1830">
        <v>-784466.19</v>
      </c>
      <c r="Y240" s="568">
        <v>-430522.37</v>
      </c>
      <c r="Z240" s="568">
        <v>-20344.099999999999</v>
      </c>
      <c r="AA240" s="1830">
        <v>0</v>
      </c>
      <c r="AB240" s="1829">
        <v>0</v>
      </c>
      <c r="AC240" s="1830">
        <v>-3023338.6</v>
      </c>
      <c r="AD240" s="1830">
        <v>0</v>
      </c>
      <c r="AE240" s="1830">
        <v>0</v>
      </c>
      <c r="AF240" s="1831">
        <v>0</v>
      </c>
      <c r="AG240" s="393">
        <v>0</v>
      </c>
      <c r="AI240" s="649">
        <f t="shared" si="36"/>
        <v>-626095287.17999995</v>
      </c>
    </row>
    <row r="241" spans="1:35" x14ac:dyDescent="0.2">
      <c r="B241" s="3206" t="s">
        <v>239</v>
      </c>
      <c r="C241" s="3206"/>
      <c r="D241" t="str">
        <f>IF(ROUND(SUM(F241:N241),2)-ROUND(E241,2)=0,"OK","prob")</f>
        <v>OK</v>
      </c>
      <c r="E241" s="661">
        <f t="shared" ref="E241:U241" si="37">SUM(E222:E240)</f>
        <v>599724861.72000003</v>
      </c>
      <c r="F241" s="661">
        <f t="shared" si="37"/>
        <v>372881122.38</v>
      </c>
      <c r="G241" s="661">
        <f t="shared" si="37"/>
        <v>94537015</v>
      </c>
      <c r="H241" s="661">
        <f t="shared" si="37"/>
        <v>5616871</v>
      </c>
      <c r="I241" s="661">
        <f t="shared" si="37"/>
        <v>122927169.66</v>
      </c>
      <c r="J241" s="661">
        <f t="shared" si="37"/>
        <v>-1504856.09</v>
      </c>
      <c r="K241" s="661">
        <f t="shared" si="37"/>
        <v>1447040.72</v>
      </c>
      <c r="L241" s="661">
        <f>SUM(L222:L240)</f>
        <v>0</v>
      </c>
      <c r="M241" s="661">
        <f>SUM(M222:M240)</f>
        <v>2707178.41</v>
      </c>
      <c r="N241" s="661">
        <f>SUM(N222:N240)</f>
        <v>1113320.6399999999</v>
      </c>
      <c r="O241" s="706">
        <f t="shared" si="37"/>
        <v>254749397.61000001</v>
      </c>
      <c r="P241" s="661">
        <f t="shared" si="37"/>
        <v>1905171231.74</v>
      </c>
      <c r="Q241" s="661">
        <f t="shared" si="37"/>
        <v>840994527.71000004</v>
      </c>
      <c r="R241" s="661">
        <f t="shared" si="37"/>
        <v>355613557.66000003</v>
      </c>
      <c r="S241" s="661">
        <f t="shared" si="37"/>
        <v>415929973.27999997</v>
      </c>
      <c r="T241" s="661">
        <f>SUM(T222:T240)</f>
        <v>62567910.729999997</v>
      </c>
      <c r="U241" s="661">
        <f t="shared" si="37"/>
        <v>259744719.00999999</v>
      </c>
      <c r="V241" s="661">
        <f>SUM(V222:V240)</f>
        <v>433196164.83999997</v>
      </c>
      <c r="W241" s="661">
        <f t="shared" ref="W241:AG241" si="38">SUM(W222:W240)</f>
        <v>285559403.17000002</v>
      </c>
      <c r="X241" s="661">
        <f t="shared" si="38"/>
        <v>199769810.25</v>
      </c>
      <c r="Y241" s="661">
        <f t="shared" si="38"/>
        <v>302836491.43000001</v>
      </c>
      <c r="Z241" s="661">
        <f t="shared" si="38"/>
        <v>127145349.39</v>
      </c>
      <c r="AA241" s="661">
        <f t="shared" si="38"/>
        <v>122002305.65000001</v>
      </c>
      <c r="AB241" s="661">
        <f t="shared" si="38"/>
        <v>78412418.909999996</v>
      </c>
      <c r="AC241" s="661">
        <f t="shared" si="38"/>
        <v>120461368.11</v>
      </c>
      <c r="AD241" s="661">
        <f t="shared" si="38"/>
        <v>158746276.91999999</v>
      </c>
      <c r="AE241" s="661">
        <f t="shared" si="38"/>
        <v>51719232.460000001</v>
      </c>
      <c r="AF241" s="661">
        <f t="shared" si="38"/>
        <v>-790508.31</v>
      </c>
      <c r="AG241" s="661">
        <f t="shared" si="38"/>
        <v>2331685.7999999998</v>
      </c>
      <c r="AI241" s="649">
        <f t="shared" si="36"/>
        <v>6573554492.2799997</v>
      </c>
    </row>
    <row r="242" spans="1:35" x14ac:dyDescent="0.2">
      <c r="B242" s="3206" t="s">
        <v>408</v>
      </c>
      <c r="C242" s="3206"/>
      <c r="D242" t="str">
        <f>IF(ROUND(SUM(F242:N242),2)-ROUND(E242,2)=0,"OK","prob")</f>
        <v>OK</v>
      </c>
      <c r="E242" s="661">
        <f t="shared" ref="E242:U242" si="39">E219+E241</f>
        <v>941480298.39999998</v>
      </c>
      <c r="F242" s="661">
        <f t="shared" si="39"/>
        <v>628045784.24000001</v>
      </c>
      <c r="G242" s="661">
        <f t="shared" si="39"/>
        <v>179599759.13</v>
      </c>
      <c r="H242" s="661">
        <f t="shared" si="39"/>
        <v>2029304</v>
      </c>
      <c r="I242" s="661">
        <f t="shared" si="39"/>
        <v>161656202.33000001</v>
      </c>
      <c r="J242" s="661">
        <f t="shared" si="39"/>
        <v>-2698374.58</v>
      </c>
      <c r="K242" s="661">
        <f t="shared" si="39"/>
        <v>-25388276.329999998</v>
      </c>
      <c r="L242" s="661">
        <f>L219+L241</f>
        <v>0</v>
      </c>
      <c r="M242" s="661">
        <f>M219+M241</f>
        <v>-7233986.7599999998</v>
      </c>
      <c r="N242" s="661">
        <f>N219+N241</f>
        <v>5469886.3700000001</v>
      </c>
      <c r="O242" s="706">
        <f t="shared" si="39"/>
        <v>181265998.34</v>
      </c>
      <c r="P242" s="661">
        <f t="shared" si="39"/>
        <v>1088240540.26</v>
      </c>
      <c r="Q242" s="661">
        <f t="shared" si="39"/>
        <v>181861302.55000001</v>
      </c>
      <c r="R242" s="661">
        <f t="shared" si="39"/>
        <v>106286078.5</v>
      </c>
      <c r="S242" s="661">
        <f t="shared" si="39"/>
        <v>74281537.579999998</v>
      </c>
      <c r="T242" s="661">
        <f t="shared" si="39"/>
        <v>7281361.3799999999</v>
      </c>
      <c r="U242" s="661">
        <f t="shared" si="39"/>
        <v>58043553.329999998</v>
      </c>
      <c r="V242" s="661">
        <f>V219+V241</f>
        <v>90580778.769999996</v>
      </c>
      <c r="W242" s="661">
        <f t="shared" ref="W242:AG242" si="40">W219+W241</f>
        <v>114261924.53</v>
      </c>
      <c r="X242" s="661">
        <f t="shared" si="40"/>
        <v>42096721.990000002</v>
      </c>
      <c r="Y242" s="661">
        <f t="shared" si="40"/>
        <v>83110439.310000002</v>
      </c>
      <c r="Z242" s="661">
        <f t="shared" si="40"/>
        <v>18343954.899999999</v>
      </c>
      <c r="AA242" s="661">
        <f t="shared" si="40"/>
        <v>30568514.32</v>
      </c>
      <c r="AB242" s="661">
        <f t="shared" si="40"/>
        <v>20588007.289999999</v>
      </c>
      <c r="AC242" s="661">
        <f t="shared" si="40"/>
        <v>21612365.420000002</v>
      </c>
      <c r="AD242" s="661">
        <f t="shared" si="40"/>
        <v>33088308.300000001</v>
      </c>
      <c r="AE242" s="661">
        <f t="shared" si="40"/>
        <v>7928556.8700000001</v>
      </c>
      <c r="AF242" s="661">
        <f t="shared" si="40"/>
        <v>-1263077.45</v>
      </c>
      <c r="AG242" s="661">
        <f t="shared" si="40"/>
        <v>842197.47</v>
      </c>
      <c r="AI242" s="649">
        <f t="shared" si="36"/>
        <v>3099657164.5900002</v>
      </c>
    </row>
    <row r="243" spans="1:35" x14ac:dyDescent="0.2">
      <c r="A243" s="937">
        <v>2870</v>
      </c>
      <c r="B243" s="3206" t="s">
        <v>240</v>
      </c>
      <c r="C243" s="3206"/>
      <c r="D243" t="str">
        <f t="shared" ref="D243:D253" si="41">IF(SUM(F243:N243)-E243=0,"OK","prob")</f>
        <v>OK</v>
      </c>
      <c r="E243" s="649">
        <v>0</v>
      </c>
      <c r="F243" s="649">
        <v>0</v>
      </c>
      <c r="G243" s="649">
        <v>0</v>
      </c>
      <c r="H243" s="649">
        <v>0</v>
      </c>
      <c r="I243" s="649">
        <v>0</v>
      </c>
      <c r="J243" s="649">
        <v>0</v>
      </c>
      <c r="K243" s="649">
        <v>0</v>
      </c>
      <c r="L243" s="649"/>
      <c r="M243" s="649">
        <v>0</v>
      </c>
      <c r="N243" s="649">
        <v>0</v>
      </c>
      <c r="O243" s="2041">
        <v>955162</v>
      </c>
      <c r="P243" s="1286">
        <v>0</v>
      </c>
      <c r="Q243" s="649">
        <v>49525622.299999997</v>
      </c>
      <c r="R243" s="649">
        <v>21937176.93</v>
      </c>
      <c r="S243" s="649">
        <v>42334207.600000001</v>
      </c>
      <c r="T243" s="649">
        <v>7377008.5800000001</v>
      </c>
      <c r="U243" s="649">
        <v>12746675.699999999</v>
      </c>
      <c r="V243" s="649">
        <v>56872719.340000004</v>
      </c>
      <c r="W243" s="649">
        <v>4679838</v>
      </c>
      <c r="X243" s="649">
        <v>48557318.219999999</v>
      </c>
      <c r="Y243" s="649">
        <v>3031676.17</v>
      </c>
      <c r="Z243" s="649">
        <v>16602586.41</v>
      </c>
      <c r="AA243" s="649">
        <v>1873070.06</v>
      </c>
      <c r="AB243" s="649">
        <v>17399461.850000001</v>
      </c>
      <c r="AC243" s="649">
        <v>0</v>
      </c>
      <c r="AD243" s="649">
        <v>0</v>
      </c>
      <c r="AE243" s="649">
        <v>5480921.54</v>
      </c>
      <c r="AF243" s="649">
        <v>0</v>
      </c>
      <c r="AG243" s="649">
        <v>0</v>
      </c>
      <c r="AI243" s="649">
        <f t="shared" si="36"/>
        <v>289373444.69999999</v>
      </c>
    </row>
    <row r="244" spans="1:35" x14ac:dyDescent="0.2">
      <c r="A244" s="335">
        <v>2880</v>
      </c>
      <c r="B244" s="3206" t="s">
        <v>241</v>
      </c>
      <c r="C244" s="3206"/>
      <c r="D244" t="str">
        <f t="shared" si="41"/>
        <v>OK</v>
      </c>
      <c r="E244" s="649">
        <v>0</v>
      </c>
      <c r="F244" s="649">
        <v>0</v>
      </c>
      <c r="G244" s="649">
        <v>0</v>
      </c>
      <c r="H244" s="649">
        <v>0</v>
      </c>
      <c r="I244" s="649">
        <v>0</v>
      </c>
      <c r="J244" s="649">
        <v>0</v>
      </c>
      <c r="K244" s="649">
        <v>0</v>
      </c>
      <c r="L244" s="649"/>
      <c r="M244" s="649">
        <v>0</v>
      </c>
      <c r="N244" s="649">
        <v>0</v>
      </c>
      <c r="O244" s="2041">
        <v>3992677.73</v>
      </c>
      <c r="P244" s="1286">
        <v>32868657.329999998</v>
      </c>
      <c r="Q244" s="649">
        <v>1723131.63</v>
      </c>
      <c r="R244" s="649">
        <v>0</v>
      </c>
      <c r="S244" s="649">
        <v>1898382</v>
      </c>
      <c r="T244" s="649">
        <v>2648382</v>
      </c>
      <c r="U244" s="649">
        <v>4654491</v>
      </c>
      <c r="V244" s="649">
        <v>1898382</v>
      </c>
      <c r="W244" s="649">
        <v>37279922.770000003</v>
      </c>
      <c r="X244" s="649">
        <v>355000</v>
      </c>
      <c r="Y244" s="649">
        <v>1898382</v>
      </c>
      <c r="Z244" s="649">
        <v>192852.15</v>
      </c>
      <c r="AA244" s="649">
        <v>1898382</v>
      </c>
      <c r="AB244" s="649">
        <v>0</v>
      </c>
      <c r="AC244" s="649">
        <v>40716</v>
      </c>
      <c r="AD244" s="649">
        <v>1460858</v>
      </c>
      <c r="AE244" s="649">
        <v>0</v>
      </c>
      <c r="AF244" s="649">
        <v>0</v>
      </c>
      <c r="AG244" s="649">
        <v>0</v>
      </c>
      <c r="AI244" s="649">
        <f t="shared" si="36"/>
        <v>92810216.609999999</v>
      </c>
    </row>
    <row r="245" spans="1:35" x14ac:dyDescent="0.2">
      <c r="A245" s="335">
        <v>2890</v>
      </c>
      <c r="B245" s="3206" t="s">
        <v>242</v>
      </c>
      <c r="C245" s="3206"/>
      <c r="D245" t="str">
        <f t="shared" si="41"/>
        <v>OK</v>
      </c>
      <c r="E245" s="649">
        <v>647449.66</v>
      </c>
      <c r="F245" s="649">
        <v>0</v>
      </c>
      <c r="G245" s="649">
        <v>0</v>
      </c>
      <c r="H245" s="649">
        <v>0</v>
      </c>
      <c r="I245" s="649">
        <v>0</v>
      </c>
      <c r="J245" s="649">
        <v>0</v>
      </c>
      <c r="K245" s="649">
        <v>0</v>
      </c>
      <c r="L245" s="649"/>
      <c r="M245" s="649">
        <v>0</v>
      </c>
      <c r="N245" s="649">
        <v>647449.66</v>
      </c>
      <c r="O245" s="2041">
        <v>0</v>
      </c>
      <c r="P245" s="1286">
        <v>46002354.07</v>
      </c>
      <c r="Q245" s="649">
        <v>65272502.140000001</v>
      </c>
      <c r="R245" s="649">
        <v>385730.88</v>
      </c>
      <c r="S245" s="649">
        <v>821628.01</v>
      </c>
      <c r="T245" s="649">
        <v>1254787.22</v>
      </c>
      <c r="U245" s="649">
        <v>25</v>
      </c>
      <c r="V245" s="649">
        <v>2436148.1</v>
      </c>
      <c r="W245" s="649">
        <v>0</v>
      </c>
      <c r="X245" s="649">
        <v>745000</v>
      </c>
      <c r="Y245" s="649">
        <v>2299279.39</v>
      </c>
      <c r="Z245" s="649">
        <v>618300</v>
      </c>
      <c r="AA245" s="649">
        <v>0</v>
      </c>
      <c r="AB245" s="649">
        <v>0</v>
      </c>
      <c r="AC245" s="649">
        <v>9688781.6199999992</v>
      </c>
      <c r="AD245" s="649">
        <v>0</v>
      </c>
      <c r="AE245" s="649">
        <v>257350</v>
      </c>
      <c r="AF245" s="649">
        <v>0</v>
      </c>
      <c r="AG245" s="649">
        <v>2221.23</v>
      </c>
      <c r="AI245" s="649">
        <f t="shared" si="36"/>
        <v>130429336.09</v>
      </c>
    </row>
    <row r="246" spans="1:35" x14ac:dyDescent="0.2">
      <c r="A246" s="335">
        <v>2900</v>
      </c>
      <c r="B246" s="3206" t="s">
        <v>1432</v>
      </c>
      <c r="C246" s="3206"/>
      <c r="D246" t="str">
        <f t="shared" si="41"/>
        <v>OK</v>
      </c>
      <c r="E246" s="649">
        <v>0</v>
      </c>
      <c r="F246" s="649">
        <v>0</v>
      </c>
      <c r="G246" s="649">
        <v>0</v>
      </c>
      <c r="H246" s="649">
        <v>0</v>
      </c>
      <c r="I246" s="649">
        <v>0</v>
      </c>
      <c r="J246" s="649">
        <v>0</v>
      </c>
      <c r="K246" s="649">
        <v>0</v>
      </c>
      <c r="L246" s="649"/>
      <c r="M246" s="649">
        <v>0</v>
      </c>
      <c r="N246" s="649">
        <v>0</v>
      </c>
      <c r="O246" s="2041">
        <v>2931.25</v>
      </c>
      <c r="P246" s="1286">
        <v>31635810.469999999</v>
      </c>
      <c r="Q246" s="649">
        <v>5995543.5999999996</v>
      </c>
      <c r="R246" s="649">
        <v>8184126.8799999999</v>
      </c>
      <c r="S246" s="649">
        <v>25231.4</v>
      </c>
      <c r="T246" s="649">
        <v>0</v>
      </c>
      <c r="U246" s="649">
        <v>6540816.4500000002</v>
      </c>
      <c r="V246" s="649">
        <v>1207529.1599999999</v>
      </c>
      <c r="W246" s="649">
        <v>9310434.2400000002</v>
      </c>
      <c r="X246" s="649">
        <v>1193980.23</v>
      </c>
      <c r="Y246" s="649">
        <v>5069451</v>
      </c>
      <c r="Z246" s="649">
        <v>738377.59</v>
      </c>
      <c r="AA246" s="649">
        <v>264563.78999999998</v>
      </c>
      <c r="AB246" s="1829">
        <v>222890.09</v>
      </c>
      <c r="AC246" s="649">
        <v>661436.17000000004</v>
      </c>
      <c r="AD246" s="649">
        <v>0</v>
      </c>
      <c r="AE246" s="649">
        <v>1201790</v>
      </c>
      <c r="AF246" s="649">
        <v>0</v>
      </c>
      <c r="AG246" s="649">
        <v>0</v>
      </c>
      <c r="AI246" s="649">
        <f t="shared" si="36"/>
        <v>72254912.319999993</v>
      </c>
    </row>
    <row r="247" spans="1:35" x14ac:dyDescent="0.2">
      <c r="A247" s="1129">
        <v>2940</v>
      </c>
      <c r="B247" s="3306" t="s">
        <v>1433</v>
      </c>
      <c r="C247" s="3306"/>
      <c r="D247" t="str">
        <f t="shared" si="41"/>
        <v>prob</v>
      </c>
      <c r="E247" s="1036">
        <v>-116075042.33</v>
      </c>
      <c r="F247" s="1036">
        <v>-144158277.86000001</v>
      </c>
      <c r="G247" s="1036">
        <v>18252373.530000001</v>
      </c>
      <c r="H247" s="1036">
        <v>0</v>
      </c>
      <c r="I247" s="1036">
        <v>-32916169.120000001</v>
      </c>
      <c r="J247" s="1036">
        <v>-2788403.21</v>
      </c>
      <c r="K247" s="1036">
        <v>49952851.060000002</v>
      </c>
      <c r="L247" s="1036"/>
      <c r="M247" s="1036">
        <v>-2722701.28</v>
      </c>
      <c r="N247" s="1036">
        <v>-1694715.45</v>
      </c>
      <c r="O247" s="2047">
        <v>-145796072.81</v>
      </c>
      <c r="P247" s="2048">
        <v>181270265.63</v>
      </c>
      <c r="Q247" s="2053">
        <v>9485667.1799999997</v>
      </c>
      <c r="R247" s="2053">
        <v>5266248.7300000004</v>
      </c>
      <c r="S247" s="2053">
        <v>8000766.7999999998</v>
      </c>
      <c r="T247" s="2053">
        <v>2103741.38</v>
      </c>
      <c r="U247" s="1036">
        <v>6904770.4500000002</v>
      </c>
      <c r="V247" s="1036">
        <v>6121436.4199999999</v>
      </c>
      <c r="W247" s="1036">
        <v>5061032.41</v>
      </c>
      <c r="X247" s="1829">
        <v>7455048.0499999998</v>
      </c>
      <c r="Y247" s="1829">
        <v>5792576.0599999996</v>
      </c>
      <c r="Z247" s="1829">
        <v>6112009.7599999998</v>
      </c>
      <c r="AA247" s="1036">
        <v>3791508.77</v>
      </c>
      <c r="AB247" s="1036">
        <v>3960888.03</v>
      </c>
      <c r="AC247" s="1036">
        <v>2502940.9</v>
      </c>
      <c r="AD247" s="1036">
        <v>3763027.25</v>
      </c>
      <c r="AE247" s="1036">
        <v>2840243.03</v>
      </c>
      <c r="AF247" s="1036">
        <v>0</v>
      </c>
      <c r="AG247" s="1036">
        <v>0</v>
      </c>
      <c r="AI247" s="649">
        <f t="shared" si="36"/>
        <v>-1438944.29</v>
      </c>
    </row>
    <row r="248" spans="1:35" x14ac:dyDescent="0.2">
      <c r="A248" s="335">
        <v>2950</v>
      </c>
      <c r="B248" s="3206" t="s">
        <v>243</v>
      </c>
      <c r="C248" s="3206"/>
      <c r="D248" t="str">
        <f t="shared" si="41"/>
        <v>OK</v>
      </c>
      <c r="E248" s="393">
        <v>0</v>
      </c>
      <c r="F248" s="393">
        <v>0</v>
      </c>
      <c r="G248" s="393">
        <v>0</v>
      </c>
      <c r="H248" s="393">
        <v>0</v>
      </c>
      <c r="I248" s="393">
        <v>0</v>
      </c>
      <c r="J248" s="393">
        <v>0</v>
      </c>
      <c r="K248" s="393">
        <v>0</v>
      </c>
      <c r="L248" s="393"/>
      <c r="M248" s="393">
        <v>0</v>
      </c>
      <c r="N248" s="393">
        <v>0</v>
      </c>
      <c r="O248" s="2041">
        <v>0</v>
      </c>
      <c r="P248" s="1286">
        <v>0</v>
      </c>
      <c r="Q248" s="649">
        <v>0</v>
      </c>
      <c r="R248" s="649">
        <v>0</v>
      </c>
      <c r="S248" s="649">
        <v>0</v>
      </c>
      <c r="T248" s="649">
        <v>0</v>
      </c>
      <c r="U248" s="1071">
        <v>0</v>
      </c>
      <c r="V248" s="393">
        <v>0</v>
      </c>
      <c r="W248" s="1071">
        <v>0</v>
      </c>
      <c r="X248" s="393">
        <v>0</v>
      </c>
      <c r="Y248" s="393">
        <v>0</v>
      </c>
      <c r="Z248" s="393">
        <v>0</v>
      </c>
      <c r="AA248" s="393">
        <v>0</v>
      </c>
      <c r="AB248" s="393">
        <v>0</v>
      </c>
      <c r="AC248" s="393">
        <v>0</v>
      </c>
      <c r="AD248" s="393">
        <v>0</v>
      </c>
      <c r="AE248" s="393">
        <v>0</v>
      </c>
      <c r="AF248" s="393">
        <v>0</v>
      </c>
      <c r="AG248" s="393">
        <v>0</v>
      </c>
      <c r="AI248" s="649">
        <f t="shared" si="36"/>
        <v>0</v>
      </c>
    </row>
    <row r="249" spans="1:35" x14ac:dyDescent="0.2">
      <c r="A249" s="335">
        <v>2960</v>
      </c>
      <c r="B249" s="3206" t="s">
        <v>244</v>
      </c>
      <c r="C249" s="3206"/>
      <c r="D249" t="str">
        <f t="shared" si="41"/>
        <v>OK</v>
      </c>
      <c r="E249" s="843">
        <v>0</v>
      </c>
      <c r="F249" s="843">
        <v>0</v>
      </c>
      <c r="G249" s="843">
        <v>0</v>
      </c>
      <c r="H249" s="843">
        <v>0</v>
      </c>
      <c r="I249" s="843">
        <v>0</v>
      </c>
      <c r="J249" s="843">
        <v>0</v>
      </c>
      <c r="K249" s="843">
        <v>0</v>
      </c>
      <c r="L249" s="843"/>
      <c r="M249" s="843">
        <v>0</v>
      </c>
      <c r="N249" s="843">
        <v>0</v>
      </c>
      <c r="O249" s="2042">
        <v>0</v>
      </c>
      <c r="P249" s="1824">
        <v>0</v>
      </c>
      <c r="Q249" s="651">
        <v>0</v>
      </c>
      <c r="R249" s="651">
        <v>0</v>
      </c>
      <c r="S249" s="651">
        <v>0</v>
      </c>
      <c r="T249" s="651">
        <v>0</v>
      </c>
      <c r="U249" s="1832">
        <v>0</v>
      </c>
      <c r="V249" s="843">
        <v>0</v>
      </c>
      <c r="W249" s="1832">
        <v>0</v>
      </c>
      <c r="X249" s="843">
        <v>0</v>
      </c>
      <c r="Y249" s="843">
        <v>0</v>
      </c>
      <c r="Z249" s="843">
        <v>0</v>
      </c>
      <c r="AA249" s="843">
        <v>0</v>
      </c>
      <c r="AB249" s="843">
        <v>0</v>
      </c>
      <c r="AC249" s="843">
        <v>0</v>
      </c>
      <c r="AD249" s="843">
        <v>0</v>
      </c>
      <c r="AE249" s="843">
        <v>0</v>
      </c>
      <c r="AF249" s="843">
        <v>0</v>
      </c>
      <c r="AG249" s="843">
        <v>0</v>
      </c>
      <c r="AI249" s="649">
        <f t="shared" si="36"/>
        <v>0</v>
      </c>
    </row>
    <row r="250" spans="1:35" x14ac:dyDescent="0.2">
      <c r="B250" s="3206" t="s">
        <v>1908</v>
      </c>
      <c r="C250" s="3206"/>
      <c r="D250" t="str">
        <f t="shared" si="41"/>
        <v>prob</v>
      </c>
      <c r="E250" s="649">
        <f t="shared" ref="E250:U250" si="42">SUM(E242:E249)</f>
        <v>826052705.73000002</v>
      </c>
      <c r="F250" s="649">
        <f t="shared" si="42"/>
        <v>483887506.38</v>
      </c>
      <c r="G250" s="649">
        <f t="shared" si="42"/>
        <v>197852132.66</v>
      </c>
      <c r="H250" s="649">
        <f t="shared" si="42"/>
        <v>2029304</v>
      </c>
      <c r="I250" s="649">
        <f t="shared" si="42"/>
        <v>128740033.20999999</v>
      </c>
      <c r="J250" s="649">
        <f t="shared" si="42"/>
        <v>-5486777.79</v>
      </c>
      <c r="K250" s="649">
        <f t="shared" si="42"/>
        <v>24564574.73</v>
      </c>
      <c r="L250" s="649">
        <f>SUM(L242:L249)</f>
        <v>0</v>
      </c>
      <c r="M250" s="649">
        <f>SUM(M242:M249)</f>
        <v>-9956688.0399999991</v>
      </c>
      <c r="N250" s="649">
        <f>SUM(N242:N249)</f>
        <v>4422620.58</v>
      </c>
      <c r="O250" s="393">
        <f t="shared" si="42"/>
        <v>40420696.509999998</v>
      </c>
      <c r="P250" s="649">
        <f t="shared" si="42"/>
        <v>1380017627.76</v>
      </c>
      <c r="Q250" s="649">
        <f t="shared" si="42"/>
        <v>313863769.39999998</v>
      </c>
      <c r="R250" s="649">
        <f t="shared" si="42"/>
        <v>142059361.91999999</v>
      </c>
      <c r="S250" s="649">
        <f t="shared" si="42"/>
        <v>127361753.39</v>
      </c>
      <c r="T250" s="649">
        <f t="shared" si="42"/>
        <v>20665280.559999999</v>
      </c>
      <c r="U250" s="649">
        <f t="shared" si="42"/>
        <v>88890331.930000007</v>
      </c>
      <c r="V250" s="649">
        <f>SUM(V242:V249)</f>
        <v>159116993.78999999</v>
      </c>
      <c r="W250" s="649">
        <f t="shared" ref="W250:AG250" si="43">SUM(W242:W249)</f>
        <v>170593151.94999999</v>
      </c>
      <c r="X250" s="649">
        <f t="shared" si="43"/>
        <v>100403068.48999999</v>
      </c>
      <c r="Y250" s="649">
        <f t="shared" si="43"/>
        <v>101201803.93000001</v>
      </c>
      <c r="Z250" s="649">
        <f t="shared" si="43"/>
        <v>42608080.810000002</v>
      </c>
      <c r="AA250" s="649">
        <f t="shared" si="43"/>
        <v>38396038.939999998</v>
      </c>
      <c r="AB250" s="649">
        <f t="shared" si="43"/>
        <v>42171247.259999998</v>
      </c>
      <c r="AC250" s="649">
        <f t="shared" si="43"/>
        <v>34506240.109999999</v>
      </c>
      <c r="AD250" s="649">
        <f t="shared" si="43"/>
        <v>38312193.549999997</v>
      </c>
      <c r="AE250" s="649">
        <f t="shared" si="43"/>
        <v>17708861.440000001</v>
      </c>
      <c r="AF250" s="649">
        <f t="shared" si="43"/>
        <v>-1263077.45</v>
      </c>
      <c r="AG250" s="649">
        <f t="shared" si="43"/>
        <v>844418.7</v>
      </c>
      <c r="AI250" s="649">
        <f t="shared" si="36"/>
        <v>3683086130.02</v>
      </c>
    </row>
    <row r="251" spans="1:35" x14ac:dyDescent="0.2">
      <c r="A251" s="785">
        <v>2980</v>
      </c>
      <c r="B251" s="3206" t="s">
        <v>1907</v>
      </c>
      <c r="C251" s="3206"/>
      <c r="D251" t="str">
        <f t="shared" si="41"/>
        <v>OK</v>
      </c>
      <c r="E251" s="1036">
        <v>1375935346.98</v>
      </c>
      <c r="F251" s="1036">
        <v>505801495.11000001</v>
      </c>
      <c r="G251" s="1036">
        <v>-85929850.170000002</v>
      </c>
      <c r="H251" s="1036">
        <v>29759785</v>
      </c>
      <c r="I251" s="1036">
        <v>816697135</v>
      </c>
      <c r="J251" s="1036">
        <v>4333504</v>
      </c>
      <c r="K251" s="1036">
        <v>12693002.140000001</v>
      </c>
      <c r="L251" s="1036"/>
      <c r="M251" s="1036">
        <v>25230819.579999998</v>
      </c>
      <c r="N251" s="1036">
        <v>67349456.319999993</v>
      </c>
      <c r="O251" s="2043">
        <v>132969638.63</v>
      </c>
      <c r="P251" s="1285">
        <v>2269914667.6300001</v>
      </c>
      <c r="Q251" s="1036">
        <v>747681855.51999998</v>
      </c>
      <c r="R251" s="1036">
        <v>526313113.16000003</v>
      </c>
      <c r="S251" s="1036">
        <v>668695530.73000002</v>
      </c>
      <c r="T251" s="1036">
        <v>83486061.959999993</v>
      </c>
      <c r="U251" s="1036">
        <v>348505589.73000002</v>
      </c>
      <c r="V251" s="1036">
        <v>66902109.520000003</v>
      </c>
      <c r="W251" s="1036">
        <v>229977216.38</v>
      </c>
      <c r="X251" s="1036">
        <v>365003753.31999999</v>
      </c>
      <c r="Y251" s="1036">
        <v>264863398.47999999</v>
      </c>
      <c r="Z251" s="1036">
        <v>50692505.789999999</v>
      </c>
      <c r="AA251" s="1036">
        <v>69574432.689999998</v>
      </c>
      <c r="AB251" s="1036">
        <v>84639988.329999998</v>
      </c>
      <c r="AC251" s="1036">
        <v>30760883.52</v>
      </c>
      <c r="AD251" s="1036">
        <v>53859620.630000003</v>
      </c>
      <c r="AE251" s="1036">
        <v>114546578.43000001</v>
      </c>
      <c r="AF251" s="1036">
        <v>55206819.719999999</v>
      </c>
      <c r="AG251" s="1036">
        <v>8801893.6400000006</v>
      </c>
      <c r="AI251" s="649">
        <f t="shared" si="36"/>
        <v>7539529111.1499996</v>
      </c>
    </row>
    <row r="252" spans="1:35" x14ac:dyDescent="0.2">
      <c r="A252" s="785">
        <v>2990</v>
      </c>
      <c r="B252" s="3206" t="s">
        <v>1054</v>
      </c>
      <c r="C252" s="3206"/>
      <c r="D252" t="str">
        <f t="shared" si="41"/>
        <v>prob</v>
      </c>
      <c r="E252" s="651">
        <v>-7748480.5099999998</v>
      </c>
      <c r="F252" s="651">
        <v>-24375748.050000001</v>
      </c>
      <c r="G252" s="651">
        <v>17430065.5</v>
      </c>
      <c r="H252" s="651">
        <v>0</v>
      </c>
      <c r="I252" s="651">
        <v>-611611</v>
      </c>
      <c r="J252" s="651">
        <v>270741</v>
      </c>
      <c r="K252" s="651">
        <v>0</v>
      </c>
      <c r="L252" s="651">
        <v>0</v>
      </c>
      <c r="M252" s="651">
        <v>-1119574.42</v>
      </c>
      <c r="N252" s="651">
        <v>657646.46</v>
      </c>
      <c r="O252" s="2056">
        <v>-188035.4</v>
      </c>
      <c r="P252" s="1824">
        <v>6.53</v>
      </c>
      <c r="Q252" s="651">
        <v>0</v>
      </c>
      <c r="R252" s="651">
        <v>1538482.31</v>
      </c>
      <c r="S252" s="651">
        <v>108057.98</v>
      </c>
      <c r="T252" s="651">
        <v>0</v>
      </c>
      <c r="U252" s="651">
        <v>0</v>
      </c>
      <c r="V252" s="651">
        <v>0</v>
      </c>
      <c r="W252" s="651">
        <v>1147504.1499999999</v>
      </c>
      <c r="X252" s="651">
        <v>0</v>
      </c>
      <c r="Y252" s="651">
        <v>11343165.720000001</v>
      </c>
      <c r="Z252" s="651">
        <v>-939074.13</v>
      </c>
      <c r="AA252" s="651">
        <v>-226</v>
      </c>
      <c r="AB252" s="651">
        <v>0</v>
      </c>
      <c r="AC252" s="651">
        <v>437565.88</v>
      </c>
      <c r="AD252" s="651">
        <v>-1774501.63</v>
      </c>
      <c r="AE252" s="651">
        <v>0</v>
      </c>
      <c r="AF252" s="651">
        <v>0</v>
      </c>
      <c r="AG252" s="651">
        <v>0</v>
      </c>
      <c r="AI252" s="649">
        <f t="shared" si="36"/>
        <v>3924464.9</v>
      </c>
    </row>
    <row r="253" spans="1:35" ht="13.5" thickBot="1" x14ac:dyDescent="0.25">
      <c r="B253" s="3206" t="s">
        <v>1909</v>
      </c>
      <c r="C253" s="3206"/>
      <c r="D253" t="str">
        <f t="shared" si="41"/>
        <v>OK</v>
      </c>
      <c r="E253" s="804">
        <f t="shared" ref="E253:U253" si="44">SUM(E250:E252)</f>
        <v>2194239572.1999998</v>
      </c>
      <c r="F253" s="804">
        <f t="shared" si="44"/>
        <v>965313253.44000006</v>
      </c>
      <c r="G253" s="804">
        <f t="shared" si="44"/>
        <v>129352347.98999999</v>
      </c>
      <c r="H253" s="804">
        <f t="shared" si="44"/>
        <v>31789089</v>
      </c>
      <c r="I253" s="804">
        <f t="shared" si="44"/>
        <v>944825557.21000004</v>
      </c>
      <c r="J253" s="804">
        <f t="shared" si="44"/>
        <v>-882532.79</v>
      </c>
      <c r="K253" s="804">
        <f t="shared" si="44"/>
        <v>37257576.869999997</v>
      </c>
      <c r="L253" s="804">
        <f>SUM(L250:L252)</f>
        <v>0</v>
      </c>
      <c r="M253" s="804">
        <f>SUM(M250:M252)</f>
        <v>14154557.119999999</v>
      </c>
      <c r="N253" s="804">
        <f>SUM(N250:N252)</f>
        <v>72429723.359999999</v>
      </c>
      <c r="O253" s="707">
        <f t="shared" si="44"/>
        <v>173202299.74000001</v>
      </c>
      <c r="P253" s="804">
        <f>SUM(P250:P252)</f>
        <v>3649932301.9200001</v>
      </c>
      <c r="Q253" s="804">
        <f t="shared" si="44"/>
        <v>1061545624.92</v>
      </c>
      <c r="R253" s="804">
        <f t="shared" si="44"/>
        <v>669910957.38999999</v>
      </c>
      <c r="S253" s="804">
        <f t="shared" si="44"/>
        <v>796165342.10000002</v>
      </c>
      <c r="T253" s="804">
        <f t="shared" si="44"/>
        <v>104151342.52</v>
      </c>
      <c r="U253" s="804">
        <f t="shared" si="44"/>
        <v>437395921.66000003</v>
      </c>
      <c r="V253" s="804">
        <f>SUM(V250:V252)</f>
        <v>226019103.31</v>
      </c>
      <c r="W253" s="804">
        <f t="shared" ref="W253:AG253" si="45">SUM(W250:W252)</f>
        <v>401717872.48000002</v>
      </c>
      <c r="X253" s="804">
        <f t="shared" si="45"/>
        <v>465406821.81</v>
      </c>
      <c r="Y253" s="804">
        <f t="shared" si="45"/>
        <v>377408368.13</v>
      </c>
      <c r="Z253" s="804">
        <f t="shared" si="45"/>
        <v>92361512.469999999</v>
      </c>
      <c r="AA253" s="804">
        <f t="shared" si="45"/>
        <v>107970245.63</v>
      </c>
      <c r="AB253" s="804">
        <f t="shared" si="45"/>
        <v>126811235.59</v>
      </c>
      <c r="AC253" s="804">
        <f t="shared" si="45"/>
        <v>65704689.509999998</v>
      </c>
      <c r="AD253" s="804">
        <f t="shared" si="45"/>
        <v>90397312.549999997</v>
      </c>
      <c r="AE253" s="804">
        <f t="shared" si="45"/>
        <v>132255439.87</v>
      </c>
      <c r="AF253" s="804">
        <f t="shared" si="45"/>
        <v>53943742.270000003</v>
      </c>
      <c r="AG253" s="804">
        <f t="shared" si="45"/>
        <v>9646312.3399999999</v>
      </c>
      <c r="AI253" s="649">
        <f t="shared" si="36"/>
        <v>11226539706.07</v>
      </c>
    </row>
    <row r="254" spans="1:35" ht="13.5" thickTop="1" x14ac:dyDescent="0.2"/>
    <row r="255" spans="1:35" x14ac:dyDescent="0.2">
      <c r="B255" s="335" t="s">
        <v>3494</v>
      </c>
      <c r="C255" s="657"/>
      <c r="E255" s="805" t="str">
        <f t="shared" ref="E255:AG255" si="46">IF(ROUND(E186-E253,2)=0,"OK", "Error")</f>
        <v>OK</v>
      </c>
      <c r="F255" s="805" t="str">
        <f t="shared" si="46"/>
        <v>OK</v>
      </c>
      <c r="G255" s="805" t="str">
        <f t="shared" si="46"/>
        <v>OK</v>
      </c>
      <c r="H255" s="805" t="str">
        <f t="shared" si="46"/>
        <v>OK</v>
      </c>
      <c r="I255" s="805" t="str">
        <f t="shared" si="46"/>
        <v>OK</v>
      </c>
      <c r="J255" s="805" t="str">
        <f t="shared" si="46"/>
        <v>OK</v>
      </c>
      <c r="K255" s="805" t="str">
        <f t="shared" si="46"/>
        <v>OK</v>
      </c>
      <c r="L255" s="805" t="str">
        <f t="shared" si="46"/>
        <v>OK</v>
      </c>
      <c r="M255" s="805" t="str">
        <f t="shared" si="46"/>
        <v>OK</v>
      </c>
      <c r="N255" s="805" t="str">
        <f t="shared" si="46"/>
        <v>OK</v>
      </c>
      <c r="O255" s="2049" t="str">
        <f t="shared" si="46"/>
        <v>OK</v>
      </c>
      <c r="P255" s="805" t="str">
        <f t="shared" si="46"/>
        <v>OK</v>
      </c>
      <c r="Q255" s="805" t="str">
        <f t="shared" si="46"/>
        <v>OK</v>
      </c>
      <c r="R255" s="805" t="str">
        <f t="shared" si="46"/>
        <v>OK</v>
      </c>
      <c r="S255" s="805" t="str">
        <f t="shared" si="46"/>
        <v>OK</v>
      </c>
      <c r="T255" s="805" t="str">
        <f t="shared" si="46"/>
        <v>OK</v>
      </c>
      <c r="U255" s="805" t="str">
        <f t="shared" si="46"/>
        <v>OK</v>
      </c>
      <c r="V255" s="805" t="str">
        <f t="shared" si="46"/>
        <v>OK</v>
      </c>
      <c r="W255" s="805" t="str">
        <f t="shared" si="46"/>
        <v>OK</v>
      </c>
      <c r="X255" s="805" t="str">
        <f t="shared" si="46"/>
        <v>OK</v>
      </c>
      <c r="Y255" s="805" t="str">
        <f t="shared" si="46"/>
        <v>OK</v>
      </c>
      <c r="Z255" s="805" t="str">
        <f t="shared" si="46"/>
        <v>OK</v>
      </c>
      <c r="AA255" s="805" t="str">
        <f t="shared" si="46"/>
        <v>OK</v>
      </c>
      <c r="AB255" s="805" t="str">
        <f t="shared" si="46"/>
        <v>OK</v>
      </c>
      <c r="AC255" s="805" t="str">
        <f t="shared" si="46"/>
        <v>OK</v>
      </c>
      <c r="AD255" s="805" t="str">
        <f t="shared" si="46"/>
        <v>OK</v>
      </c>
      <c r="AE255" s="805" t="str">
        <f t="shared" si="46"/>
        <v>OK</v>
      </c>
      <c r="AF255" s="805" t="str">
        <f t="shared" si="46"/>
        <v>OK</v>
      </c>
      <c r="AG255" s="805" t="str">
        <f t="shared" si="46"/>
        <v>OK</v>
      </c>
    </row>
    <row r="256" spans="1:35" x14ac:dyDescent="0.2">
      <c r="B256" s="398"/>
      <c r="C256" s="398"/>
    </row>
    <row r="257" spans="2:33" x14ac:dyDescent="0.2">
      <c r="B257" s="1235" t="s">
        <v>1822</v>
      </c>
      <c r="C257" s="1236"/>
    </row>
    <row r="258" spans="2:33" x14ac:dyDescent="0.2">
      <c r="B258" s="1237" t="s">
        <v>5675</v>
      </c>
      <c r="C258" s="1235"/>
    </row>
    <row r="259" spans="2:33" x14ac:dyDescent="0.2">
      <c r="C259" s="38" t="s">
        <v>1755</v>
      </c>
      <c r="E259" s="1221" t="s">
        <v>1461</v>
      </c>
      <c r="F259" s="1233" t="s">
        <v>1473</v>
      </c>
      <c r="G259" s="1221" t="s">
        <v>896</v>
      </c>
      <c r="H259" s="1221" t="s">
        <v>169</v>
      </c>
      <c r="I259" s="1221" t="s">
        <v>168</v>
      </c>
      <c r="J259" s="1221" t="s">
        <v>1304</v>
      </c>
      <c r="K259" s="1221" t="s">
        <v>1399</v>
      </c>
      <c r="L259" s="1221" t="s">
        <v>3524</v>
      </c>
      <c r="M259" s="1968" t="s">
        <v>4590</v>
      </c>
      <c r="N259" s="1221" t="s">
        <v>3525</v>
      </c>
      <c r="O259" s="1968" t="s">
        <v>401</v>
      </c>
      <c r="P259" s="1221" t="s">
        <v>402</v>
      </c>
      <c r="Q259" s="1221" t="s">
        <v>403</v>
      </c>
      <c r="R259" s="1221" t="s">
        <v>404</v>
      </c>
      <c r="S259" s="1221" t="s">
        <v>405</v>
      </c>
      <c r="T259" s="1221" t="s">
        <v>406</v>
      </c>
      <c r="U259" s="1221" t="s">
        <v>64</v>
      </c>
      <c r="V259" s="1221" t="s">
        <v>65</v>
      </c>
      <c r="W259" s="1221" t="s">
        <v>66</v>
      </c>
      <c r="X259" s="1221" t="s">
        <v>67</v>
      </c>
      <c r="Y259" s="1221" t="s">
        <v>741</v>
      </c>
      <c r="Z259" s="1221" t="s">
        <v>742</v>
      </c>
      <c r="AA259" s="1221" t="s">
        <v>743</v>
      </c>
      <c r="AB259" s="1221" t="s">
        <v>744</v>
      </c>
      <c r="AC259" s="1221" t="s">
        <v>745</v>
      </c>
      <c r="AD259" s="1221" t="s">
        <v>746</v>
      </c>
      <c r="AE259" s="1221" t="s">
        <v>747</v>
      </c>
      <c r="AF259" s="1221" t="s">
        <v>1689</v>
      </c>
      <c r="AG259" s="1234" t="s">
        <v>399</v>
      </c>
    </row>
    <row r="260" spans="2:33" x14ac:dyDescent="0.2">
      <c r="C260" t="s">
        <v>1756</v>
      </c>
      <c r="E260" s="357" t="s">
        <v>1480</v>
      </c>
      <c r="F260" s="357" t="s">
        <v>1143</v>
      </c>
      <c r="G260" s="357" t="s">
        <v>1757</v>
      </c>
      <c r="H260" s="357" t="s">
        <v>1757</v>
      </c>
      <c r="I260" s="357" t="s">
        <v>1477</v>
      </c>
      <c r="J260" s="357" t="s">
        <v>1759</v>
      </c>
      <c r="K260" s="357" t="s">
        <v>4332</v>
      </c>
      <c r="L260" s="357" t="s">
        <v>3695</v>
      </c>
      <c r="M260" s="357" t="s">
        <v>4594</v>
      </c>
      <c r="N260" s="357" t="s">
        <v>3697</v>
      </c>
      <c r="O260" s="357" t="s">
        <v>1786</v>
      </c>
      <c r="P260" s="357" t="s">
        <v>1760</v>
      </c>
      <c r="Q260" s="357" t="s">
        <v>1762</v>
      </c>
      <c r="R260" s="357" t="s">
        <v>1760</v>
      </c>
      <c r="S260" s="357" t="s">
        <v>1760</v>
      </c>
      <c r="T260" s="357" t="s">
        <v>1760</v>
      </c>
      <c r="U260" s="357" t="s">
        <v>1760</v>
      </c>
      <c r="V260" s="357" t="s">
        <v>1767</v>
      </c>
      <c r="W260" s="357" t="s">
        <v>1768</v>
      </c>
      <c r="X260" s="357" t="s">
        <v>1770</v>
      </c>
      <c r="Y260" s="357" t="s">
        <v>1771</v>
      </c>
      <c r="Z260" s="357" t="s">
        <v>1760</v>
      </c>
      <c r="AA260" s="357" t="s">
        <v>1774</v>
      </c>
      <c r="AB260" s="357" t="s">
        <v>1789</v>
      </c>
      <c r="AC260" s="357" t="s">
        <v>1775</v>
      </c>
      <c r="AD260" s="357" t="s">
        <v>1776</v>
      </c>
      <c r="AE260" s="357" t="s">
        <v>1777</v>
      </c>
      <c r="AF260" s="357" t="s">
        <v>1785</v>
      </c>
      <c r="AG260" s="357" t="s">
        <v>1779</v>
      </c>
    </row>
    <row r="261" spans="2:33" x14ac:dyDescent="0.2">
      <c r="B261" s="272"/>
      <c r="E261" s="357" t="s">
        <v>1781</v>
      </c>
      <c r="F261" s="357" t="s">
        <v>1810</v>
      </c>
      <c r="G261" s="357" t="s">
        <v>1758</v>
      </c>
      <c r="H261" s="357" t="s">
        <v>1790</v>
      </c>
      <c r="I261" s="357" t="s">
        <v>1478</v>
      </c>
      <c r="J261" s="357" t="s">
        <v>1479</v>
      </c>
      <c r="K261" s="357" t="s">
        <v>1788</v>
      </c>
      <c r="L261" s="357" t="s">
        <v>3696</v>
      </c>
      <c r="M261" s="357" t="s">
        <v>4592</v>
      </c>
      <c r="N261" s="357" t="s">
        <v>3698</v>
      </c>
      <c r="O261" s="357" t="s">
        <v>1787</v>
      </c>
      <c r="P261" s="357" t="s">
        <v>1761</v>
      </c>
      <c r="Q261" s="357" t="s">
        <v>1130</v>
      </c>
      <c r="R261" s="357" t="s">
        <v>1763</v>
      </c>
      <c r="S261" s="357" t="s">
        <v>1764</v>
      </c>
      <c r="T261" s="357" t="s">
        <v>1765</v>
      </c>
      <c r="U261" s="357" t="s">
        <v>1766</v>
      </c>
      <c r="V261" s="357" t="s">
        <v>1772</v>
      </c>
      <c r="W261" s="357" t="s">
        <v>1769</v>
      </c>
      <c r="X261" s="357" t="s">
        <v>1772</v>
      </c>
      <c r="Y261" s="357" t="s">
        <v>1769</v>
      </c>
      <c r="Z261" s="357" t="s">
        <v>1773</v>
      </c>
      <c r="AA261" s="357" t="s">
        <v>1769</v>
      </c>
      <c r="AB261" s="357" t="s">
        <v>1769</v>
      </c>
      <c r="AC261" s="357" t="s">
        <v>1769</v>
      </c>
      <c r="AD261" s="357" t="s">
        <v>1130</v>
      </c>
      <c r="AE261" s="357" t="s">
        <v>1778</v>
      </c>
      <c r="AF261" s="357" t="s">
        <v>1784</v>
      </c>
      <c r="AG261" s="357" t="s">
        <v>1780</v>
      </c>
    </row>
    <row r="262" spans="2:33" x14ac:dyDescent="0.2">
      <c r="B262" s="272" t="s">
        <v>1823</v>
      </c>
      <c r="E262" s="1087" t="str">
        <f>TEXT(Data!$A$4,"mmmm d,yyyy")</f>
        <v>June 30,2021</v>
      </c>
      <c r="F262" s="1087" t="str">
        <f>TEXT(Data!$A$4,"mmmm d,yyyy")</f>
        <v>June 30,2021</v>
      </c>
      <c r="G262" s="1087" t="str">
        <f>TEXT(Data!$A$4,"mmmm d,yyyy")</f>
        <v>June 30,2021</v>
      </c>
      <c r="H262" s="1087" t="str">
        <f>TEXT(Data!$A$4,"mmmm d,yyyy")</f>
        <v>June 30,2021</v>
      </c>
      <c r="I262" s="1087" t="str">
        <f>TEXT(Data!$A$4,"mmmm d,yyyy")</f>
        <v>June 30,2021</v>
      </c>
      <c r="J262" s="1087" t="str">
        <f>TEXT(Data!$A$4,"mmmm d,yyyy")</f>
        <v>June 30,2021</v>
      </c>
      <c r="K262" s="1087" t="str">
        <f>TEXT(Data!$A$4,"mmmm d,yyyy")</f>
        <v>June 30,2021</v>
      </c>
      <c r="L262" s="1087" t="str">
        <f>TEXT(Data!$A$4,"mmmm d,yyyy")</f>
        <v>June 30,2021</v>
      </c>
      <c r="M262" s="1087" t="str">
        <f>TEXT(Data!$A$4,"mmmm d,yyyy")</f>
        <v>June 30,2021</v>
      </c>
      <c r="N262" s="1087" t="str">
        <f>TEXT(Data!$A$4,"mmmm d,yyyy")</f>
        <v>June 30,2021</v>
      </c>
      <c r="O262" s="1087" t="str">
        <f>TEXT(Data!$A$4,"mmmm d,yyyy")</f>
        <v>June 30,2021</v>
      </c>
      <c r="P262" s="1087" t="str">
        <f>TEXT(Data!$A$4,"mmmm d,yyyy")</f>
        <v>June 30,2021</v>
      </c>
      <c r="Q262" s="1087" t="str">
        <f>TEXT(Data!$A$4,"mmmm d,yyyy")</f>
        <v>June 30,2021</v>
      </c>
      <c r="R262" s="1087" t="str">
        <f>TEXT(Data!$A$4,"mmmm d,yyyy")</f>
        <v>June 30,2021</v>
      </c>
      <c r="S262" s="1087" t="str">
        <f>TEXT(Data!$A$4,"mmmm d,yyyy")</f>
        <v>June 30,2021</v>
      </c>
      <c r="T262" s="1087" t="str">
        <f>TEXT(Data!$A$4,"mmmm d,yyyy")</f>
        <v>June 30,2021</v>
      </c>
      <c r="U262" s="1087" t="str">
        <f>TEXT(Data!$A$4,"mmmm d,yyyy")</f>
        <v>June 30,2021</v>
      </c>
      <c r="V262" s="1087" t="str">
        <f>TEXT(Data!$A$4,"mmmm d,yyyy")</f>
        <v>June 30,2021</v>
      </c>
      <c r="W262" s="1087" t="str">
        <f>TEXT(Data!$A$4,"mmmm d,yyyy")</f>
        <v>June 30,2021</v>
      </c>
      <c r="X262" s="1087" t="str">
        <f>TEXT(Data!$A$4,"mmmm d,yyyy")</f>
        <v>June 30,2021</v>
      </c>
      <c r="Y262" s="1087" t="str">
        <f>TEXT(Data!$A$4,"mmmm d,yyyy")</f>
        <v>June 30,2021</v>
      </c>
      <c r="Z262" s="1087" t="str">
        <f>TEXT(Data!$A$4,"mmmm d,yyyy")</f>
        <v>June 30,2021</v>
      </c>
      <c r="AA262" s="1087" t="str">
        <f>TEXT(Data!$A$4,"mmmm d,yyyy")</f>
        <v>June 30,2021</v>
      </c>
      <c r="AB262" s="1087" t="str">
        <f>TEXT(Data!$A$4,"mmmm d,yyyy")</f>
        <v>June 30,2021</v>
      </c>
      <c r="AC262" s="1087" t="str">
        <f>TEXT(Data!$A$4,"mmmm d,yyyy")</f>
        <v>June 30,2021</v>
      </c>
      <c r="AD262" s="1087" t="str">
        <f>TEXT(Data!$A$4,"mmmm d,yyyy")</f>
        <v>June 30,2021</v>
      </c>
      <c r="AE262" s="1087" t="str">
        <f>TEXT(Data!$A$4,"mmmm d,yyyy")</f>
        <v>June 30,2021</v>
      </c>
      <c r="AF262" s="1087" t="str">
        <f>TEXT(Data!$A$4,"mmmm d,yyyy")</f>
        <v>June 30,2021</v>
      </c>
      <c r="AG262" s="1087" t="str">
        <f>TEXT(Data!$A$4,"mmmm d,yyyy")</f>
        <v>June 30,2021</v>
      </c>
    </row>
    <row r="263" spans="2:33" x14ac:dyDescent="0.2">
      <c r="B263" s="3355" t="s">
        <v>617</v>
      </c>
      <c r="C263" s="3355"/>
      <c r="D263" s="2078" t="str">
        <f>IF(ROUND(SUM(F263:N263),2)-ROUND(E263,2)=0,"OK","prob")</f>
        <v>prob</v>
      </c>
      <c r="E263" s="649">
        <v>790232184.61000001</v>
      </c>
      <c r="F263" s="649">
        <v>454307220</v>
      </c>
      <c r="G263" s="649">
        <v>30028869.170000002</v>
      </c>
      <c r="H263" s="649">
        <v>0</v>
      </c>
      <c r="I263" s="649">
        <v>250951023.56999999</v>
      </c>
      <c r="J263" s="649">
        <v>7961658</v>
      </c>
      <c r="K263" s="649">
        <v>2255155.2400000002</v>
      </c>
      <c r="L263" s="649"/>
      <c r="M263" s="649">
        <v>2247145</v>
      </c>
      <c r="N263" s="649">
        <v>43784410.630000003</v>
      </c>
      <c r="O263" s="393">
        <v>61553342.82</v>
      </c>
      <c r="P263" s="649">
        <v>1458357330.3099999</v>
      </c>
      <c r="Q263" s="649">
        <v>947937751.58000004</v>
      </c>
      <c r="R263" s="649">
        <v>227967435</v>
      </c>
      <c r="S263" s="649">
        <v>264254836.55000001</v>
      </c>
      <c r="T263" s="649">
        <v>93175412.670000002</v>
      </c>
      <c r="U263" s="649">
        <v>194315449.47999999</v>
      </c>
      <c r="V263" s="649">
        <v>323074252.30000001</v>
      </c>
      <c r="W263" s="649">
        <v>160055988.02000001</v>
      </c>
      <c r="X263" s="649">
        <v>124562959.78</v>
      </c>
      <c r="Y263" s="649">
        <v>289974206.17000002</v>
      </c>
      <c r="Z263" s="649">
        <v>74135050.480000004</v>
      </c>
      <c r="AA263" s="649">
        <v>106350882.09999999</v>
      </c>
      <c r="AB263" s="649">
        <v>58161613.920000002</v>
      </c>
      <c r="AC263" s="649">
        <v>60021745.920000002</v>
      </c>
      <c r="AD263" s="649">
        <v>123237129.31999999</v>
      </c>
      <c r="AE263" s="649">
        <v>58657761.710000001</v>
      </c>
      <c r="AF263" s="649">
        <v>20876985.600000001</v>
      </c>
      <c r="AG263" s="649">
        <v>1142610.78</v>
      </c>
    </row>
    <row r="264" spans="2:33" x14ac:dyDescent="0.2">
      <c r="B264" s="3355" t="s">
        <v>1411</v>
      </c>
      <c r="C264" s="3355"/>
      <c r="D264" t="str">
        <f>IF(ROUND(SUM(F264:N264),2)-ROUND(E264,2)=0,"OK","prob")</f>
        <v>OK</v>
      </c>
      <c r="E264" s="649">
        <v>839756421.45000005</v>
      </c>
      <c r="F264" s="649">
        <v>389507981</v>
      </c>
      <c r="G264" s="649">
        <v>92018616.819999993</v>
      </c>
      <c r="H264" s="649">
        <v>0</v>
      </c>
      <c r="I264" s="649">
        <v>284740184.67000002</v>
      </c>
      <c r="J264" s="649">
        <v>11543762</v>
      </c>
      <c r="K264" s="649">
        <v>1924967.21</v>
      </c>
      <c r="L264" s="649"/>
      <c r="M264" s="649">
        <v>1910091</v>
      </c>
      <c r="N264" s="649">
        <v>58110818.75</v>
      </c>
      <c r="O264" s="393">
        <v>14390445.710000001</v>
      </c>
      <c r="P264" s="649">
        <v>312889662.79000002</v>
      </c>
      <c r="Q264" s="649">
        <v>271318893.14999998</v>
      </c>
      <c r="R264" s="649">
        <v>38771527.32</v>
      </c>
      <c r="S264" s="649">
        <v>71039884.730000004</v>
      </c>
      <c r="T264" s="649">
        <v>5856257.0999999996</v>
      </c>
      <c r="U264" s="649">
        <v>38884968.270000003</v>
      </c>
      <c r="V264" s="649">
        <v>105582954.97</v>
      </c>
      <c r="W264" s="649">
        <v>46049566.310000002</v>
      </c>
      <c r="X264" s="649">
        <v>18741280.890000001</v>
      </c>
      <c r="Y264" s="649">
        <v>35774339.880000003</v>
      </c>
      <c r="Z264" s="649">
        <v>19997223.149999999</v>
      </c>
      <c r="AA264" s="649">
        <v>13996919.970000001</v>
      </c>
      <c r="AB264" s="649">
        <v>11345345.34</v>
      </c>
      <c r="AC264" s="649">
        <v>11279912.34</v>
      </c>
      <c r="AD264" s="649">
        <v>26992642.18</v>
      </c>
      <c r="AE264" s="649">
        <v>10306738.4</v>
      </c>
      <c r="AF264" s="649">
        <v>10990927.27</v>
      </c>
      <c r="AG264" s="649">
        <v>245055.66</v>
      </c>
    </row>
    <row r="265" spans="2:33" x14ac:dyDescent="0.2">
      <c r="B265" s="3355" t="s">
        <v>1537</v>
      </c>
      <c r="C265" s="3355"/>
      <c r="D265" t="str">
        <f>IF(SUM(F265:N265)-E265=0,"OK","prob")</f>
        <v>OK</v>
      </c>
      <c r="E265" s="649">
        <v>0</v>
      </c>
      <c r="F265" s="649">
        <v>0</v>
      </c>
      <c r="G265" s="649">
        <v>0</v>
      </c>
      <c r="H265" s="649">
        <v>0</v>
      </c>
      <c r="I265" s="649">
        <v>0</v>
      </c>
      <c r="J265" s="649">
        <v>0</v>
      </c>
      <c r="K265" s="649">
        <v>0</v>
      </c>
      <c r="L265" s="649"/>
      <c r="M265" s="649">
        <v>0</v>
      </c>
      <c r="N265" s="649">
        <v>0</v>
      </c>
      <c r="O265" s="2636">
        <v>0</v>
      </c>
      <c r="P265" s="649">
        <v>0</v>
      </c>
      <c r="Q265" s="649">
        <v>0</v>
      </c>
      <c r="R265" s="649">
        <v>0</v>
      </c>
      <c r="S265" s="649">
        <v>0</v>
      </c>
      <c r="T265" s="649">
        <v>194743.96</v>
      </c>
      <c r="U265" s="649">
        <v>0</v>
      </c>
      <c r="V265" s="649">
        <v>0</v>
      </c>
      <c r="W265" s="649">
        <v>0</v>
      </c>
      <c r="X265" s="649">
        <v>0</v>
      </c>
      <c r="Y265" s="649">
        <v>0</v>
      </c>
      <c r="Z265" s="649">
        <v>0</v>
      </c>
      <c r="AA265" s="649">
        <v>0</v>
      </c>
      <c r="AB265" s="649">
        <v>0</v>
      </c>
      <c r="AC265" s="649">
        <v>0</v>
      </c>
      <c r="AD265" s="649">
        <v>0</v>
      </c>
      <c r="AE265" s="649">
        <v>0</v>
      </c>
      <c r="AF265" s="649">
        <v>0</v>
      </c>
      <c r="AG265" s="649">
        <v>0</v>
      </c>
    </row>
    <row r="266" spans="2:33" x14ac:dyDescent="0.2">
      <c r="B266" s="3355" t="s">
        <v>1412</v>
      </c>
      <c r="C266" s="3355"/>
      <c r="D266" s="2078" t="str">
        <f>IF(ROUND(SUM(F266:N266),2)-ROUND(E266,2)=0,"OK","prob")</f>
        <v>prob</v>
      </c>
      <c r="E266" s="649">
        <v>26021684.859999999</v>
      </c>
      <c r="F266" s="649">
        <v>5208617</v>
      </c>
      <c r="G266" s="649">
        <v>0</v>
      </c>
      <c r="H266" s="649">
        <v>0</v>
      </c>
      <c r="I266" s="649">
        <v>19071696</v>
      </c>
      <c r="J266" s="649">
        <v>1718907</v>
      </c>
      <c r="K266" s="649">
        <v>0</v>
      </c>
      <c r="L266" s="649"/>
      <c r="M266" s="649">
        <v>22462.86</v>
      </c>
      <c r="N266" s="649">
        <v>0</v>
      </c>
      <c r="O266" s="393">
        <v>11401384.5</v>
      </c>
      <c r="P266" s="649">
        <v>540201991.41999996</v>
      </c>
      <c r="Q266" s="649">
        <v>91194483</v>
      </c>
      <c r="R266" s="649">
        <v>53737774.289999999</v>
      </c>
      <c r="S266" s="649">
        <v>63912237.090000004</v>
      </c>
      <c r="T266" s="649">
        <v>13135531.15</v>
      </c>
      <c r="U266" s="649">
        <v>18835283.629999999</v>
      </c>
      <c r="V266" s="649">
        <v>43174088.229999997</v>
      </c>
      <c r="W266" s="649">
        <v>11152258.609999999</v>
      </c>
      <c r="X266" s="649">
        <v>25800436.170000002</v>
      </c>
      <c r="Y266" s="649">
        <v>38389985.609999999</v>
      </c>
      <c r="Z266" s="649">
        <v>10221326.07</v>
      </c>
      <c r="AA266" s="649">
        <v>9237936.5999999996</v>
      </c>
      <c r="AB266" s="649">
        <v>11098541.060000001</v>
      </c>
      <c r="AC266" s="649">
        <v>7053088.9400000004</v>
      </c>
      <c r="AD266" s="649">
        <v>17515233.59</v>
      </c>
      <c r="AE266" s="649">
        <v>2215969.96</v>
      </c>
      <c r="AF266" s="649">
        <v>74142.320000000007</v>
      </c>
      <c r="AG266" s="649">
        <v>1580492</v>
      </c>
    </row>
    <row r="267" spans="2:33" s="2630" customFormat="1" x14ac:dyDescent="0.2">
      <c r="B267" s="3354" t="s">
        <v>5667</v>
      </c>
      <c r="C267" s="3354"/>
      <c r="D267" s="2078" t="str">
        <f t="shared" ref="D267:D270" si="47">IF(ROUND(SUM(F267:N267),2)-ROUND(E267,2)=0,"OK","prob")</f>
        <v>OK</v>
      </c>
      <c r="E267" s="649"/>
      <c r="F267" s="649"/>
      <c r="G267" s="649"/>
      <c r="H267" s="649"/>
      <c r="I267" s="649"/>
      <c r="J267" s="649"/>
      <c r="K267" s="649"/>
      <c r="L267" s="649"/>
      <c r="M267" s="649"/>
      <c r="N267" s="649"/>
      <c r="O267" s="2217"/>
      <c r="P267" s="649"/>
      <c r="Q267" s="649"/>
      <c r="R267" s="649"/>
      <c r="S267" s="649"/>
      <c r="T267" s="649"/>
      <c r="U267" s="649"/>
      <c r="V267" s="649"/>
      <c r="W267" s="649"/>
      <c r="X267" s="649"/>
      <c r="Y267" s="649"/>
      <c r="Z267" s="649"/>
      <c r="AA267" s="649"/>
      <c r="AB267" s="649"/>
      <c r="AC267" s="649"/>
      <c r="AD267" s="649"/>
      <c r="AE267" s="649"/>
      <c r="AF267" s="649"/>
      <c r="AG267" s="649"/>
    </row>
    <row r="268" spans="2:33" s="2630" customFormat="1" x14ac:dyDescent="0.2">
      <c r="B268" s="3354" t="s">
        <v>5668</v>
      </c>
      <c r="C268" s="3354"/>
      <c r="D268" s="2078" t="str">
        <f t="shared" si="47"/>
        <v>OK</v>
      </c>
      <c r="E268" s="649"/>
      <c r="F268" s="649"/>
      <c r="G268" s="649"/>
      <c r="H268" s="649"/>
      <c r="I268" s="649"/>
      <c r="J268" s="649"/>
      <c r="K268" s="649"/>
      <c r="L268" s="649"/>
      <c r="M268" s="649"/>
      <c r="N268" s="649"/>
      <c r="O268" s="2217"/>
      <c r="P268" s="649"/>
      <c r="Q268" s="649"/>
      <c r="R268" s="649"/>
      <c r="S268" s="649"/>
      <c r="T268" s="649"/>
      <c r="U268" s="649"/>
      <c r="V268" s="649"/>
      <c r="W268" s="649"/>
      <c r="X268" s="649"/>
      <c r="Y268" s="649"/>
      <c r="Z268" s="649"/>
      <c r="AA268" s="649"/>
      <c r="AB268" s="649"/>
      <c r="AC268" s="649"/>
      <c r="AD268" s="649"/>
      <c r="AE268" s="649"/>
      <c r="AF268" s="649"/>
      <c r="AG268" s="649"/>
    </row>
    <row r="269" spans="2:33" s="2630" customFormat="1" x14ac:dyDescent="0.2">
      <c r="B269" s="3354" t="s">
        <v>5669</v>
      </c>
      <c r="C269" s="3354"/>
      <c r="D269" s="2078" t="str">
        <f t="shared" si="47"/>
        <v>OK</v>
      </c>
      <c r="E269" s="649"/>
      <c r="F269" s="649"/>
      <c r="G269" s="649"/>
      <c r="H269" s="649"/>
      <c r="I269" s="649"/>
      <c r="J269" s="649"/>
      <c r="K269" s="649"/>
      <c r="L269" s="649"/>
      <c r="M269" s="649"/>
      <c r="N269" s="649"/>
      <c r="O269" s="2217"/>
      <c r="P269" s="649"/>
      <c r="Q269" s="649"/>
      <c r="R269" s="649"/>
      <c r="S269" s="649"/>
      <c r="T269" s="649"/>
      <c r="U269" s="649"/>
      <c r="V269" s="649"/>
      <c r="W269" s="649"/>
      <c r="X269" s="649"/>
      <c r="Y269" s="649"/>
      <c r="Z269" s="649"/>
      <c r="AA269" s="649"/>
      <c r="AB269" s="649"/>
      <c r="AC269" s="649"/>
      <c r="AD269" s="649"/>
      <c r="AE269" s="649"/>
      <c r="AF269" s="649"/>
      <c r="AG269" s="649"/>
    </row>
    <row r="270" spans="2:33" s="2630" customFormat="1" x14ac:dyDescent="0.2">
      <c r="B270" s="3354" t="s">
        <v>5670</v>
      </c>
      <c r="C270" s="3354"/>
      <c r="D270" s="2078" t="str">
        <f t="shared" si="47"/>
        <v>OK</v>
      </c>
      <c r="E270" s="649"/>
      <c r="F270" s="649"/>
      <c r="G270" s="649"/>
      <c r="H270" s="649"/>
      <c r="I270" s="649"/>
      <c r="J270" s="649"/>
      <c r="K270" s="649"/>
      <c r="L270" s="649"/>
      <c r="M270" s="649"/>
      <c r="N270" s="649"/>
      <c r="O270" s="2217"/>
      <c r="P270" s="649"/>
      <c r="Q270" s="649"/>
      <c r="R270" s="649"/>
      <c r="S270" s="649"/>
      <c r="T270" s="649"/>
      <c r="U270" s="649"/>
      <c r="V270" s="649"/>
      <c r="W270" s="649"/>
      <c r="X270" s="649"/>
      <c r="Y270" s="649"/>
      <c r="Z270" s="649"/>
      <c r="AA270" s="649"/>
      <c r="AB270" s="649"/>
      <c r="AC270" s="649"/>
      <c r="AD270" s="649"/>
      <c r="AE270" s="649"/>
      <c r="AF270" s="649"/>
      <c r="AG270" s="649"/>
    </row>
    <row r="271" spans="2:33" x14ac:dyDescent="0.2">
      <c r="B271" s="3355" t="s">
        <v>1558</v>
      </c>
      <c r="C271" s="3355"/>
      <c r="D271" t="str">
        <f>IF(SUM(F271:N271)-E271=0,"OK","prob")</f>
        <v>OK</v>
      </c>
      <c r="E271" s="649">
        <v>0</v>
      </c>
      <c r="F271" s="649">
        <v>0</v>
      </c>
      <c r="G271" s="649">
        <v>0</v>
      </c>
      <c r="H271" s="649">
        <v>0</v>
      </c>
      <c r="I271" s="649">
        <v>0</v>
      </c>
      <c r="J271" s="649">
        <v>0</v>
      </c>
      <c r="K271" s="649">
        <v>0</v>
      </c>
      <c r="L271" s="649"/>
      <c r="M271" s="649">
        <v>0</v>
      </c>
      <c r="N271" s="649">
        <v>0</v>
      </c>
      <c r="O271" s="393">
        <v>0</v>
      </c>
      <c r="P271" s="649">
        <v>0</v>
      </c>
      <c r="Q271" s="649">
        <v>0</v>
      </c>
      <c r="R271" s="649">
        <v>0</v>
      </c>
      <c r="S271" s="649">
        <v>0</v>
      </c>
      <c r="T271" s="649">
        <v>0</v>
      </c>
      <c r="U271" s="649">
        <v>0</v>
      </c>
      <c r="V271" s="649">
        <v>0</v>
      </c>
      <c r="W271" s="649">
        <v>0</v>
      </c>
      <c r="X271" s="649">
        <v>0</v>
      </c>
      <c r="Y271" s="649">
        <v>0</v>
      </c>
      <c r="Z271" s="649">
        <v>0</v>
      </c>
      <c r="AA271" s="649">
        <v>0</v>
      </c>
      <c r="AB271" s="649">
        <v>0</v>
      </c>
      <c r="AC271" s="649">
        <v>0</v>
      </c>
      <c r="AD271" s="649">
        <v>0</v>
      </c>
      <c r="AE271" s="649">
        <v>0</v>
      </c>
      <c r="AF271" s="649">
        <v>0</v>
      </c>
      <c r="AG271" s="649">
        <v>0</v>
      </c>
    </row>
    <row r="272" spans="2:33" s="2076" customFormat="1" x14ac:dyDescent="0.2">
      <c r="B272" s="3355" t="s">
        <v>4692</v>
      </c>
      <c r="C272" s="3355"/>
      <c r="D272" s="2076" t="str">
        <f>IF(SUM(F272:N272)-E272=0,"OK","prob")</f>
        <v>OK</v>
      </c>
      <c r="E272" s="649">
        <v>0</v>
      </c>
      <c r="F272" s="649">
        <v>0</v>
      </c>
      <c r="G272" s="649">
        <v>0</v>
      </c>
      <c r="H272" s="649">
        <v>0</v>
      </c>
      <c r="I272" s="649">
        <v>0</v>
      </c>
      <c r="J272" s="649">
        <v>0</v>
      </c>
      <c r="K272" s="649">
        <v>0</v>
      </c>
      <c r="L272" s="649"/>
      <c r="M272" s="649">
        <v>0</v>
      </c>
      <c r="N272" s="649">
        <v>0</v>
      </c>
      <c r="O272" s="393">
        <v>0</v>
      </c>
      <c r="P272" s="649">
        <v>0</v>
      </c>
      <c r="Q272" s="649">
        <v>0</v>
      </c>
      <c r="R272" s="649">
        <v>0</v>
      </c>
      <c r="S272" s="649">
        <v>0</v>
      </c>
      <c r="T272" s="649">
        <v>0</v>
      </c>
      <c r="U272" s="649">
        <v>0</v>
      </c>
      <c r="V272" s="649">
        <v>0</v>
      </c>
      <c r="W272" s="649">
        <v>0</v>
      </c>
      <c r="X272" s="649">
        <v>0</v>
      </c>
      <c r="Y272" s="649">
        <v>0</v>
      </c>
      <c r="Z272" s="649">
        <v>0</v>
      </c>
      <c r="AA272" s="649">
        <v>0</v>
      </c>
      <c r="AB272" s="649">
        <v>0</v>
      </c>
      <c r="AC272" s="649">
        <v>0</v>
      </c>
      <c r="AD272" s="649">
        <v>0</v>
      </c>
      <c r="AE272" s="649">
        <v>0</v>
      </c>
      <c r="AF272" s="649">
        <v>0</v>
      </c>
      <c r="AG272" s="649">
        <v>0</v>
      </c>
    </row>
    <row r="273" spans="1:33" x14ac:dyDescent="0.2">
      <c r="B273" s="3355" t="s">
        <v>1538</v>
      </c>
      <c r="C273" s="3355"/>
      <c r="D273" s="2078" t="str">
        <f>IF(ROUND(SUM(F273:N273),2)-ROUND(E273,2)=0,"OK","prob")</f>
        <v>prob</v>
      </c>
      <c r="E273" s="649">
        <v>160116304.86000001</v>
      </c>
      <c r="F273" s="649">
        <v>9519296</v>
      </c>
      <c r="G273" s="649">
        <v>150530313.86000001</v>
      </c>
      <c r="H273" s="649">
        <v>0</v>
      </c>
      <c r="I273" s="649">
        <v>0</v>
      </c>
      <c r="J273" s="649">
        <v>28118</v>
      </c>
      <c r="K273" s="649">
        <v>38578</v>
      </c>
      <c r="L273" s="649"/>
      <c r="M273" s="649">
        <v>0</v>
      </c>
      <c r="N273" s="649">
        <v>0</v>
      </c>
      <c r="O273" s="393">
        <v>0</v>
      </c>
      <c r="P273" s="649">
        <v>89805475.670000002</v>
      </c>
      <c r="Q273" s="649">
        <v>29478450.59</v>
      </c>
      <c r="R273" s="649">
        <v>0</v>
      </c>
      <c r="S273" s="649">
        <v>4949780.1399999997</v>
      </c>
      <c r="T273" s="649">
        <v>0</v>
      </c>
      <c r="U273" s="649">
        <v>0</v>
      </c>
      <c r="V273" s="649">
        <v>9285757.5299999993</v>
      </c>
      <c r="W273" s="649">
        <v>0</v>
      </c>
      <c r="X273" s="649">
        <v>113425.29</v>
      </c>
      <c r="Y273" s="649">
        <v>443077.87</v>
      </c>
      <c r="Z273" s="649">
        <v>0</v>
      </c>
      <c r="AA273" s="649">
        <v>316167.67</v>
      </c>
      <c r="AB273" s="649">
        <v>0</v>
      </c>
      <c r="AC273" s="649">
        <v>0</v>
      </c>
      <c r="AD273" s="649">
        <v>0</v>
      </c>
      <c r="AE273" s="649">
        <v>0</v>
      </c>
      <c r="AF273" s="649">
        <v>0</v>
      </c>
      <c r="AG273" s="649">
        <v>0</v>
      </c>
    </row>
    <row r="274" spans="1:33" x14ac:dyDescent="0.2">
      <c r="B274" s="3355" t="s">
        <v>1413</v>
      </c>
      <c r="C274" s="3355"/>
      <c r="D274" t="str">
        <f>IF(SUM(F274:N274)-E274=0,"OK","prob")</f>
        <v>OK</v>
      </c>
      <c r="E274" s="649">
        <v>0</v>
      </c>
      <c r="F274" s="649">
        <v>0</v>
      </c>
      <c r="G274" s="649">
        <v>0</v>
      </c>
      <c r="H274" s="649">
        <v>0</v>
      </c>
      <c r="I274" s="649">
        <v>0</v>
      </c>
      <c r="J274" s="649">
        <v>0</v>
      </c>
      <c r="K274" s="649">
        <v>0</v>
      </c>
      <c r="L274" s="649"/>
      <c r="M274" s="649">
        <v>0</v>
      </c>
      <c r="N274" s="649">
        <v>0</v>
      </c>
      <c r="O274" s="393">
        <v>0</v>
      </c>
      <c r="P274" s="649">
        <v>0</v>
      </c>
      <c r="Q274" s="649">
        <v>0</v>
      </c>
      <c r="R274" s="649">
        <v>0</v>
      </c>
      <c r="S274" s="649">
        <v>0</v>
      </c>
      <c r="T274" s="649">
        <v>0</v>
      </c>
      <c r="U274" s="649">
        <v>0</v>
      </c>
      <c r="V274" s="649">
        <v>0</v>
      </c>
      <c r="W274" s="649">
        <v>0</v>
      </c>
      <c r="X274" s="649">
        <v>0</v>
      </c>
      <c r="Y274" s="649">
        <v>0</v>
      </c>
      <c r="Z274" s="649">
        <v>0</v>
      </c>
      <c r="AA274" s="649">
        <v>0</v>
      </c>
      <c r="AB274" s="649">
        <v>0</v>
      </c>
      <c r="AC274" s="649">
        <v>0</v>
      </c>
      <c r="AD274" s="649">
        <v>0</v>
      </c>
      <c r="AE274" s="649">
        <v>0</v>
      </c>
      <c r="AF274" s="649">
        <v>0</v>
      </c>
      <c r="AG274" s="649">
        <v>0</v>
      </c>
    </row>
    <row r="275" spans="1:33" x14ac:dyDescent="0.2">
      <c r="B275" s="3355" t="s">
        <v>1807</v>
      </c>
      <c r="C275" s="3355"/>
      <c r="D275" s="2078" t="str">
        <f>IF(ROUND(SUM(F275:N275),2)-ROUND(E275,2)=0,"OK","prob")</f>
        <v>prob</v>
      </c>
      <c r="E275" s="651">
        <v>1303296</v>
      </c>
      <c r="F275" s="649">
        <v>0</v>
      </c>
      <c r="G275" s="651">
        <v>0</v>
      </c>
      <c r="H275" s="651">
        <v>0</v>
      </c>
      <c r="I275" s="649">
        <v>0</v>
      </c>
      <c r="J275" s="649">
        <v>0</v>
      </c>
      <c r="K275" s="649">
        <v>0</v>
      </c>
      <c r="L275" s="649"/>
      <c r="M275" s="649">
        <v>0</v>
      </c>
      <c r="N275" s="649">
        <v>0</v>
      </c>
      <c r="O275" s="843">
        <v>0</v>
      </c>
      <c r="P275" s="651">
        <v>0</v>
      </c>
      <c r="Q275" s="651">
        <v>0</v>
      </c>
      <c r="R275" s="651">
        <v>0</v>
      </c>
      <c r="S275" s="651">
        <v>0</v>
      </c>
      <c r="T275" s="651">
        <v>0</v>
      </c>
      <c r="U275" s="651">
        <v>0</v>
      </c>
      <c r="V275" s="651">
        <v>0</v>
      </c>
      <c r="W275" s="651">
        <v>0</v>
      </c>
      <c r="X275" s="651">
        <v>892664.1</v>
      </c>
      <c r="Y275" s="651">
        <v>0</v>
      </c>
      <c r="Z275" s="651">
        <v>0</v>
      </c>
      <c r="AA275" s="651">
        <v>0</v>
      </c>
      <c r="AB275" s="651">
        <v>0</v>
      </c>
      <c r="AC275" s="651">
        <v>0</v>
      </c>
      <c r="AD275" s="651">
        <v>0</v>
      </c>
      <c r="AE275" s="651">
        <v>0</v>
      </c>
      <c r="AF275" s="651">
        <v>0</v>
      </c>
      <c r="AG275" s="651">
        <v>0</v>
      </c>
    </row>
    <row r="276" spans="1:33" ht="13.5" thickBot="1" x14ac:dyDescent="0.25">
      <c r="B276" s="272" t="s">
        <v>1824</v>
      </c>
      <c r="D276" t="str">
        <f>IF(ROUND(SUM(F276:N276),2)-ROUND(E276,2)=0,"OK","prob")</f>
        <v>OK</v>
      </c>
      <c r="E276" s="1606">
        <f>SUM(E263:E275)</f>
        <v>1817429891.78</v>
      </c>
      <c r="F276" s="1606">
        <f>SUM(F263:F275)</f>
        <v>858543114</v>
      </c>
      <c r="G276" s="1606">
        <f t="shared" ref="G276:AG276" si="48">SUM(G263:G275)</f>
        <v>272577799.85000002</v>
      </c>
      <c r="H276" s="1606">
        <f t="shared" si="48"/>
        <v>0</v>
      </c>
      <c r="I276" s="1606">
        <f t="shared" si="48"/>
        <v>554762904.24000001</v>
      </c>
      <c r="J276" s="1606">
        <f t="shared" si="48"/>
        <v>21252445</v>
      </c>
      <c r="K276" s="1606">
        <f t="shared" si="48"/>
        <v>4218700.45</v>
      </c>
      <c r="L276" s="1606">
        <f>SUM(L263:L275)</f>
        <v>0</v>
      </c>
      <c r="M276" s="1606">
        <f>SUM(M263:M275)</f>
        <v>4179698.86</v>
      </c>
      <c r="N276" s="1606">
        <f>SUM(N263:N275)</f>
        <v>101895229.38</v>
      </c>
      <c r="O276" s="708">
        <f t="shared" si="48"/>
        <v>87345173.030000001</v>
      </c>
      <c r="P276" s="1606">
        <f t="shared" si="48"/>
        <v>2401254460.1900001</v>
      </c>
      <c r="Q276" s="1606">
        <f t="shared" si="48"/>
        <v>1339929578.3199999</v>
      </c>
      <c r="R276" s="1606">
        <f t="shared" si="48"/>
        <v>320476736.61000001</v>
      </c>
      <c r="S276" s="1606">
        <f t="shared" si="48"/>
        <v>404156738.50999999</v>
      </c>
      <c r="T276" s="1606">
        <f t="shared" si="48"/>
        <v>112361944.88</v>
      </c>
      <c r="U276" s="1606">
        <f t="shared" si="48"/>
        <v>252035701.38</v>
      </c>
      <c r="V276" s="1606">
        <f t="shared" si="48"/>
        <v>481117053.02999997</v>
      </c>
      <c r="W276" s="1606">
        <f t="shared" si="48"/>
        <v>217257812.94</v>
      </c>
      <c r="X276" s="1606">
        <f t="shared" si="48"/>
        <v>170110766.22999999</v>
      </c>
      <c r="Y276" s="1606">
        <f t="shared" si="48"/>
        <v>364581609.52999997</v>
      </c>
      <c r="Z276" s="1606">
        <f t="shared" si="48"/>
        <v>104353599.7</v>
      </c>
      <c r="AA276" s="1606">
        <f t="shared" si="48"/>
        <v>129901906.34</v>
      </c>
      <c r="AB276" s="1606">
        <f t="shared" si="48"/>
        <v>80605500.319999993</v>
      </c>
      <c r="AC276" s="1606">
        <f t="shared" si="48"/>
        <v>78354747.200000003</v>
      </c>
      <c r="AD276" s="1606">
        <f t="shared" si="48"/>
        <v>167745005.09</v>
      </c>
      <c r="AE276" s="1606">
        <f t="shared" si="48"/>
        <v>71180470.069999993</v>
      </c>
      <c r="AF276" s="1606">
        <f t="shared" si="48"/>
        <v>31942055.190000001</v>
      </c>
      <c r="AG276" s="1606">
        <f t="shared" si="48"/>
        <v>2968158.44</v>
      </c>
    </row>
    <row r="277" spans="1:33" ht="13.5" thickTop="1" x14ac:dyDescent="0.2"/>
    <row r="278" spans="1:33" x14ac:dyDescent="0.2">
      <c r="B278" s="1238" t="s">
        <v>1915</v>
      </c>
      <c r="E278" s="805" t="str">
        <f t="shared" ref="E278:AG278" si="49">IF(ROUND(E80+E276,2)=0,"OK", "Error")</f>
        <v>OK</v>
      </c>
      <c r="F278" s="805" t="str">
        <f t="shared" si="49"/>
        <v>OK</v>
      </c>
      <c r="G278" s="805" t="str">
        <f t="shared" si="49"/>
        <v>OK</v>
      </c>
      <c r="H278" s="805" t="str">
        <f t="shared" si="49"/>
        <v>OK</v>
      </c>
      <c r="I278" s="805" t="str">
        <f t="shared" si="49"/>
        <v>OK</v>
      </c>
      <c r="J278" s="805" t="str">
        <f t="shared" si="49"/>
        <v>OK</v>
      </c>
      <c r="K278" s="805" t="str">
        <f t="shared" si="49"/>
        <v>OK</v>
      </c>
      <c r="L278" s="805" t="str">
        <f t="shared" si="49"/>
        <v>OK</v>
      </c>
      <c r="M278" s="805" t="str">
        <f t="shared" si="49"/>
        <v>OK</v>
      </c>
      <c r="N278" s="805" t="str">
        <f t="shared" si="49"/>
        <v>OK</v>
      </c>
      <c r="O278" s="2049" t="str">
        <f t="shared" si="49"/>
        <v>OK</v>
      </c>
      <c r="P278" s="805" t="str">
        <f t="shared" si="49"/>
        <v>OK</v>
      </c>
      <c r="Q278" s="805" t="str">
        <f t="shared" si="49"/>
        <v>OK</v>
      </c>
      <c r="R278" s="805" t="str">
        <f t="shared" si="49"/>
        <v>OK</v>
      </c>
      <c r="S278" s="805" t="str">
        <f t="shared" si="49"/>
        <v>OK</v>
      </c>
      <c r="T278" s="805" t="str">
        <f t="shared" si="49"/>
        <v>OK</v>
      </c>
      <c r="U278" s="805" t="str">
        <f t="shared" si="49"/>
        <v>OK</v>
      </c>
      <c r="V278" s="805" t="str">
        <f t="shared" si="49"/>
        <v>OK</v>
      </c>
      <c r="W278" s="805" t="str">
        <f t="shared" si="49"/>
        <v>OK</v>
      </c>
      <c r="X278" s="805" t="str">
        <f t="shared" si="49"/>
        <v>OK</v>
      </c>
      <c r="Y278" s="805" t="str">
        <f t="shared" si="49"/>
        <v>OK</v>
      </c>
      <c r="Z278" s="805" t="str">
        <f t="shared" si="49"/>
        <v>OK</v>
      </c>
      <c r="AA278" s="805" t="str">
        <f t="shared" si="49"/>
        <v>OK</v>
      </c>
      <c r="AB278" s="805" t="str">
        <f t="shared" si="49"/>
        <v>OK</v>
      </c>
      <c r="AC278" s="805" t="str">
        <f t="shared" si="49"/>
        <v>OK</v>
      </c>
      <c r="AD278" s="805" t="str">
        <f t="shared" si="49"/>
        <v>OK</v>
      </c>
      <c r="AE278" s="805" t="str">
        <f t="shared" si="49"/>
        <v>OK</v>
      </c>
      <c r="AF278" s="805" t="str">
        <f t="shared" si="49"/>
        <v>OK</v>
      </c>
      <c r="AG278" s="805" t="str">
        <f t="shared" si="49"/>
        <v>OK</v>
      </c>
    </row>
    <row r="279" spans="1:33" ht="5.25" customHeight="1" x14ac:dyDescent="0.2">
      <c r="B279" s="1239"/>
      <c r="C279" s="1239"/>
      <c r="E279" s="1239"/>
      <c r="F279" s="1239"/>
      <c r="G279" s="1239"/>
      <c r="H279" s="1239"/>
      <c r="I279" s="1239"/>
      <c r="J279" s="1239"/>
      <c r="K279" s="1239"/>
      <c r="L279" s="1239"/>
      <c r="M279" s="1239"/>
      <c r="N279" s="1239"/>
      <c r="O279" s="2044"/>
      <c r="P279" s="1239"/>
      <c r="Q279" s="1239"/>
      <c r="R279" s="1239"/>
      <c r="S279" s="1239"/>
      <c r="T279" s="1239"/>
      <c r="U279" s="1239"/>
      <c r="V279" s="1239"/>
      <c r="W279" s="1239"/>
      <c r="X279" s="1239"/>
      <c r="Y279" s="1239"/>
      <c r="Z279" s="1239"/>
      <c r="AA279" s="1239"/>
      <c r="AB279" s="1239"/>
      <c r="AC279" s="1239"/>
      <c r="AD279" s="1239"/>
      <c r="AE279" s="1239"/>
      <c r="AF279" s="1239"/>
      <c r="AG279" s="1239"/>
    </row>
    <row r="281" spans="1:33" x14ac:dyDescent="0.2">
      <c r="B281" s="1235" t="s">
        <v>1825</v>
      </c>
      <c r="C281" s="1236"/>
    </row>
    <row r="282" spans="1:33" x14ac:dyDescent="0.2">
      <c r="B282" s="1237" t="s">
        <v>5675</v>
      </c>
      <c r="C282" s="1235"/>
    </row>
    <row r="283" spans="1:33" x14ac:dyDescent="0.2">
      <c r="C283" s="38" t="s">
        <v>1755</v>
      </c>
      <c r="E283" s="1221" t="s">
        <v>1461</v>
      </c>
      <c r="F283" s="1233" t="s">
        <v>1473</v>
      </c>
      <c r="G283" s="1221" t="s">
        <v>896</v>
      </c>
      <c r="H283" s="1221" t="s">
        <v>169</v>
      </c>
      <c r="I283" s="1221" t="s">
        <v>168</v>
      </c>
      <c r="J283" s="1221" t="s">
        <v>1304</v>
      </c>
      <c r="K283" s="1221" t="s">
        <v>1399</v>
      </c>
      <c r="L283" s="1221" t="s">
        <v>3524</v>
      </c>
      <c r="M283" s="1968" t="s">
        <v>4590</v>
      </c>
      <c r="N283" s="1221" t="s">
        <v>3525</v>
      </c>
      <c r="O283" s="1968" t="s">
        <v>401</v>
      </c>
      <c r="P283" s="1221" t="s">
        <v>402</v>
      </c>
      <c r="Q283" s="1221" t="s">
        <v>403</v>
      </c>
      <c r="R283" s="1221" t="s">
        <v>404</v>
      </c>
      <c r="S283" s="1221" t="s">
        <v>405</v>
      </c>
      <c r="T283" s="1221" t="s">
        <v>406</v>
      </c>
      <c r="U283" s="1221" t="s">
        <v>64</v>
      </c>
      <c r="V283" s="1221" t="s">
        <v>65</v>
      </c>
      <c r="W283" s="1221" t="s">
        <v>66</v>
      </c>
      <c r="X283" s="1221" t="s">
        <v>67</v>
      </c>
      <c r="Y283" s="1221" t="s">
        <v>741</v>
      </c>
      <c r="Z283" s="1221" t="s">
        <v>742</v>
      </c>
      <c r="AA283" s="1221" t="s">
        <v>743</v>
      </c>
      <c r="AB283" s="1221" t="s">
        <v>744</v>
      </c>
      <c r="AC283" s="1221" t="s">
        <v>745</v>
      </c>
      <c r="AD283" s="1221" t="s">
        <v>746</v>
      </c>
      <c r="AE283" s="1221" t="s">
        <v>747</v>
      </c>
      <c r="AF283" s="1221" t="s">
        <v>1689</v>
      </c>
      <c r="AG283" s="1234" t="s">
        <v>399</v>
      </c>
    </row>
    <row r="284" spans="1:33" x14ac:dyDescent="0.2">
      <c r="C284" t="s">
        <v>1756</v>
      </c>
      <c r="E284" s="357" t="s">
        <v>1480</v>
      </c>
      <c r="F284" s="357" t="s">
        <v>1143</v>
      </c>
      <c r="G284" s="357" t="s">
        <v>1757</v>
      </c>
      <c r="H284" s="357" t="s">
        <v>1757</v>
      </c>
      <c r="I284" s="357" t="s">
        <v>1477</v>
      </c>
      <c r="J284" s="357" t="s">
        <v>1759</v>
      </c>
      <c r="K284" s="357" t="s">
        <v>4332</v>
      </c>
      <c r="L284" s="357" t="s">
        <v>3695</v>
      </c>
      <c r="M284" s="357" t="s">
        <v>4594</v>
      </c>
      <c r="N284" s="357" t="s">
        <v>3697</v>
      </c>
      <c r="O284" s="357" t="s">
        <v>1786</v>
      </c>
      <c r="P284" s="357" t="s">
        <v>1760</v>
      </c>
      <c r="Q284" s="357" t="s">
        <v>1762</v>
      </c>
      <c r="R284" s="357" t="s">
        <v>1760</v>
      </c>
      <c r="S284" s="357" t="s">
        <v>1760</v>
      </c>
      <c r="T284" s="357" t="s">
        <v>1760</v>
      </c>
      <c r="U284" s="357" t="s">
        <v>1760</v>
      </c>
      <c r="V284" s="357" t="s">
        <v>1767</v>
      </c>
      <c r="W284" s="357" t="s">
        <v>1768</v>
      </c>
      <c r="X284" s="357" t="s">
        <v>1770</v>
      </c>
      <c r="Y284" s="357" t="s">
        <v>1771</v>
      </c>
      <c r="Z284" s="357" t="s">
        <v>1760</v>
      </c>
      <c r="AA284" s="357" t="s">
        <v>1774</v>
      </c>
      <c r="AB284" s="357" t="s">
        <v>1789</v>
      </c>
      <c r="AC284" s="357" t="s">
        <v>1775</v>
      </c>
      <c r="AD284" s="357" t="s">
        <v>1776</v>
      </c>
      <c r="AE284" s="357" t="s">
        <v>1777</v>
      </c>
      <c r="AF284" s="357" t="s">
        <v>1785</v>
      </c>
      <c r="AG284" s="357" t="s">
        <v>1779</v>
      </c>
    </row>
    <row r="285" spans="1:33" x14ac:dyDescent="0.2">
      <c r="B285" s="272"/>
      <c r="E285" s="357" t="s">
        <v>1781</v>
      </c>
      <c r="F285" s="357" t="s">
        <v>1810</v>
      </c>
      <c r="G285" s="357" t="s">
        <v>1758</v>
      </c>
      <c r="H285" s="357" t="s">
        <v>1790</v>
      </c>
      <c r="I285" s="357" t="s">
        <v>1478</v>
      </c>
      <c r="J285" s="357" t="s">
        <v>1479</v>
      </c>
      <c r="K285" s="357" t="s">
        <v>1788</v>
      </c>
      <c r="L285" s="357" t="s">
        <v>3696</v>
      </c>
      <c r="M285" s="357" t="s">
        <v>4592</v>
      </c>
      <c r="N285" s="357" t="s">
        <v>3698</v>
      </c>
      <c r="O285" s="357" t="s">
        <v>1787</v>
      </c>
      <c r="P285" s="357" t="s">
        <v>1761</v>
      </c>
      <c r="Q285" s="357" t="s">
        <v>1130</v>
      </c>
      <c r="R285" s="357" t="s">
        <v>1763</v>
      </c>
      <c r="S285" s="357" t="s">
        <v>1764</v>
      </c>
      <c r="T285" s="357" t="s">
        <v>1765</v>
      </c>
      <c r="U285" s="357" t="s">
        <v>1766</v>
      </c>
      <c r="V285" s="357" t="s">
        <v>1772</v>
      </c>
      <c r="W285" s="357" t="s">
        <v>1769</v>
      </c>
      <c r="X285" s="357" t="s">
        <v>1772</v>
      </c>
      <c r="Y285" s="357" t="s">
        <v>1769</v>
      </c>
      <c r="Z285" s="357" t="s">
        <v>1773</v>
      </c>
      <c r="AA285" s="357" t="s">
        <v>1769</v>
      </c>
      <c r="AB285" s="357" t="s">
        <v>1769</v>
      </c>
      <c r="AC285" s="357" t="s">
        <v>1769</v>
      </c>
      <c r="AD285" s="357" t="s">
        <v>1130</v>
      </c>
      <c r="AE285" s="357" t="s">
        <v>1778</v>
      </c>
      <c r="AF285" s="357" t="s">
        <v>1784</v>
      </c>
      <c r="AG285" s="357" t="s">
        <v>1780</v>
      </c>
    </row>
    <row r="286" spans="1:33" x14ac:dyDescent="0.2">
      <c r="B286" s="1240" t="s">
        <v>5676</v>
      </c>
      <c r="E286" s="1087" t="str">
        <f>TEXT(Data!$A$4,"mmmm d,yyyy")</f>
        <v>June 30,2021</v>
      </c>
      <c r="F286" s="1087" t="str">
        <f>TEXT(Data!$A$4,"mmmm d,yyyy")</f>
        <v>June 30,2021</v>
      </c>
      <c r="G286" s="1087" t="str">
        <f>TEXT(Data!$A$4,"mmmm d,yyyy")</f>
        <v>June 30,2021</v>
      </c>
      <c r="H286" s="1087" t="str">
        <f>TEXT(Data!$A$4,"mmmm d,yyyy")</f>
        <v>June 30,2021</v>
      </c>
      <c r="I286" s="1087" t="str">
        <f>TEXT(Data!$A$4,"mmmm d,yyyy")</f>
        <v>June 30,2021</v>
      </c>
      <c r="J286" s="1087" t="str">
        <f>TEXT(Data!$A$4,"mmmm d,yyyy")</f>
        <v>June 30,2021</v>
      </c>
      <c r="K286" s="1087" t="str">
        <f>TEXT(Data!$A$4,"mmmm d,yyyy")</f>
        <v>June 30,2021</v>
      </c>
      <c r="L286" s="1087" t="str">
        <f>TEXT(Data!$A$4,"mmmm d,yyyy")</f>
        <v>June 30,2021</v>
      </c>
      <c r="M286" s="1087" t="str">
        <f>TEXT(Data!$A$4,"mmmm d,yyyy")</f>
        <v>June 30,2021</v>
      </c>
      <c r="N286" s="1087" t="str">
        <f>TEXT(Data!$A$4,"mmmm d,yyyy")</f>
        <v>June 30,2021</v>
      </c>
      <c r="O286" s="1087" t="str">
        <f>TEXT(Data!$A$4,"mmmm d,yyyy")</f>
        <v>June 30,2021</v>
      </c>
      <c r="P286" s="1087" t="str">
        <f>TEXT(Data!$A$4,"mmmm d,yyyy")</f>
        <v>June 30,2021</v>
      </c>
      <c r="Q286" s="1087" t="str">
        <f>TEXT(Data!$A$4,"mmmm d,yyyy")</f>
        <v>June 30,2021</v>
      </c>
      <c r="R286" s="1087" t="str">
        <f>TEXT(Data!$A$4,"mmmm d,yyyy")</f>
        <v>June 30,2021</v>
      </c>
      <c r="S286" s="1087" t="str">
        <f>TEXT(Data!$A$4,"mmmm d,yyyy")</f>
        <v>June 30,2021</v>
      </c>
      <c r="T286" s="1087" t="str">
        <f>TEXT(Data!$A$4,"mmmm d,yyyy")</f>
        <v>June 30,2021</v>
      </c>
      <c r="U286" s="1087" t="str">
        <f>TEXT(Data!$A$4,"mmmm d,yyyy")</f>
        <v>June 30,2021</v>
      </c>
      <c r="V286" s="1087" t="str">
        <f>TEXT(Data!$A$4,"mmmm d,yyyy")</f>
        <v>June 30,2021</v>
      </c>
      <c r="W286" s="1087" t="str">
        <f>TEXT(Data!$A$4,"mmmm d,yyyy")</f>
        <v>June 30,2021</v>
      </c>
      <c r="X286" s="1087" t="str">
        <f>TEXT(Data!$A$4,"mmmm d,yyyy")</f>
        <v>June 30,2021</v>
      </c>
      <c r="Y286" s="1087" t="str">
        <f>TEXT(Data!$A$4,"mmmm d,yyyy")</f>
        <v>June 30,2021</v>
      </c>
      <c r="Z286" s="1087" t="str">
        <f>TEXT(Data!$A$4,"mmmm d,yyyy")</f>
        <v>June 30,2021</v>
      </c>
      <c r="AA286" s="1087" t="str">
        <f>TEXT(Data!$A$4,"mmmm d,yyyy")</f>
        <v>June 30,2021</v>
      </c>
      <c r="AB286" s="1087" t="str">
        <f>TEXT(Data!$A$4,"mmmm d,yyyy")</f>
        <v>June 30,2021</v>
      </c>
      <c r="AC286" s="1087" t="str">
        <f>TEXT(Data!$A$4,"mmmm d,yyyy")</f>
        <v>June 30,2021</v>
      </c>
      <c r="AD286" s="1087" t="str">
        <f>TEXT(Data!$A$4,"mmmm d,yyyy")</f>
        <v>June 30,2021</v>
      </c>
      <c r="AE286" s="1087" t="str">
        <f>TEXT(Data!$A$4,"mmmm d,yyyy")</f>
        <v>June 30,2021</v>
      </c>
      <c r="AF286" s="1087" t="str">
        <f>TEXT(Data!$A$4,"mmmm d,yyyy")</f>
        <v>June 30,2021</v>
      </c>
      <c r="AG286" s="1087" t="str">
        <f>TEXT(Data!$A$4,"mmmm d,yyyy")</f>
        <v>June 30,2021</v>
      </c>
    </row>
    <row r="287" spans="1:33" x14ac:dyDescent="0.2">
      <c r="A287">
        <v>1</v>
      </c>
      <c r="B287" s="1192" t="s">
        <v>1170</v>
      </c>
      <c r="D287" t="str">
        <f t="shared" ref="D287:D305" si="50">IF(SUM(F287:N287)-E287=0,"OK","prob")</f>
        <v>OK</v>
      </c>
      <c r="E287" s="2050">
        <v>847745000</v>
      </c>
      <c r="F287" s="649">
        <v>427485000</v>
      </c>
      <c r="G287" s="649">
        <v>0</v>
      </c>
      <c r="H287" s="649">
        <v>0</v>
      </c>
      <c r="I287" s="649">
        <v>420260000</v>
      </c>
      <c r="J287" s="649">
        <v>0</v>
      </c>
      <c r="K287" s="649">
        <v>0</v>
      </c>
      <c r="L287" s="649"/>
      <c r="M287" s="649">
        <v>0</v>
      </c>
      <c r="N287" s="649">
        <v>0</v>
      </c>
      <c r="O287" s="393">
        <v>0</v>
      </c>
      <c r="P287" s="1284">
        <v>1236870000</v>
      </c>
      <c r="Q287" s="649">
        <v>471400000</v>
      </c>
      <c r="R287" s="649">
        <v>244635000</v>
      </c>
      <c r="S287" s="649">
        <v>537510000</v>
      </c>
      <c r="T287" s="649">
        <v>74360900</v>
      </c>
      <c r="U287" s="649">
        <v>70600000</v>
      </c>
      <c r="V287" s="649">
        <v>347375000</v>
      </c>
      <c r="W287" s="649">
        <v>90200000</v>
      </c>
      <c r="X287" s="649">
        <v>193075000</v>
      </c>
      <c r="Y287" s="649">
        <v>232330000</v>
      </c>
      <c r="Z287" s="649">
        <v>1350000</v>
      </c>
      <c r="AA287" s="649">
        <v>51155000</v>
      </c>
      <c r="AB287" s="649">
        <v>14345000</v>
      </c>
      <c r="AC287" s="649">
        <v>29533000</v>
      </c>
      <c r="AD287" s="649">
        <v>102658200</v>
      </c>
      <c r="AE287" s="649">
        <v>42485000</v>
      </c>
      <c r="AF287" s="649">
        <v>0</v>
      </c>
      <c r="AG287" s="649">
        <v>0</v>
      </c>
    </row>
    <row r="288" spans="1:33" x14ac:dyDescent="0.2">
      <c r="A288">
        <v>3</v>
      </c>
      <c r="B288" s="1192" t="s">
        <v>507</v>
      </c>
      <c r="D288" t="str">
        <f t="shared" si="50"/>
        <v>OK</v>
      </c>
      <c r="E288" s="2050">
        <v>0</v>
      </c>
      <c r="F288" s="649">
        <v>0</v>
      </c>
      <c r="G288" s="649">
        <v>0</v>
      </c>
      <c r="H288" s="649">
        <v>0</v>
      </c>
      <c r="I288" s="649">
        <v>0</v>
      </c>
      <c r="J288" s="649">
        <v>0</v>
      </c>
      <c r="K288" s="649">
        <v>0</v>
      </c>
      <c r="L288" s="649"/>
      <c r="M288" s="649">
        <v>0</v>
      </c>
      <c r="N288" s="649">
        <v>0</v>
      </c>
      <c r="O288" s="393">
        <v>0</v>
      </c>
      <c r="P288" s="649">
        <v>0</v>
      </c>
      <c r="Q288" s="649">
        <v>0</v>
      </c>
      <c r="R288" s="649">
        <v>0</v>
      </c>
      <c r="S288" s="649">
        <v>0</v>
      </c>
      <c r="T288" s="649">
        <v>0</v>
      </c>
      <c r="U288" s="649">
        <v>0</v>
      </c>
      <c r="V288" s="649">
        <v>0</v>
      </c>
      <c r="W288" s="649">
        <v>0</v>
      </c>
      <c r="X288" s="649">
        <v>0</v>
      </c>
      <c r="Y288" s="649">
        <v>0</v>
      </c>
      <c r="Z288" s="649">
        <v>0</v>
      </c>
      <c r="AA288" s="649">
        <v>0</v>
      </c>
      <c r="AB288" s="649">
        <v>0</v>
      </c>
      <c r="AC288" s="649">
        <v>0</v>
      </c>
      <c r="AD288" s="649">
        <v>0</v>
      </c>
      <c r="AE288" s="649">
        <v>3518000</v>
      </c>
      <c r="AF288" s="649">
        <v>0</v>
      </c>
      <c r="AG288" s="649">
        <v>0</v>
      </c>
    </row>
    <row r="289" spans="1:33" x14ac:dyDescent="0.2">
      <c r="A289">
        <v>4</v>
      </c>
      <c r="B289" s="1192" t="s">
        <v>3471</v>
      </c>
      <c r="D289" t="str">
        <f t="shared" si="50"/>
        <v>OK</v>
      </c>
      <c r="E289" s="2050">
        <v>0</v>
      </c>
      <c r="F289" s="649">
        <v>0</v>
      </c>
      <c r="G289" s="649">
        <v>0</v>
      </c>
      <c r="H289" s="649">
        <v>0</v>
      </c>
      <c r="I289" s="649">
        <v>0</v>
      </c>
      <c r="J289" s="649">
        <v>0</v>
      </c>
      <c r="K289" s="649">
        <v>0</v>
      </c>
      <c r="L289" s="649"/>
      <c r="M289" s="649">
        <v>0</v>
      </c>
      <c r="N289" s="649">
        <v>0</v>
      </c>
      <c r="O289" s="393">
        <v>0</v>
      </c>
      <c r="P289" s="649">
        <v>0</v>
      </c>
      <c r="Q289" s="649">
        <v>0</v>
      </c>
      <c r="R289" s="649">
        <v>0</v>
      </c>
      <c r="S289" s="649">
        <v>0</v>
      </c>
      <c r="T289" s="649">
        <v>0</v>
      </c>
      <c r="U289" s="649">
        <v>106365000</v>
      </c>
      <c r="V289" s="649">
        <v>0</v>
      </c>
      <c r="W289" s="649">
        <v>0</v>
      </c>
      <c r="X289" s="649">
        <v>46815000</v>
      </c>
      <c r="Y289" s="649">
        <v>0</v>
      </c>
      <c r="Z289" s="649">
        <v>27135000</v>
      </c>
      <c r="AA289" s="649">
        <v>0</v>
      </c>
      <c r="AB289" s="649">
        <v>0</v>
      </c>
      <c r="AC289" s="649">
        <v>14975000</v>
      </c>
      <c r="AD289" s="649">
        <v>0</v>
      </c>
      <c r="AE289" s="649">
        <v>0</v>
      </c>
      <c r="AF289" s="649">
        <v>0</v>
      </c>
      <c r="AG289" s="649">
        <v>0</v>
      </c>
    </row>
    <row r="290" spans="1:33" x14ac:dyDescent="0.2">
      <c r="A290">
        <v>5</v>
      </c>
      <c r="B290" s="1192" t="s">
        <v>1826</v>
      </c>
      <c r="D290" t="str">
        <f t="shared" si="50"/>
        <v>OK</v>
      </c>
      <c r="E290" s="2050">
        <v>0</v>
      </c>
      <c r="F290" s="649">
        <v>0</v>
      </c>
      <c r="G290" s="649">
        <v>0</v>
      </c>
      <c r="H290" s="649">
        <v>0</v>
      </c>
      <c r="I290" s="649">
        <v>0</v>
      </c>
      <c r="J290" s="649">
        <v>0</v>
      </c>
      <c r="K290" s="649">
        <v>0</v>
      </c>
      <c r="L290" s="649"/>
      <c r="M290" s="649">
        <v>0</v>
      </c>
      <c r="N290" s="649">
        <v>0</v>
      </c>
      <c r="O290" s="393">
        <v>0</v>
      </c>
      <c r="P290" s="1284">
        <v>0</v>
      </c>
      <c r="Q290" s="649">
        <v>0</v>
      </c>
      <c r="R290" s="649">
        <v>0</v>
      </c>
      <c r="S290" s="649">
        <v>-35216.629999999997</v>
      </c>
      <c r="T290" s="649">
        <v>-3470.36</v>
      </c>
      <c r="U290" s="649">
        <v>0</v>
      </c>
      <c r="V290" s="649">
        <v>-2910121.22</v>
      </c>
      <c r="W290" s="649">
        <v>0</v>
      </c>
      <c r="X290" s="649">
        <v>0</v>
      </c>
      <c r="Y290" s="649">
        <v>0</v>
      </c>
      <c r="Z290" s="649">
        <v>0</v>
      </c>
      <c r="AA290" s="649">
        <v>0</v>
      </c>
      <c r="AB290" s="649">
        <v>-21553.599999999999</v>
      </c>
      <c r="AC290" s="649">
        <v>-642996.41</v>
      </c>
      <c r="AD290" s="649">
        <v>0</v>
      </c>
      <c r="AE290" s="649">
        <v>0</v>
      </c>
      <c r="AF290" s="649">
        <v>0</v>
      </c>
      <c r="AG290" s="649">
        <v>0</v>
      </c>
    </row>
    <row r="291" spans="1:33" x14ac:dyDescent="0.2">
      <c r="A291">
        <v>6</v>
      </c>
      <c r="B291" s="1192" t="s">
        <v>79</v>
      </c>
      <c r="D291" t="str">
        <f t="shared" si="50"/>
        <v>OK</v>
      </c>
      <c r="E291" s="2050">
        <v>74360771</v>
      </c>
      <c r="F291" s="649">
        <v>47978338.850000001</v>
      </c>
      <c r="G291" s="649">
        <v>0</v>
      </c>
      <c r="H291" s="649">
        <v>0</v>
      </c>
      <c r="I291" s="649">
        <v>26382432.149999999</v>
      </c>
      <c r="J291" s="649">
        <v>0</v>
      </c>
      <c r="K291" s="649">
        <v>0</v>
      </c>
      <c r="L291" s="649"/>
      <c r="M291" s="649">
        <v>0</v>
      </c>
      <c r="N291" s="649">
        <v>0</v>
      </c>
      <c r="O291" s="393">
        <v>0</v>
      </c>
      <c r="P291" s="1284">
        <v>38953146.740000002</v>
      </c>
      <c r="Q291" s="649">
        <v>27581302.800000001</v>
      </c>
      <c r="R291" s="649">
        <v>21952125.879999999</v>
      </c>
      <c r="S291" s="649">
        <v>42020078.939999998</v>
      </c>
      <c r="T291" s="649">
        <v>6174294.1699999999</v>
      </c>
      <c r="U291" s="649">
        <v>17285319.539999999</v>
      </c>
      <c r="V291" s="649">
        <v>17515898.879999999</v>
      </c>
      <c r="W291" s="649">
        <v>4689043.4400000004</v>
      </c>
      <c r="X291" s="649">
        <v>24374391.48</v>
      </c>
      <c r="Y291" s="649">
        <v>14177054.640000001</v>
      </c>
      <c r="Z291" s="649">
        <v>1062118.6399999999</v>
      </c>
      <c r="AA291" s="649">
        <v>3354943.55</v>
      </c>
      <c r="AB291" s="649">
        <v>1584379.72</v>
      </c>
      <c r="AC291" s="649">
        <v>3498418.67</v>
      </c>
      <c r="AD291" s="649">
        <v>9875714.5800000001</v>
      </c>
      <c r="AE291" s="649">
        <v>2920021.31</v>
      </c>
      <c r="AF291" s="649">
        <v>0</v>
      </c>
      <c r="AG291" s="649">
        <v>0</v>
      </c>
    </row>
    <row r="292" spans="1:33" x14ac:dyDescent="0.2">
      <c r="A292">
        <v>7</v>
      </c>
      <c r="B292" s="483" t="s">
        <v>1061</v>
      </c>
      <c r="D292" t="str">
        <f t="shared" si="50"/>
        <v>OK</v>
      </c>
      <c r="E292" s="2050">
        <v>0</v>
      </c>
      <c r="F292" s="649">
        <v>0</v>
      </c>
      <c r="G292" s="649">
        <v>0</v>
      </c>
      <c r="H292" s="649">
        <v>0</v>
      </c>
      <c r="I292" s="649">
        <v>0</v>
      </c>
      <c r="J292" s="649">
        <v>0</v>
      </c>
      <c r="K292" s="649">
        <v>0</v>
      </c>
      <c r="L292" s="649"/>
      <c r="M292" s="649">
        <v>0</v>
      </c>
      <c r="N292" s="649">
        <v>0</v>
      </c>
      <c r="O292" s="393">
        <v>0</v>
      </c>
      <c r="P292" s="649">
        <v>0</v>
      </c>
      <c r="Q292" s="649">
        <v>0</v>
      </c>
      <c r="R292" s="649">
        <v>0</v>
      </c>
      <c r="S292" s="649">
        <v>0</v>
      </c>
      <c r="T292" s="649">
        <v>0</v>
      </c>
      <c r="U292" s="649">
        <v>0</v>
      </c>
      <c r="V292" s="649">
        <v>0</v>
      </c>
      <c r="W292" s="649">
        <v>0</v>
      </c>
      <c r="X292" s="649">
        <v>0</v>
      </c>
      <c r="Y292" s="649">
        <v>0</v>
      </c>
      <c r="Z292" s="649">
        <v>0</v>
      </c>
      <c r="AA292" s="649">
        <v>0</v>
      </c>
      <c r="AB292" s="649">
        <v>0</v>
      </c>
      <c r="AC292" s="649">
        <v>0</v>
      </c>
      <c r="AD292" s="649">
        <v>0</v>
      </c>
      <c r="AE292" s="649">
        <v>0</v>
      </c>
      <c r="AF292" s="649">
        <v>0</v>
      </c>
      <c r="AG292" s="649">
        <v>0</v>
      </c>
    </row>
    <row r="293" spans="1:33" x14ac:dyDescent="0.2">
      <c r="A293">
        <v>8</v>
      </c>
      <c r="B293" s="483" t="s">
        <v>1062</v>
      </c>
      <c r="D293" t="str">
        <f t="shared" si="50"/>
        <v>OK</v>
      </c>
      <c r="E293" s="2050">
        <v>0</v>
      </c>
      <c r="F293" s="649">
        <v>0</v>
      </c>
      <c r="G293" s="649">
        <v>0</v>
      </c>
      <c r="H293" s="649">
        <v>0</v>
      </c>
      <c r="I293" s="649">
        <v>0</v>
      </c>
      <c r="J293" s="649">
        <v>0</v>
      </c>
      <c r="K293" s="649">
        <v>0</v>
      </c>
      <c r="L293" s="649"/>
      <c r="M293" s="649">
        <v>0</v>
      </c>
      <c r="N293" s="649">
        <v>0</v>
      </c>
      <c r="O293" s="393">
        <v>630190.80000000005</v>
      </c>
      <c r="P293" s="649">
        <v>13703500.93</v>
      </c>
      <c r="Q293" s="649">
        <v>10378417.689999999</v>
      </c>
      <c r="R293" s="649">
        <v>4162938.45</v>
      </c>
      <c r="S293" s="649">
        <v>3720680.74</v>
      </c>
      <c r="T293" s="649">
        <v>32961.910000000003</v>
      </c>
      <c r="U293" s="649">
        <v>755612.91</v>
      </c>
      <c r="V293" s="649">
        <v>4440021.5199999996</v>
      </c>
      <c r="W293" s="649">
        <v>2278916.08</v>
      </c>
      <c r="X293" s="649">
        <v>732706.68</v>
      </c>
      <c r="Y293" s="649">
        <v>609066.34</v>
      </c>
      <c r="Z293" s="649">
        <v>3459532.57</v>
      </c>
      <c r="AA293" s="649">
        <v>3212630</v>
      </c>
      <c r="AB293" s="649">
        <v>2145102</v>
      </c>
      <c r="AC293" s="649">
        <v>2492056.23</v>
      </c>
      <c r="AD293" s="649">
        <v>2694086.1</v>
      </c>
      <c r="AE293" s="649">
        <v>2166316</v>
      </c>
      <c r="AF293" s="649">
        <v>0</v>
      </c>
      <c r="AG293" s="649">
        <v>0</v>
      </c>
    </row>
    <row r="294" spans="1:33" x14ac:dyDescent="0.2">
      <c r="A294">
        <v>22</v>
      </c>
      <c r="B294" s="1192" t="s">
        <v>4604</v>
      </c>
      <c r="D294" t="str">
        <f t="shared" si="50"/>
        <v>OK</v>
      </c>
      <c r="E294" s="2050">
        <v>56450500.310000002</v>
      </c>
      <c r="F294" s="649">
        <v>0</v>
      </c>
      <c r="G294" s="649">
        <v>20287736.48</v>
      </c>
      <c r="H294" s="649">
        <v>0</v>
      </c>
      <c r="I294" s="649">
        <v>16917278.829999998</v>
      </c>
      <c r="J294" s="649">
        <v>12480501</v>
      </c>
      <c r="K294" s="649">
        <v>0</v>
      </c>
      <c r="L294" s="649"/>
      <c r="M294" s="649">
        <v>0</v>
      </c>
      <c r="N294" s="649">
        <v>6764984</v>
      </c>
      <c r="O294" s="393">
        <v>167846.64</v>
      </c>
      <c r="P294" s="1284">
        <v>70067272.230000004</v>
      </c>
      <c r="Q294" s="649">
        <v>51718686.380000003</v>
      </c>
      <c r="R294" s="649">
        <v>8535014.8499999996</v>
      </c>
      <c r="S294" s="649">
        <v>5953499.1500000004</v>
      </c>
      <c r="T294" s="649">
        <v>877344.57</v>
      </c>
      <c r="U294" s="649">
        <v>9528412.8200000003</v>
      </c>
      <c r="V294" s="649">
        <v>1697339.22</v>
      </c>
      <c r="W294" s="649">
        <v>3624667.35</v>
      </c>
      <c r="X294" s="649">
        <v>947055.55</v>
      </c>
      <c r="Y294" s="649">
        <v>101130667.08</v>
      </c>
      <c r="Z294" s="649">
        <v>6115760.2999999998</v>
      </c>
      <c r="AA294" s="649">
        <v>3895712.77</v>
      </c>
      <c r="AB294" s="649">
        <v>23298315.399999999</v>
      </c>
      <c r="AC294" s="649">
        <v>7643012.9800000004</v>
      </c>
      <c r="AD294" s="649">
        <v>5076547.58</v>
      </c>
      <c r="AE294" s="649">
        <v>533127.05000000005</v>
      </c>
      <c r="AF294" s="649">
        <v>18401067.199999999</v>
      </c>
      <c r="AG294" s="649">
        <v>0</v>
      </c>
    </row>
    <row r="295" spans="1:33" x14ac:dyDescent="0.2">
      <c r="A295">
        <v>23</v>
      </c>
      <c r="B295" s="1192" t="s">
        <v>4701</v>
      </c>
      <c r="D295" t="str">
        <f t="shared" si="50"/>
        <v>OK</v>
      </c>
      <c r="E295" s="2050">
        <v>0</v>
      </c>
      <c r="F295" s="649">
        <v>0</v>
      </c>
      <c r="G295" s="649">
        <v>0</v>
      </c>
      <c r="H295" s="649">
        <v>0</v>
      </c>
      <c r="I295" s="649">
        <v>0</v>
      </c>
      <c r="J295" s="649">
        <v>0</v>
      </c>
      <c r="K295" s="649">
        <v>0</v>
      </c>
      <c r="L295" s="649"/>
      <c r="M295" s="649">
        <v>0</v>
      </c>
      <c r="N295" s="649">
        <v>0</v>
      </c>
      <c r="O295" s="393">
        <v>0</v>
      </c>
      <c r="P295" s="1284">
        <v>60000000</v>
      </c>
      <c r="Q295" s="649">
        <v>33417510</v>
      </c>
      <c r="R295" s="649">
        <v>28821861.149999999</v>
      </c>
      <c r="S295" s="649">
        <v>0</v>
      </c>
      <c r="T295" s="649">
        <v>0</v>
      </c>
      <c r="U295" s="649">
        <v>22806000</v>
      </c>
      <c r="V295" s="649">
        <v>18975000</v>
      </c>
      <c r="W295" s="649">
        <v>0</v>
      </c>
      <c r="X295" s="649">
        <v>0</v>
      </c>
      <c r="Y295" s="649">
        <v>18350000</v>
      </c>
      <c r="Z295" s="649">
        <v>18011834.879999999</v>
      </c>
      <c r="AA295" s="649">
        <v>0</v>
      </c>
      <c r="AB295" s="649">
        <v>0</v>
      </c>
      <c r="AC295" s="649">
        <v>0</v>
      </c>
      <c r="AD295" s="649">
        <v>0</v>
      </c>
      <c r="AE295" s="649">
        <v>0</v>
      </c>
      <c r="AF295" s="649">
        <v>0</v>
      </c>
      <c r="AG295" s="649">
        <v>0</v>
      </c>
    </row>
    <row r="296" spans="1:33" x14ac:dyDescent="0.2">
      <c r="A296">
        <v>10</v>
      </c>
      <c r="B296" s="1192" t="s">
        <v>5491</v>
      </c>
      <c r="D296" t="str">
        <f t="shared" si="50"/>
        <v>OK</v>
      </c>
      <c r="E296" s="2050">
        <v>1323760.3799999999</v>
      </c>
      <c r="F296" s="649">
        <v>0</v>
      </c>
      <c r="G296" s="649">
        <v>0</v>
      </c>
      <c r="H296" s="649">
        <v>0</v>
      </c>
      <c r="I296" s="649">
        <v>721788.73</v>
      </c>
      <c r="J296" s="649">
        <v>0</v>
      </c>
      <c r="K296" s="649">
        <v>0</v>
      </c>
      <c r="L296" s="649"/>
      <c r="M296" s="649">
        <v>0</v>
      </c>
      <c r="N296" s="649">
        <v>601971.65</v>
      </c>
      <c r="O296" s="393">
        <v>0</v>
      </c>
      <c r="P296" s="1284">
        <v>456449.89</v>
      </c>
      <c r="Q296" s="649">
        <v>434003.99</v>
      </c>
      <c r="R296" s="649">
        <v>0</v>
      </c>
      <c r="S296" s="649">
        <v>0</v>
      </c>
      <c r="T296" s="649">
        <v>0</v>
      </c>
      <c r="U296" s="649">
        <v>793885.1</v>
      </c>
      <c r="V296" s="649">
        <v>1070428.1599999999</v>
      </c>
      <c r="W296" s="649">
        <v>0</v>
      </c>
      <c r="X296" s="649">
        <v>1539231.54</v>
      </c>
      <c r="Y296" s="649">
        <v>0</v>
      </c>
      <c r="Z296" s="649">
        <v>242334</v>
      </c>
      <c r="AA296" s="649">
        <v>34000000</v>
      </c>
      <c r="AB296" s="649">
        <v>0</v>
      </c>
      <c r="AC296" s="649">
        <v>902749.9</v>
      </c>
      <c r="AD296" s="649">
        <v>93121.72</v>
      </c>
      <c r="AE296" s="649">
        <v>0</v>
      </c>
      <c r="AF296" s="649">
        <v>0</v>
      </c>
      <c r="AG296" s="649">
        <v>0</v>
      </c>
    </row>
    <row r="297" spans="1:33" x14ac:dyDescent="0.2">
      <c r="A297">
        <v>11</v>
      </c>
      <c r="B297" s="483" t="s">
        <v>93</v>
      </c>
      <c r="D297" t="str">
        <f t="shared" si="50"/>
        <v>OK</v>
      </c>
      <c r="E297" s="2050">
        <v>1912725</v>
      </c>
      <c r="F297" s="649">
        <v>0</v>
      </c>
      <c r="G297" s="649">
        <v>0</v>
      </c>
      <c r="H297" s="649">
        <v>0</v>
      </c>
      <c r="I297" s="649">
        <v>0</v>
      </c>
      <c r="J297" s="649">
        <v>0</v>
      </c>
      <c r="K297" s="649">
        <v>0</v>
      </c>
      <c r="L297" s="649"/>
      <c r="M297" s="649">
        <v>0</v>
      </c>
      <c r="N297" s="649">
        <v>1912725</v>
      </c>
      <c r="O297" s="393">
        <v>0</v>
      </c>
      <c r="P297" s="1284">
        <v>51852856.200000003</v>
      </c>
      <c r="Q297" s="649">
        <v>0</v>
      </c>
      <c r="R297" s="649">
        <v>4908452.5599999996</v>
      </c>
      <c r="S297" s="649">
        <v>0</v>
      </c>
      <c r="T297" s="649">
        <v>0</v>
      </c>
      <c r="U297" s="649">
        <v>0</v>
      </c>
      <c r="V297" s="649">
        <v>0</v>
      </c>
      <c r="W297" s="649">
        <v>0</v>
      </c>
      <c r="X297" s="649">
        <v>0</v>
      </c>
      <c r="Y297" s="649">
        <v>0</v>
      </c>
      <c r="Z297" s="649">
        <v>0</v>
      </c>
      <c r="AA297" s="649">
        <v>0</v>
      </c>
      <c r="AB297" s="649">
        <v>0</v>
      </c>
      <c r="AC297" s="649">
        <v>0</v>
      </c>
      <c r="AD297" s="649">
        <v>0</v>
      </c>
      <c r="AE297" s="649">
        <v>0</v>
      </c>
      <c r="AF297" s="649">
        <v>0</v>
      </c>
      <c r="AG297" s="649">
        <v>0</v>
      </c>
    </row>
    <row r="298" spans="1:33" x14ac:dyDescent="0.2">
      <c r="A298">
        <v>12</v>
      </c>
      <c r="B298" s="483" t="s">
        <v>1456</v>
      </c>
      <c r="D298" t="str">
        <f t="shared" si="50"/>
        <v>OK</v>
      </c>
      <c r="E298" s="2050">
        <v>0</v>
      </c>
      <c r="F298" s="649">
        <v>0</v>
      </c>
      <c r="G298" s="649">
        <v>0</v>
      </c>
      <c r="H298" s="649">
        <v>0</v>
      </c>
      <c r="I298" s="649">
        <v>0</v>
      </c>
      <c r="J298" s="649">
        <v>0</v>
      </c>
      <c r="K298" s="649">
        <v>0</v>
      </c>
      <c r="L298" s="649"/>
      <c r="M298" s="649">
        <v>0</v>
      </c>
      <c r="N298" s="649">
        <v>0</v>
      </c>
      <c r="O298" s="393">
        <v>0</v>
      </c>
      <c r="P298" s="649">
        <v>0</v>
      </c>
      <c r="Q298" s="649">
        <v>0</v>
      </c>
      <c r="R298" s="649">
        <v>0</v>
      </c>
      <c r="S298" s="649">
        <v>0</v>
      </c>
      <c r="T298" s="649">
        <v>0</v>
      </c>
      <c r="U298" s="649">
        <v>0</v>
      </c>
      <c r="V298" s="649">
        <v>0</v>
      </c>
      <c r="W298" s="649">
        <v>0</v>
      </c>
      <c r="X298" s="649">
        <v>0</v>
      </c>
      <c r="Y298" s="649">
        <v>0</v>
      </c>
      <c r="Z298" s="649">
        <v>0</v>
      </c>
      <c r="AA298" s="649">
        <v>0</v>
      </c>
      <c r="AB298" s="649">
        <v>0</v>
      </c>
      <c r="AC298" s="649">
        <v>0</v>
      </c>
      <c r="AD298" s="649">
        <v>0</v>
      </c>
      <c r="AE298" s="649">
        <v>0</v>
      </c>
      <c r="AF298" s="649">
        <v>0</v>
      </c>
      <c r="AG298" s="649">
        <v>0</v>
      </c>
    </row>
    <row r="299" spans="1:33" x14ac:dyDescent="0.2">
      <c r="A299">
        <v>13</v>
      </c>
      <c r="B299" s="483" t="s">
        <v>1226</v>
      </c>
      <c r="D299" t="str">
        <f t="shared" si="50"/>
        <v>OK</v>
      </c>
      <c r="E299" s="2050">
        <v>0</v>
      </c>
      <c r="F299" s="649">
        <v>0</v>
      </c>
      <c r="G299" s="649">
        <v>0</v>
      </c>
      <c r="H299" s="649">
        <v>0</v>
      </c>
      <c r="I299" s="649">
        <v>0</v>
      </c>
      <c r="J299" s="649">
        <v>0</v>
      </c>
      <c r="K299" s="649">
        <v>0</v>
      </c>
      <c r="L299" s="649"/>
      <c r="M299" s="649">
        <v>0</v>
      </c>
      <c r="N299" s="649">
        <v>0</v>
      </c>
      <c r="O299" s="393">
        <v>0</v>
      </c>
      <c r="P299" s="649">
        <v>0</v>
      </c>
      <c r="Q299" s="649">
        <v>4291044.4800000004</v>
      </c>
      <c r="R299" s="649">
        <v>0</v>
      </c>
      <c r="S299" s="649">
        <v>0</v>
      </c>
      <c r="T299" s="649">
        <v>0</v>
      </c>
      <c r="U299" s="649">
        <v>0</v>
      </c>
      <c r="V299" s="649">
        <v>0</v>
      </c>
      <c r="W299" s="649">
        <v>0</v>
      </c>
      <c r="X299" s="649">
        <v>0</v>
      </c>
      <c r="Y299" s="649">
        <v>0</v>
      </c>
      <c r="Z299" s="649">
        <v>0</v>
      </c>
      <c r="AA299" s="649">
        <v>0</v>
      </c>
      <c r="AB299" s="649">
        <v>0</v>
      </c>
      <c r="AC299" s="649">
        <v>630000</v>
      </c>
      <c r="AD299" s="649">
        <v>0</v>
      </c>
      <c r="AE299" s="649">
        <v>0</v>
      </c>
      <c r="AF299" s="649">
        <v>0</v>
      </c>
      <c r="AG299" s="649">
        <v>0</v>
      </c>
    </row>
    <row r="300" spans="1:33" x14ac:dyDescent="0.2">
      <c r="A300">
        <v>25</v>
      </c>
      <c r="B300" s="1192" t="s">
        <v>4602</v>
      </c>
      <c r="D300" t="str">
        <f t="shared" si="50"/>
        <v>OK</v>
      </c>
      <c r="E300" s="2050">
        <v>0</v>
      </c>
      <c r="F300" s="649">
        <v>0</v>
      </c>
      <c r="G300" s="649">
        <v>0</v>
      </c>
      <c r="H300" s="649">
        <v>0</v>
      </c>
      <c r="I300" s="649">
        <v>0</v>
      </c>
      <c r="J300" s="649">
        <v>0</v>
      </c>
      <c r="K300" s="649">
        <v>0</v>
      </c>
      <c r="L300" s="649"/>
      <c r="M300" s="649">
        <v>0</v>
      </c>
      <c r="N300" s="649">
        <v>0</v>
      </c>
      <c r="O300" s="393">
        <v>0</v>
      </c>
      <c r="P300" s="649">
        <v>0</v>
      </c>
      <c r="Q300" s="649">
        <v>14338276</v>
      </c>
      <c r="R300" s="649">
        <v>0</v>
      </c>
      <c r="S300" s="649">
        <v>0</v>
      </c>
      <c r="T300" s="649">
        <v>0</v>
      </c>
      <c r="U300" s="649">
        <v>0</v>
      </c>
      <c r="V300" s="649">
        <v>0</v>
      </c>
      <c r="W300" s="649">
        <v>0</v>
      </c>
      <c r="X300" s="649">
        <v>0</v>
      </c>
      <c r="Y300" s="649">
        <v>0</v>
      </c>
      <c r="Z300" s="649">
        <v>0</v>
      </c>
      <c r="AA300" s="649">
        <v>0</v>
      </c>
      <c r="AB300" s="649">
        <v>0</v>
      </c>
      <c r="AC300" s="649">
        <v>0</v>
      </c>
      <c r="AD300" s="649">
        <v>0</v>
      </c>
      <c r="AE300" s="649">
        <v>0</v>
      </c>
      <c r="AF300" s="649">
        <v>0</v>
      </c>
      <c r="AG300" s="649">
        <v>0</v>
      </c>
    </row>
    <row r="301" spans="1:33" x14ac:dyDescent="0.2">
      <c r="A301">
        <v>14</v>
      </c>
      <c r="B301" s="483" t="s">
        <v>80</v>
      </c>
      <c r="D301" t="str">
        <f>IF(SUM(F301:N301)=E301,"OK","prob")</f>
        <v>OK</v>
      </c>
      <c r="E301" s="2050">
        <v>108122314.73999999</v>
      </c>
      <c r="F301" s="649">
        <v>51340052.789999999</v>
      </c>
      <c r="G301" s="649">
        <v>25697773.02</v>
      </c>
      <c r="H301" s="649">
        <v>0</v>
      </c>
      <c r="I301" s="649">
        <v>23157723.59</v>
      </c>
      <c r="J301" s="649">
        <v>581807.69999999995</v>
      </c>
      <c r="K301" s="649">
        <v>4934405</v>
      </c>
      <c r="L301" s="649"/>
      <c r="M301" s="649">
        <v>0</v>
      </c>
      <c r="N301" s="649">
        <v>2410552.64</v>
      </c>
      <c r="O301" s="393">
        <v>5583720.21</v>
      </c>
      <c r="P301" s="1284">
        <v>204328051.94</v>
      </c>
      <c r="Q301" s="649">
        <v>84969060.950000003</v>
      </c>
      <c r="R301" s="649">
        <v>16311054.16</v>
      </c>
      <c r="S301" s="649">
        <v>22580311.420000002</v>
      </c>
      <c r="T301" s="649">
        <v>3629427</v>
      </c>
      <c r="U301" s="649">
        <v>12835355.640000001</v>
      </c>
      <c r="V301" s="649">
        <v>30922659.879999999</v>
      </c>
      <c r="W301" s="649">
        <v>12230539</v>
      </c>
      <c r="X301" s="649">
        <v>6415214</v>
      </c>
      <c r="Y301" s="649">
        <v>16627020.689999999</v>
      </c>
      <c r="Z301" s="649">
        <v>4356082.13</v>
      </c>
      <c r="AA301" s="649">
        <v>5198455</v>
      </c>
      <c r="AB301" s="649">
        <v>2144806</v>
      </c>
      <c r="AC301" s="649">
        <v>4567812</v>
      </c>
      <c r="AD301" s="649">
        <v>7589556</v>
      </c>
      <c r="AE301" s="649">
        <v>2854763.94</v>
      </c>
      <c r="AF301" s="649">
        <v>0</v>
      </c>
      <c r="AG301" s="649">
        <v>170354.81</v>
      </c>
    </row>
    <row r="302" spans="1:33" x14ac:dyDescent="0.2">
      <c r="A302">
        <v>15</v>
      </c>
      <c r="B302" s="1192" t="s">
        <v>3849</v>
      </c>
      <c r="D302" t="str">
        <f t="shared" si="50"/>
        <v>OK</v>
      </c>
      <c r="E302" s="2050">
        <v>575846528</v>
      </c>
      <c r="F302" s="649">
        <v>369100873.98000002</v>
      </c>
      <c r="G302" s="649">
        <v>89076241.019999996</v>
      </c>
      <c r="H302" s="649">
        <v>0</v>
      </c>
      <c r="I302" s="649">
        <v>117669413</v>
      </c>
      <c r="J302" s="649">
        <v>0</v>
      </c>
      <c r="K302" s="649">
        <v>0</v>
      </c>
      <c r="L302" s="649"/>
      <c r="M302" s="649">
        <v>0</v>
      </c>
      <c r="N302" s="649">
        <v>0</v>
      </c>
      <c r="O302" s="393">
        <v>12629311</v>
      </c>
      <c r="P302" s="649">
        <v>379561977</v>
      </c>
      <c r="Q302" s="649">
        <v>274052313</v>
      </c>
      <c r="R302" s="649">
        <v>64088953</v>
      </c>
      <c r="S302" s="649">
        <v>90047124</v>
      </c>
      <c r="T302" s="649">
        <v>13697360</v>
      </c>
      <c r="U302" s="649">
        <v>50369845</v>
      </c>
      <c r="V302" s="649">
        <v>165192312</v>
      </c>
      <c r="W302" s="649">
        <v>51308617</v>
      </c>
      <c r="X302" s="649">
        <v>40332122</v>
      </c>
      <c r="Y302" s="649">
        <v>82318270</v>
      </c>
      <c r="Z302" s="649">
        <v>24475710</v>
      </c>
      <c r="AA302" s="649">
        <v>23355708</v>
      </c>
      <c r="AB302" s="649">
        <v>12265643</v>
      </c>
      <c r="AC302" s="649">
        <v>23795493</v>
      </c>
      <c r="AD302" s="649">
        <v>41244313</v>
      </c>
      <c r="AE302" s="649">
        <v>11027239</v>
      </c>
      <c r="AF302" s="649">
        <v>0</v>
      </c>
      <c r="AG302" s="649">
        <v>862203</v>
      </c>
    </row>
    <row r="303" spans="1:33" x14ac:dyDescent="0.2">
      <c r="A303">
        <v>21</v>
      </c>
      <c r="B303" s="1192" t="s">
        <v>4437</v>
      </c>
      <c r="D303" t="str">
        <f t="shared" si="50"/>
        <v>OK</v>
      </c>
      <c r="E303" s="2050">
        <v>1216059289.49</v>
      </c>
      <c r="F303" s="649">
        <v>968217608.19000006</v>
      </c>
      <c r="G303" s="649">
        <v>247841681.30000001</v>
      </c>
      <c r="H303" s="649">
        <v>0</v>
      </c>
      <c r="I303" s="649">
        <v>0</v>
      </c>
      <c r="J303" s="649">
        <v>0</v>
      </c>
      <c r="K303" s="649">
        <v>0</v>
      </c>
      <c r="L303" s="649"/>
      <c r="M303" s="649">
        <v>0</v>
      </c>
      <c r="N303" s="649">
        <v>0</v>
      </c>
      <c r="O303" s="393">
        <v>46018292</v>
      </c>
      <c r="P303" s="649">
        <v>1930637269</v>
      </c>
      <c r="Q303" s="649">
        <v>1082941007</v>
      </c>
      <c r="R303" s="649">
        <v>283448805</v>
      </c>
      <c r="S303" s="649">
        <v>429421307</v>
      </c>
      <c r="T303" s="649">
        <v>66832603</v>
      </c>
      <c r="U303" s="649">
        <v>227540712</v>
      </c>
      <c r="V303" s="649">
        <v>673169944</v>
      </c>
      <c r="W303" s="649">
        <v>163896722</v>
      </c>
      <c r="X303" s="649">
        <v>161140228</v>
      </c>
      <c r="Y303" s="649">
        <v>287920246</v>
      </c>
      <c r="Z303" s="649">
        <v>87509234.780000001</v>
      </c>
      <c r="AA303" s="649">
        <v>77442729</v>
      </c>
      <c r="AB303" s="649">
        <v>31959258</v>
      </c>
      <c r="AC303" s="649">
        <v>75040414</v>
      </c>
      <c r="AD303" s="649">
        <v>120303852</v>
      </c>
      <c r="AE303" s="649">
        <v>42781867</v>
      </c>
      <c r="AF303" s="649">
        <v>0</v>
      </c>
      <c r="AG303" s="649">
        <v>2054345</v>
      </c>
    </row>
    <row r="304" spans="1:33" x14ac:dyDescent="0.2">
      <c r="A304">
        <v>16</v>
      </c>
      <c r="B304" s="483" t="s">
        <v>1424</v>
      </c>
      <c r="D304" t="str">
        <f t="shared" si="50"/>
        <v>OK</v>
      </c>
      <c r="E304" s="2050">
        <v>22630917</v>
      </c>
      <c r="F304" s="649">
        <v>0</v>
      </c>
      <c r="G304" s="649">
        <v>0</v>
      </c>
      <c r="H304" s="649">
        <v>22630917</v>
      </c>
      <c r="I304" s="649">
        <v>0</v>
      </c>
      <c r="J304" s="649">
        <v>0</v>
      </c>
      <c r="K304" s="649">
        <v>0</v>
      </c>
      <c r="L304" s="649"/>
      <c r="M304" s="649">
        <v>0</v>
      </c>
      <c r="N304" s="649">
        <v>0</v>
      </c>
      <c r="O304" s="393">
        <v>0</v>
      </c>
      <c r="P304" s="649">
        <v>0</v>
      </c>
      <c r="Q304" s="649">
        <v>0</v>
      </c>
      <c r="R304" s="649">
        <v>0</v>
      </c>
      <c r="S304" s="649">
        <v>0</v>
      </c>
      <c r="T304" s="649">
        <v>0</v>
      </c>
      <c r="U304" s="649">
        <v>0</v>
      </c>
      <c r="V304" s="649">
        <v>0</v>
      </c>
      <c r="W304" s="649">
        <v>0</v>
      </c>
      <c r="X304" s="649">
        <v>0</v>
      </c>
      <c r="Y304" s="649">
        <v>0</v>
      </c>
      <c r="Z304" s="649">
        <v>0</v>
      </c>
      <c r="AA304" s="649">
        <v>0</v>
      </c>
      <c r="AB304" s="649">
        <v>0</v>
      </c>
      <c r="AC304" s="649">
        <v>0</v>
      </c>
      <c r="AD304" s="649">
        <v>0</v>
      </c>
      <c r="AE304" s="649">
        <v>0</v>
      </c>
      <c r="AF304" s="649">
        <v>0</v>
      </c>
      <c r="AG304" s="649">
        <v>0</v>
      </c>
    </row>
    <row r="305" spans="1:33" x14ac:dyDescent="0.2">
      <c r="A305">
        <v>17</v>
      </c>
      <c r="B305" s="1192" t="s">
        <v>1716</v>
      </c>
      <c r="D305" t="str">
        <f t="shared" si="50"/>
        <v>OK</v>
      </c>
      <c r="E305" s="2088">
        <v>0</v>
      </c>
      <c r="F305" s="651">
        <v>0</v>
      </c>
      <c r="G305" s="651">
        <v>0</v>
      </c>
      <c r="H305" s="651">
        <v>0</v>
      </c>
      <c r="I305" s="651">
        <v>0</v>
      </c>
      <c r="J305" s="651">
        <v>0</v>
      </c>
      <c r="K305" s="651">
        <v>0</v>
      </c>
      <c r="L305" s="651"/>
      <c r="M305" s="651">
        <v>0</v>
      </c>
      <c r="N305" s="651">
        <v>0</v>
      </c>
      <c r="O305" s="843">
        <v>0</v>
      </c>
      <c r="P305" s="651">
        <v>0</v>
      </c>
      <c r="Q305" s="651">
        <v>0</v>
      </c>
      <c r="R305" s="651">
        <v>0</v>
      </c>
      <c r="S305" s="651">
        <v>0</v>
      </c>
      <c r="T305" s="651">
        <v>0</v>
      </c>
      <c r="U305" s="651">
        <v>0</v>
      </c>
      <c r="V305" s="651">
        <v>0</v>
      </c>
      <c r="W305" s="651">
        <v>0</v>
      </c>
      <c r="X305" s="651">
        <v>0</v>
      </c>
      <c r="Y305" s="651">
        <v>0</v>
      </c>
      <c r="Z305" s="651">
        <v>0</v>
      </c>
      <c r="AA305" s="651">
        <v>0</v>
      </c>
      <c r="AB305" s="651">
        <v>0</v>
      </c>
      <c r="AC305" s="651">
        <v>0</v>
      </c>
      <c r="AD305" s="651">
        <v>0</v>
      </c>
      <c r="AE305" s="651">
        <v>0</v>
      </c>
      <c r="AF305" s="651">
        <v>0</v>
      </c>
      <c r="AG305" s="651">
        <v>0</v>
      </c>
    </row>
    <row r="306" spans="1:33" x14ac:dyDescent="0.2">
      <c r="B306" s="1192" t="s">
        <v>1827</v>
      </c>
      <c r="D306" t="str">
        <f>IF(SUM(F306:N306)=E306,"OK","prob")</f>
        <v>OK</v>
      </c>
      <c r="E306" s="651">
        <f t="shared" ref="E306:AG306" si="51">SUM(E287:E305)</f>
        <v>2904451805.9200001</v>
      </c>
      <c r="F306" s="651">
        <f t="shared" si="51"/>
        <v>1864121873.8099999</v>
      </c>
      <c r="G306" s="651">
        <f t="shared" si="51"/>
        <v>382903431.81999999</v>
      </c>
      <c r="H306" s="651">
        <f t="shared" si="51"/>
        <v>22630917</v>
      </c>
      <c r="I306" s="651">
        <f t="shared" si="51"/>
        <v>605108636.29999995</v>
      </c>
      <c r="J306" s="651">
        <f t="shared" si="51"/>
        <v>13062308.699999999</v>
      </c>
      <c r="K306" s="651">
        <f t="shared" si="51"/>
        <v>4934405</v>
      </c>
      <c r="L306" s="651">
        <f t="shared" si="51"/>
        <v>0</v>
      </c>
      <c r="M306" s="651">
        <f t="shared" si="51"/>
        <v>0</v>
      </c>
      <c r="N306" s="651">
        <f t="shared" si="51"/>
        <v>11690233.289999999</v>
      </c>
      <c r="O306" s="843">
        <f t="shared" si="51"/>
        <v>65029360.649999999</v>
      </c>
      <c r="P306" s="651">
        <f t="shared" si="51"/>
        <v>3986430523.9299998</v>
      </c>
      <c r="Q306" s="651">
        <f t="shared" si="51"/>
        <v>2055521622.29</v>
      </c>
      <c r="R306" s="651">
        <f t="shared" si="51"/>
        <v>676864205.04999995</v>
      </c>
      <c r="S306" s="651">
        <f t="shared" si="51"/>
        <v>1131217784.6199999</v>
      </c>
      <c r="T306" s="651">
        <f t="shared" si="51"/>
        <v>165601420.28999999</v>
      </c>
      <c r="U306" s="651">
        <f t="shared" si="51"/>
        <v>518880143.00999999</v>
      </c>
      <c r="V306" s="651">
        <f t="shared" si="51"/>
        <v>1257448482.4400001</v>
      </c>
      <c r="W306" s="651">
        <f t="shared" si="51"/>
        <v>328228504.87</v>
      </c>
      <c r="X306" s="651">
        <f t="shared" si="51"/>
        <v>475370949.25</v>
      </c>
      <c r="Y306" s="651">
        <f t="shared" si="51"/>
        <v>753462324.75</v>
      </c>
      <c r="Z306" s="651">
        <f t="shared" si="51"/>
        <v>173717607.30000001</v>
      </c>
      <c r="AA306" s="651">
        <f t="shared" si="51"/>
        <v>201615178.31999999</v>
      </c>
      <c r="AB306" s="651">
        <f t="shared" si="51"/>
        <v>87720950.519999996</v>
      </c>
      <c r="AC306" s="651">
        <f t="shared" si="51"/>
        <v>162434960.37</v>
      </c>
      <c r="AD306" s="651">
        <f t="shared" si="51"/>
        <v>289535390.98000002</v>
      </c>
      <c r="AE306" s="651">
        <f t="shared" si="51"/>
        <v>108286334.3</v>
      </c>
      <c r="AF306" s="651">
        <f t="shared" si="51"/>
        <v>18401067.199999999</v>
      </c>
      <c r="AG306" s="651">
        <f t="shared" si="51"/>
        <v>3086902.81</v>
      </c>
    </row>
    <row r="307" spans="1:33" x14ac:dyDescent="0.2">
      <c r="E307" s="649"/>
      <c r="F307" s="649"/>
      <c r="O307" s="393"/>
      <c r="P307" s="649"/>
    </row>
    <row r="308" spans="1:33" x14ac:dyDescent="0.2">
      <c r="B308" s="272"/>
      <c r="E308" s="649"/>
      <c r="F308" s="649"/>
      <c r="O308" s="393"/>
      <c r="P308" s="649"/>
    </row>
    <row r="309" spans="1:33" x14ac:dyDescent="0.2">
      <c r="B309" s="272" t="s">
        <v>1916</v>
      </c>
      <c r="E309" s="805" t="str">
        <f t="shared" ref="E309:AG309" si="52">IF(ROUND(SUM(E287:E291,E295)-SUM(E121+E146),2)=0,"OK","Out of bal")</f>
        <v>OK</v>
      </c>
      <c r="F309" s="805" t="str">
        <f t="shared" si="52"/>
        <v>OK</v>
      </c>
      <c r="G309" s="805" t="str">
        <f t="shared" si="52"/>
        <v>OK</v>
      </c>
      <c r="H309" s="805" t="str">
        <f t="shared" si="52"/>
        <v>OK</v>
      </c>
      <c r="I309" s="805" t="str">
        <f t="shared" si="52"/>
        <v>OK</v>
      </c>
      <c r="J309" s="805" t="str">
        <f t="shared" si="52"/>
        <v>OK</v>
      </c>
      <c r="K309" s="805" t="str">
        <f t="shared" si="52"/>
        <v>OK</v>
      </c>
      <c r="L309" s="805" t="str">
        <f t="shared" si="52"/>
        <v>OK</v>
      </c>
      <c r="M309" s="805" t="str">
        <f t="shared" si="52"/>
        <v>OK</v>
      </c>
      <c r="N309" s="805" t="str">
        <f t="shared" si="52"/>
        <v>OK</v>
      </c>
      <c r="O309" s="805" t="str">
        <f t="shared" si="52"/>
        <v>OK</v>
      </c>
      <c r="P309" s="805" t="str">
        <f t="shared" si="52"/>
        <v>OK</v>
      </c>
      <c r="Q309" s="805" t="str">
        <f t="shared" si="52"/>
        <v>OK</v>
      </c>
      <c r="R309" s="805" t="str">
        <f t="shared" si="52"/>
        <v>OK</v>
      </c>
      <c r="S309" s="805" t="str">
        <f t="shared" si="52"/>
        <v>OK</v>
      </c>
      <c r="T309" s="805" t="str">
        <f t="shared" si="52"/>
        <v>OK</v>
      </c>
      <c r="U309" s="805" t="str">
        <f t="shared" si="52"/>
        <v>OK</v>
      </c>
      <c r="V309" s="805" t="str">
        <f t="shared" si="52"/>
        <v>OK</v>
      </c>
      <c r="W309" s="805" t="str">
        <f t="shared" si="52"/>
        <v>OK</v>
      </c>
      <c r="X309" s="805" t="str">
        <f t="shared" si="52"/>
        <v>OK</v>
      </c>
      <c r="Y309" s="805" t="str">
        <f t="shared" si="52"/>
        <v>OK</v>
      </c>
      <c r="Z309" s="805" t="str">
        <f t="shared" si="52"/>
        <v>OK</v>
      </c>
      <c r="AA309" s="805" t="str">
        <f t="shared" si="52"/>
        <v>OK</v>
      </c>
      <c r="AB309" s="805" t="str">
        <f t="shared" si="52"/>
        <v>OK</v>
      </c>
      <c r="AC309" s="805" t="str">
        <f t="shared" si="52"/>
        <v>OK</v>
      </c>
      <c r="AD309" s="805" t="str">
        <f t="shared" si="52"/>
        <v>OK</v>
      </c>
      <c r="AE309" s="805" t="str">
        <f t="shared" si="52"/>
        <v>OK</v>
      </c>
      <c r="AF309" s="805" t="str">
        <f t="shared" si="52"/>
        <v>OK</v>
      </c>
      <c r="AG309" s="805" t="str">
        <f t="shared" si="52"/>
        <v>OK</v>
      </c>
    </row>
    <row r="310" spans="1:33" x14ac:dyDescent="0.2">
      <c r="B310" s="272" t="s">
        <v>4063</v>
      </c>
      <c r="E310" s="805" t="str">
        <f t="shared" ref="E310:AG310" si="53">IF(ROUND(SUM(E292:E294,E296:E305)-SUM(E119:E120)-SUM(E122:E131)-SUM(E144:E145)-SUM(E147:E156),2)=0,"OK","Out of bal")</f>
        <v>OK</v>
      </c>
      <c r="F310" s="805" t="str">
        <f t="shared" si="53"/>
        <v>OK</v>
      </c>
      <c r="G310" s="805" t="str">
        <f t="shared" si="53"/>
        <v>OK</v>
      </c>
      <c r="H310" s="805" t="str">
        <f t="shared" si="53"/>
        <v>OK</v>
      </c>
      <c r="I310" s="805" t="str">
        <f t="shared" si="53"/>
        <v>OK</v>
      </c>
      <c r="J310" s="805" t="str">
        <f t="shared" si="53"/>
        <v>OK</v>
      </c>
      <c r="K310" s="805" t="str">
        <f t="shared" si="53"/>
        <v>OK</v>
      </c>
      <c r="L310" s="805" t="str">
        <f t="shared" si="53"/>
        <v>OK</v>
      </c>
      <c r="M310" s="805" t="str">
        <f t="shared" si="53"/>
        <v>OK</v>
      </c>
      <c r="N310" s="805" t="str">
        <f t="shared" si="53"/>
        <v>OK</v>
      </c>
      <c r="O310" s="805" t="str">
        <f t="shared" si="53"/>
        <v>OK</v>
      </c>
      <c r="P310" s="805" t="str">
        <f t="shared" si="53"/>
        <v>OK</v>
      </c>
      <c r="Q310" s="805" t="str">
        <f t="shared" si="53"/>
        <v>OK</v>
      </c>
      <c r="R310" s="805" t="str">
        <f t="shared" si="53"/>
        <v>OK</v>
      </c>
      <c r="S310" s="805" t="str">
        <f t="shared" si="53"/>
        <v>OK</v>
      </c>
      <c r="T310" s="805" t="str">
        <f t="shared" si="53"/>
        <v>OK</v>
      </c>
      <c r="U310" s="805" t="str">
        <f t="shared" si="53"/>
        <v>OK</v>
      </c>
      <c r="V310" s="805" t="str">
        <f t="shared" si="53"/>
        <v>OK</v>
      </c>
      <c r="W310" s="805" t="str">
        <f t="shared" si="53"/>
        <v>OK</v>
      </c>
      <c r="X310" s="805" t="str">
        <f t="shared" si="53"/>
        <v>OK</v>
      </c>
      <c r="Y310" s="805" t="str">
        <f t="shared" si="53"/>
        <v>OK</v>
      </c>
      <c r="Z310" s="805" t="str">
        <f t="shared" si="53"/>
        <v>OK</v>
      </c>
      <c r="AA310" s="805" t="str">
        <f t="shared" si="53"/>
        <v>OK</v>
      </c>
      <c r="AB310" s="805" t="str">
        <f t="shared" si="53"/>
        <v>OK</v>
      </c>
      <c r="AC310" s="805" t="str">
        <f t="shared" si="53"/>
        <v>OK</v>
      </c>
      <c r="AD310" s="805" t="str">
        <f t="shared" si="53"/>
        <v>OK</v>
      </c>
      <c r="AE310" s="805" t="str">
        <f t="shared" si="53"/>
        <v>OK</v>
      </c>
      <c r="AF310" s="805" t="str">
        <f t="shared" si="53"/>
        <v>OK</v>
      </c>
      <c r="AG310" s="805" t="str">
        <f t="shared" si="53"/>
        <v>OK</v>
      </c>
    </row>
    <row r="311" spans="1:33" x14ac:dyDescent="0.2">
      <c r="E311" s="805"/>
      <c r="F311" s="649"/>
      <c r="O311" s="1258"/>
      <c r="P311" s="805"/>
      <c r="Q311" s="805"/>
      <c r="R311" s="805"/>
      <c r="S311" s="805"/>
      <c r="T311" s="805"/>
      <c r="U311" s="805"/>
      <c r="V311" s="805"/>
      <c r="W311" s="805"/>
      <c r="X311" s="805"/>
      <c r="Y311" s="805"/>
      <c r="Z311" s="805"/>
      <c r="AA311" s="805"/>
      <c r="AB311" s="805"/>
      <c r="AC311" s="805"/>
      <c r="AD311" s="805"/>
      <c r="AE311" s="805"/>
      <c r="AF311" s="805"/>
      <c r="AG311" s="805"/>
    </row>
    <row r="312" spans="1:33" x14ac:dyDescent="0.2">
      <c r="B312" t="s">
        <v>1423</v>
      </c>
      <c r="E312" s="805"/>
      <c r="F312" s="649"/>
      <c r="O312" s="1258"/>
      <c r="P312" s="805"/>
      <c r="Q312" s="805"/>
      <c r="R312" s="805"/>
      <c r="S312" s="805"/>
      <c r="T312" s="805"/>
      <c r="U312" s="805"/>
      <c r="V312" s="805"/>
      <c r="W312" s="805"/>
      <c r="X312" s="805"/>
      <c r="Y312" s="805"/>
      <c r="Z312" s="805"/>
      <c r="AA312" s="805"/>
      <c r="AB312" s="805"/>
      <c r="AC312" s="805"/>
      <c r="AD312" s="805"/>
      <c r="AE312" s="805"/>
      <c r="AF312" s="805"/>
      <c r="AG312" s="805"/>
    </row>
    <row r="313" spans="1:33" x14ac:dyDescent="0.2">
      <c r="A313">
        <v>18</v>
      </c>
      <c r="B313" t="s">
        <v>4636</v>
      </c>
      <c r="D313" t="str">
        <f t="shared" ref="D313:D318" si="54">IF(SUM(F313:N313)-E313=0,"OK","prob")</f>
        <v>OK</v>
      </c>
      <c r="E313" s="649">
        <v>0</v>
      </c>
      <c r="F313" s="649">
        <v>0</v>
      </c>
      <c r="G313" s="649">
        <v>0</v>
      </c>
      <c r="H313" s="649">
        <v>0</v>
      </c>
      <c r="I313" s="649">
        <v>0</v>
      </c>
      <c r="J313" s="649">
        <v>0</v>
      </c>
      <c r="K313" s="649">
        <v>0</v>
      </c>
      <c r="L313" s="649"/>
      <c r="M313" s="649">
        <v>0</v>
      </c>
      <c r="N313" s="649">
        <v>0</v>
      </c>
      <c r="O313" s="393">
        <v>0</v>
      </c>
      <c r="P313" s="649">
        <v>0</v>
      </c>
      <c r="Q313" s="649">
        <v>0</v>
      </c>
      <c r="R313" s="649">
        <v>0</v>
      </c>
      <c r="S313" s="649">
        <v>0</v>
      </c>
      <c r="T313" s="649">
        <v>0</v>
      </c>
      <c r="U313" s="649">
        <v>0</v>
      </c>
      <c r="V313" s="649">
        <v>0</v>
      </c>
      <c r="W313" s="649">
        <v>0</v>
      </c>
      <c r="X313" s="649">
        <v>0</v>
      </c>
      <c r="Y313" s="649">
        <v>0</v>
      </c>
      <c r="Z313" s="649">
        <v>0</v>
      </c>
      <c r="AA313" s="649">
        <v>0</v>
      </c>
      <c r="AB313" s="649">
        <v>0</v>
      </c>
      <c r="AC313" s="649">
        <v>0</v>
      </c>
      <c r="AD313" s="649">
        <v>0</v>
      </c>
      <c r="AE313" s="649">
        <v>0</v>
      </c>
      <c r="AF313" s="649">
        <v>0</v>
      </c>
      <c r="AG313" s="649">
        <v>0</v>
      </c>
    </row>
    <row r="314" spans="1:33" x14ac:dyDescent="0.2">
      <c r="A314">
        <v>19</v>
      </c>
      <c r="B314" t="s">
        <v>4060</v>
      </c>
      <c r="D314" t="str">
        <f t="shared" si="54"/>
        <v>OK</v>
      </c>
      <c r="E314" s="649">
        <v>0</v>
      </c>
      <c r="F314" s="649">
        <v>0</v>
      </c>
      <c r="G314" s="649">
        <v>0</v>
      </c>
      <c r="H314" s="649">
        <v>0</v>
      </c>
      <c r="I314" s="649">
        <v>0</v>
      </c>
      <c r="J314" s="649">
        <v>0</v>
      </c>
      <c r="K314" s="649">
        <v>0</v>
      </c>
      <c r="L314" s="649"/>
      <c r="M314" s="649">
        <v>0</v>
      </c>
      <c r="N314" s="649">
        <v>0</v>
      </c>
      <c r="O314" s="393">
        <v>0</v>
      </c>
      <c r="P314" s="649">
        <v>0</v>
      </c>
      <c r="Q314" s="649">
        <v>0</v>
      </c>
      <c r="R314" s="649">
        <v>0</v>
      </c>
      <c r="S314" s="649">
        <v>0</v>
      </c>
      <c r="T314" s="649">
        <v>0</v>
      </c>
      <c r="U314" s="649">
        <v>0</v>
      </c>
      <c r="V314" s="649">
        <v>0</v>
      </c>
      <c r="W314" s="649">
        <v>0</v>
      </c>
      <c r="X314" s="649">
        <v>0</v>
      </c>
      <c r="Y314" s="649">
        <v>0</v>
      </c>
      <c r="Z314" s="649">
        <v>0</v>
      </c>
      <c r="AA314" s="649">
        <v>0</v>
      </c>
      <c r="AB314" s="649">
        <v>0</v>
      </c>
      <c r="AC314" s="649">
        <v>0</v>
      </c>
      <c r="AD314" s="649">
        <v>0</v>
      </c>
      <c r="AE314" s="649">
        <v>0</v>
      </c>
      <c r="AF314" s="649">
        <v>0</v>
      </c>
      <c r="AG314" s="649">
        <v>0</v>
      </c>
    </row>
    <row r="315" spans="1:33" x14ac:dyDescent="0.2">
      <c r="A315">
        <v>26</v>
      </c>
      <c r="B315" t="s">
        <v>4604</v>
      </c>
      <c r="D315" t="str">
        <f t="shared" si="54"/>
        <v>OK</v>
      </c>
      <c r="E315" s="649">
        <v>0</v>
      </c>
      <c r="F315" s="649">
        <v>0</v>
      </c>
      <c r="G315" s="649">
        <v>0</v>
      </c>
      <c r="H315" s="649">
        <v>0</v>
      </c>
      <c r="I315" s="649">
        <v>0</v>
      </c>
      <c r="J315" s="649">
        <v>0</v>
      </c>
      <c r="K315" s="649">
        <v>0</v>
      </c>
      <c r="L315" s="649"/>
      <c r="M315" s="649">
        <v>0</v>
      </c>
      <c r="N315" s="649">
        <v>0</v>
      </c>
      <c r="O315" s="393">
        <v>0</v>
      </c>
      <c r="P315" s="649">
        <v>0</v>
      </c>
      <c r="Q315" s="649">
        <v>0</v>
      </c>
      <c r="R315" s="649">
        <v>0</v>
      </c>
      <c r="S315" s="649">
        <v>0</v>
      </c>
      <c r="T315" s="649">
        <v>0</v>
      </c>
      <c r="U315" s="649">
        <v>0</v>
      </c>
      <c r="V315" s="649">
        <v>0</v>
      </c>
      <c r="W315" s="649">
        <v>0</v>
      </c>
      <c r="X315" s="649">
        <v>0</v>
      </c>
      <c r="Y315" s="649">
        <v>0</v>
      </c>
      <c r="Z315" s="649">
        <v>0</v>
      </c>
      <c r="AA315" s="649">
        <v>0</v>
      </c>
      <c r="AB315" s="649">
        <v>0</v>
      </c>
      <c r="AC315" s="649">
        <v>0</v>
      </c>
      <c r="AD315" s="649">
        <v>0</v>
      </c>
      <c r="AE315" s="649">
        <v>0</v>
      </c>
      <c r="AF315" s="649">
        <v>0</v>
      </c>
      <c r="AG315" s="649">
        <v>0</v>
      </c>
    </row>
    <row r="316" spans="1:33" x14ac:dyDescent="0.2">
      <c r="A316">
        <v>27</v>
      </c>
      <c r="B316" t="s">
        <v>4701</v>
      </c>
      <c r="D316" t="str">
        <f t="shared" si="54"/>
        <v>OK</v>
      </c>
      <c r="E316" s="649">
        <v>0</v>
      </c>
      <c r="F316" s="649">
        <v>0</v>
      </c>
      <c r="G316" s="649">
        <v>0</v>
      </c>
      <c r="H316" s="649">
        <v>0</v>
      </c>
      <c r="I316" s="649">
        <v>0</v>
      </c>
      <c r="J316" s="649">
        <v>0</v>
      </c>
      <c r="K316" s="649">
        <v>0</v>
      </c>
      <c r="L316" s="649"/>
      <c r="M316" s="649">
        <v>0</v>
      </c>
      <c r="N316" s="649">
        <v>0</v>
      </c>
      <c r="O316" s="393">
        <v>0</v>
      </c>
      <c r="P316" s="649">
        <v>0</v>
      </c>
      <c r="Q316" s="649">
        <v>0</v>
      </c>
      <c r="R316" s="649">
        <v>0</v>
      </c>
      <c r="S316" s="649">
        <v>0</v>
      </c>
      <c r="T316" s="649">
        <v>0</v>
      </c>
      <c r="U316" s="649">
        <v>0</v>
      </c>
      <c r="V316" s="649">
        <v>0</v>
      </c>
      <c r="W316" s="649">
        <v>0</v>
      </c>
      <c r="X316" s="649">
        <v>0</v>
      </c>
      <c r="Y316" s="649">
        <v>0</v>
      </c>
      <c r="Z316" s="649">
        <v>0</v>
      </c>
      <c r="AA316" s="649">
        <v>0</v>
      </c>
      <c r="AB316" s="649">
        <v>0</v>
      </c>
      <c r="AC316" s="649">
        <v>0</v>
      </c>
      <c r="AD316" s="649">
        <v>0</v>
      </c>
      <c r="AE316" s="649">
        <v>0</v>
      </c>
      <c r="AF316" s="649">
        <v>0</v>
      </c>
      <c r="AG316" s="649">
        <v>0</v>
      </c>
    </row>
    <row r="317" spans="1:33" x14ac:dyDescent="0.2">
      <c r="A317">
        <v>20</v>
      </c>
      <c r="B317" t="s">
        <v>4061</v>
      </c>
      <c r="D317" t="str">
        <f t="shared" si="54"/>
        <v>OK</v>
      </c>
      <c r="E317" s="649">
        <v>0</v>
      </c>
      <c r="F317" s="649">
        <v>0</v>
      </c>
      <c r="G317" s="649">
        <v>0</v>
      </c>
      <c r="H317" s="649">
        <v>0</v>
      </c>
      <c r="I317" s="649">
        <v>0</v>
      </c>
      <c r="J317" s="649">
        <v>0</v>
      </c>
      <c r="K317" s="649">
        <v>0</v>
      </c>
      <c r="L317" s="649"/>
      <c r="M317" s="649">
        <v>0</v>
      </c>
      <c r="N317" s="649">
        <v>0</v>
      </c>
      <c r="O317" s="393">
        <v>0</v>
      </c>
      <c r="P317" s="649">
        <v>0</v>
      </c>
      <c r="Q317" s="649">
        <v>0</v>
      </c>
      <c r="R317" s="649">
        <v>0</v>
      </c>
      <c r="S317" s="649">
        <v>0</v>
      </c>
      <c r="T317" s="649">
        <v>0</v>
      </c>
      <c r="U317" s="649">
        <v>0</v>
      </c>
      <c r="V317" s="649">
        <v>0</v>
      </c>
      <c r="W317" s="649">
        <v>0</v>
      </c>
      <c r="X317" s="649">
        <v>0</v>
      </c>
      <c r="Y317" s="649">
        <v>0</v>
      </c>
      <c r="Z317" s="649">
        <v>0</v>
      </c>
      <c r="AA317" s="649">
        <v>0</v>
      </c>
      <c r="AB317" s="649">
        <v>0</v>
      </c>
      <c r="AC317" s="649">
        <v>0</v>
      </c>
      <c r="AD317" s="649">
        <v>0</v>
      </c>
      <c r="AE317" s="649">
        <v>0</v>
      </c>
      <c r="AF317" s="649">
        <v>0</v>
      </c>
      <c r="AG317" s="649">
        <v>0</v>
      </c>
    </row>
    <row r="318" spans="1:33" ht="13.5" thickBot="1" x14ac:dyDescent="0.25">
      <c r="B318" t="s">
        <v>4062</v>
      </c>
      <c r="D318" t="str">
        <f t="shared" si="54"/>
        <v>OK</v>
      </c>
      <c r="E318" s="1606">
        <f>SUM(E313:E317)</f>
        <v>0</v>
      </c>
      <c r="F318" s="1606">
        <f t="shared" ref="F318:AG318" si="55">SUM(F313:F317)</f>
        <v>0</v>
      </c>
      <c r="G318" s="1606">
        <f t="shared" si="55"/>
        <v>0</v>
      </c>
      <c r="H318" s="1606">
        <f t="shared" si="55"/>
        <v>0</v>
      </c>
      <c r="I318" s="1606">
        <f t="shared" si="55"/>
        <v>0</v>
      </c>
      <c r="J318" s="1606">
        <f t="shared" si="55"/>
        <v>0</v>
      </c>
      <c r="K318" s="1606">
        <f t="shared" si="55"/>
        <v>0</v>
      </c>
      <c r="L318" s="1606">
        <f t="shared" si="55"/>
        <v>0</v>
      </c>
      <c r="M318" s="1606">
        <f>SUM(M313:M317)</f>
        <v>0</v>
      </c>
      <c r="N318" s="1606">
        <f t="shared" si="55"/>
        <v>0</v>
      </c>
      <c r="O318" s="708">
        <f t="shared" si="55"/>
        <v>0</v>
      </c>
      <c r="P318" s="1606">
        <f t="shared" si="55"/>
        <v>0</v>
      </c>
      <c r="Q318" s="1606">
        <f t="shared" si="55"/>
        <v>0</v>
      </c>
      <c r="R318" s="1606">
        <f t="shared" si="55"/>
        <v>0</v>
      </c>
      <c r="S318" s="1606">
        <f t="shared" si="55"/>
        <v>0</v>
      </c>
      <c r="T318" s="1606">
        <f t="shared" si="55"/>
        <v>0</v>
      </c>
      <c r="U318" s="1606">
        <f t="shared" si="55"/>
        <v>0</v>
      </c>
      <c r="V318" s="1606">
        <f t="shared" si="55"/>
        <v>0</v>
      </c>
      <c r="W318" s="1606">
        <f t="shared" si="55"/>
        <v>0</v>
      </c>
      <c r="X318" s="1606">
        <f t="shared" si="55"/>
        <v>0</v>
      </c>
      <c r="Y318" s="1606">
        <f t="shared" si="55"/>
        <v>0</v>
      </c>
      <c r="Z318" s="1606">
        <f t="shared" si="55"/>
        <v>0</v>
      </c>
      <c r="AA318" s="1606">
        <f t="shared" si="55"/>
        <v>0</v>
      </c>
      <c r="AB318" s="1606">
        <f t="shared" si="55"/>
        <v>0</v>
      </c>
      <c r="AC318" s="1606">
        <f t="shared" si="55"/>
        <v>0</v>
      </c>
      <c r="AD318" s="1606">
        <f t="shared" si="55"/>
        <v>0</v>
      </c>
      <c r="AE318" s="1606">
        <f t="shared" si="55"/>
        <v>0</v>
      </c>
      <c r="AF318" s="1606">
        <f t="shared" si="55"/>
        <v>0</v>
      </c>
      <c r="AG318" s="1606">
        <f t="shared" si="55"/>
        <v>0</v>
      </c>
    </row>
    <row r="319" spans="1:33" ht="13.5" thickTop="1" x14ac:dyDescent="0.2">
      <c r="E319" s="805" t="str">
        <f t="shared" ref="E319:AG319" si="56">IF(ROUND(E318-SUM(E105:E109),2)=0,"OK","Out of bal")</f>
        <v>OK</v>
      </c>
      <c r="F319" s="805" t="str">
        <f t="shared" si="56"/>
        <v>OK</v>
      </c>
      <c r="G319" s="805" t="str">
        <f t="shared" si="56"/>
        <v>OK</v>
      </c>
      <c r="H319" s="805" t="str">
        <f t="shared" si="56"/>
        <v>OK</v>
      </c>
      <c r="I319" s="805" t="str">
        <f t="shared" si="56"/>
        <v>OK</v>
      </c>
      <c r="J319" s="805" t="str">
        <f t="shared" si="56"/>
        <v>OK</v>
      </c>
      <c r="K319" s="805" t="str">
        <f t="shared" si="56"/>
        <v>OK</v>
      </c>
      <c r="L319" s="805" t="str">
        <f t="shared" si="56"/>
        <v>OK</v>
      </c>
      <c r="M319" s="805" t="str">
        <f t="shared" si="56"/>
        <v>OK</v>
      </c>
      <c r="N319" s="805" t="str">
        <f t="shared" si="56"/>
        <v>OK</v>
      </c>
      <c r="O319" s="2049" t="str">
        <f t="shared" si="56"/>
        <v>OK</v>
      </c>
      <c r="P319" s="805" t="str">
        <f t="shared" si="56"/>
        <v>OK</v>
      </c>
      <c r="Q319" s="805" t="str">
        <f t="shared" si="56"/>
        <v>OK</v>
      </c>
      <c r="R319" s="805" t="str">
        <f t="shared" si="56"/>
        <v>OK</v>
      </c>
      <c r="S319" s="805" t="str">
        <f t="shared" si="56"/>
        <v>OK</v>
      </c>
      <c r="T319" s="805" t="str">
        <f t="shared" si="56"/>
        <v>OK</v>
      </c>
      <c r="U319" s="805" t="str">
        <f t="shared" si="56"/>
        <v>OK</v>
      </c>
      <c r="V319" s="805" t="str">
        <f t="shared" si="56"/>
        <v>OK</v>
      </c>
      <c r="W319" s="805" t="str">
        <f t="shared" si="56"/>
        <v>OK</v>
      </c>
      <c r="X319" s="805" t="str">
        <f t="shared" si="56"/>
        <v>OK</v>
      </c>
      <c r="Y319" s="805" t="str">
        <f t="shared" si="56"/>
        <v>OK</v>
      </c>
      <c r="Z319" s="805" t="str">
        <f t="shared" si="56"/>
        <v>OK</v>
      </c>
      <c r="AA319" s="805" t="str">
        <f t="shared" si="56"/>
        <v>OK</v>
      </c>
      <c r="AB319" s="805" t="str">
        <f t="shared" si="56"/>
        <v>OK</v>
      </c>
      <c r="AC319" s="805" t="str">
        <f t="shared" si="56"/>
        <v>OK</v>
      </c>
      <c r="AD319" s="805" t="str">
        <f t="shared" si="56"/>
        <v>OK</v>
      </c>
      <c r="AE319" s="805" t="str">
        <f t="shared" si="56"/>
        <v>OK</v>
      </c>
      <c r="AF319" s="805" t="str">
        <f t="shared" si="56"/>
        <v>OK</v>
      </c>
      <c r="AG319" s="805" t="str">
        <f t="shared" si="56"/>
        <v>OK</v>
      </c>
    </row>
    <row r="324" spans="2:33" x14ac:dyDescent="0.2">
      <c r="B324" s="3206" t="s">
        <v>5491</v>
      </c>
      <c r="C324" s="3206"/>
      <c r="E324" s="649">
        <f t="shared" ref="E324:AG324" si="57">SUM(E120,E145)-E296</f>
        <v>0</v>
      </c>
      <c r="F324" s="649">
        <f t="shared" si="57"/>
        <v>0</v>
      </c>
      <c r="G324" s="649">
        <f t="shared" si="57"/>
        <v>0</v>
      </c>
      <c r="H324" s="649">
        <f t="shared" si="57"/>
        <v>0</v>
      </c>
      <c r="I324" s="649">
        <f t="shared" si="57"/>
        <v>0</v>
      </c>
      <c r="J324" s="649">
        <f t="shared" si="57"/>
        <v>0</v>
      </c>
      <c r="K324" s="649">
        <f t="shared" si="57"/>
        <v>0</v>
      </c>
      <c r="L324" s="649">
        <f t="shared" si="57"/>
        <v>0</v>
      </c>
      <c r="M324" s="649">
        <f t="shared" si="57"/>
        <v>0</v>
      </c>
      <c r="N324" s="649">
        <f t="shared" si="57"/>
        <v>0</v>
      </c>
      <c r="O324" s="393">
        <f t="shared" si="57"/>
        <v>0</v>
      </c>
      <c r="P324" s="649">
        <f t="shared" si="57"/>
        <v>0</v>
      </c>
      <c r="Q324" s="649">
        <f t="shared" si="57"/>
        <v>0</v>
      </c>
      <c r="R324" s="649">
        <f t="shared" si="57"/>
        <v>0</v>
      </c>
      <c r="S324" s="649">
        <f t="shared" si="57"/>
        <v>0</v>
      </c>
      <c r="T324" s="649">
        <f t="shared" si="57"/>
        <v>0</v>
      </c>
      <c r="U324" s="649">
        <f t="shared" si="57"/>
        <v>0</v>
      </c>
      <c r="V324" s="649">
        <f t="shared" si="57"/>
        <v>0</v>
      </c>
      <c r="W324" s="649">
        <f t="shared" si="57"/>
        <v>0</v>
      </c>
      <c r="X324" s="649">
        <f t="shared" si="57"/>
        <v>0</v>
      </c>
      <c r="Y324" s="649">
        <f t="shared" si="57"/>
        <v>0</v>
      </c>
      <c r="Z324" s="649">
        <f t="shared" si="57"/>
        <v>0</v>
      </c>
      <c r="AA324" s="649">
        <f t="shared" si="57"/>
        <v>0</v>
      </c>
      <c r="AB324" s="649">
        <f t="shared" si="57"/>
        <v>0</v>
      </c>
      <c r="AC324" s="649">
        <f t="shared" si="57"/>
        <v>0</v>
      </c>
      <c r="AD324" s="649">
        <f t="shared" si="57"/>
        <v>0</v>
      </c>
      <c r="AE324" s="649">
        <f t="shared" si="57"/>
        <v>0</v>
      </c>
      <c r="AF324" s="649">
        <f t="shared" si="57"/>
        <v>0</v>
      </c>
      <c r="AG324" s="649">
        <f t="shared" si="57"/>
        <v>0</v>
      </c>
    </row>
    <row r="325" spans="2:33" x14ac:dyDescent="0.2">
      <c r="B325" s="3206" t="s">
        <v>1548</v>
      </c>
      <c r="C325" s="3206"/>
      <c r="E325" s="649">
        <f t="shared" ref="E325:AG325" si="58">SUM(E121,E146)-SUM(E287:E291)</f>
        <v>0</v>
      </c>
      <c r="F325" s="649">
        <f t="shared" si="58"/>
        <v>0</v>
      </c>
      <c r="G325" s="649">
        <f t="shared" si="58"/>
        <v>0</v>
      </c>
      <c r="H325" s="649">
        <f t="shared" si="58"/>
        <v>0</v>
      </c>
      <c r="I325" s="649">
        <f t="shared" si="58"/>
        <v>0</v>
      </c>
      <c r="J325" s="649">
        <f t="shared" si="58"/>
        <v>0</v>
      </c>
      <c r="K325" s="649">
        <f t="shared" si="58"/>
        <v>0</v>
      </c>
      <c r="L325" s="649">
        <f t="shared" si="58"/>
        <v>0</v>
      </c>
      <c r="M325" s="649">
        <f t="shared" si="58"/>
        <v>0</v>
      </c>
      <c r="N325" s="649">
        <f t="shared" si="58"/>
        <v>0</v>
      </c>
      <c r="O325" s="393">
        <f t="shared" si="58"/>
        <v>0</v>
      </c>
      <c r="P325" s="649">
        <f>SUM(P121,P146)-SUM(P287:P291)-P295</f>
        <v>0</v>
      </c>
      <c r="Q325" s="649">
        <f>SUM(Q121,Q146)-SUM(Q287:Q291)-Q295</f>
        <v>0</v>
      </c>
      <c r="R325" s="649">
        <f>SUM(R121,R146)-SUM(R287:R291)-R295</f>
        <v>0</v>
      </c>
      <c r="S325" s="649">
        <f t="shared" si="58"/>
        <v>0</v>
      </c>
      <c r="T325" s="649">
        <f t="shared" si="58"/>
        <v>0</v>
      </c>
      <c r="U325" s="649">
        <f>SUM(U121,U146)-SUM(U287:U291)-U295</f>
        <v>0</v>
      </c>
      <c r="V325" s="649">
        <f>SUM(V121,V146)-SUM(V287:V291)-V295</f>
        <v>0</v>
      </c>
      <c r="W325" s="649">
        <f t="shared" si="58"/>
        <v>0</v>
      </c>
      <c r="X325" s="649">
        <f t="shared" si="58"/>
        <v>0</v>
      </c>
      <c r="Y325" s="649">
        <f>SUM(Y121,Y146)-SUM(Y287:Y291)-Y295</f>
        <v>0</v>
      </c>
      <c r="Z325" s="649">
        <f>SUM(Z121,Z146)-SUM(Z287:Z291)-Z295</f>
        <v>0</v>
      </c>
      <c r="AA325" s="649">
        <f t="shared" si="58"/>
        <v>0</v>
      </c>
      <c r="AB325" s="649">
        <f t="shared" si="58"/>
        <v>0</v>
      </c>
      <c r="AC325" s="649">
        <f t="shared" si="58"/>
        <v>0</v>
      </c>
      <c r="AD325" s="649">
        <f t="shared" si="58"/>
        <v>0</v>
      </c>
      <c r="AE325" s="649">
        <f t="shared" si="58"/>
        <v>0</v>
      </c>
      <c r="AF325" s="649">
        <f t="shared" si="58"/>
        <v>0</v>
      </c>
      <c r="AG325" s="649">
        <f t="shared" si="58"/>
        <v>0</v>
      </c>
    </row>
    <row r="326" spans="2:33" x14ac:dyDescent="0.2">
      <c r="B326" s="3206" t="s">
        <v>1061</v>
      </c>
      <c r="C326" s="3206"/>
      <c r="E326" s="649">
        <f t="shared" ref="E326:AG326" si="59">SUM(E122,E147)-E292</f>
        <v>0</v>
      </c>
      <c r="F326" s="649">
        <f t="shared" si="59"/>
        <v>0</v>
      </c>
      <c r="G326" s="649">
        <f t="shared" si="59"/>
        <v>0</v>
      </c>
      <c r="H326" s="649">
        <f t="shared" si="59"/>
        <v>0</v>
      </c>
      <c r="I326" s="649">
        <f t="shared" si="59"/>
        <v>0</v>
      </c>
      <c r="J326" s="649">
        <f t="shared" si="59"/>
        <v>0</v>
      </c>
      <c r="K326" s="649">
        <f t="shared" si="59"/>
        <v>0</v>
      </c>
      <c r="L326" s="649">
        <f t="shared" si="59"/>
        <v>0</v>
      </c>
      <c r="M326" s="649">
        <f t="shared" si="59"/>
        <v>0</v>
      </c>
      <c r="N326" s="649">
        <f t="shared" si="59"/>
        <v>0</v>
      </c>
      <c r="O326" s="393">
        <f t="shared" si="59"/>
        <v>0</v>
      </c>
      <c r="P326" s="649">
        <f t="shared" si="59"/>
        <v>0</v>
      </c>
      <c r="Q326" s="649">
        <f t="shared" si="59"/>
        <v>0</v>
      </c>
      <c r="R326" s="649">
        <f t="shared" si="59"/>
        <v>0</v>
      </c>
      <c r="S326" s="649">
        <f t="shared" si="59"/>
        <v>0</v>
      </c>
      <c r="T326" s="649">
        <f t="shared" si="59"/>
        <v>0</v>
      </c>
      <c r="U326" s="649">
        <f t="shared" si="59"/>
        <v>0</v>
      </c>
      <c r="V326" s="649">
        <f t="shared" si="59"/>
        <v>0</v>
      </c>
      <c r="W326" s="649">
        <f t="shared" si="59"/>
        <v>0</v>
      </c>
      <c r="X326" s="649">
        <f t="shared" si="59"/>
        <v>0</v>
      </c>
      <c r="Y326" s="649">
        <f t="shared" si="59"/>
        <v>0</v>
      </c>
      <c r="Z326" s="649">
        <f t="shared" si="59"/>
        <v>0</v>
      </c>
      <c r="AA326" s="649">
        <f t="shared" si="59"/>
        <v>0</v>
      </c>
      <c r="AB326" s="649">
        <f t="shared" si="59"/>
        <v>0</v>
      </c>
      <c r="AC326" s="649">
        <f t="shared" si="59"/>
        <v>0</v>
      </c>
      <c r="AD326" s="649">
        <f t="shared" si="59"/>
        <v>0</v>
      </c>
      <c r="AE326" s="649">
        <f t="shared" si="59"/>
        <v>0</v>
      </c>
      <c r="AF326" s="649">
        <f t="shared" si="59"/>
        <v>0</v>
      </c>
      <c r="AG326" s="649">
        <f t="shared" si="59"/>
        <v>0</v>
      </c>
    </row>
    <row r="327" spans="2:33" x14ac:dyDescent="0.2">
      <c r="B327" s="3206" t="s">
        <v>1062</v>
      </c>
      <c r="C327" s="3206"/>
      <c r="E327" s="649">
        <f t="shared" ref="E327:AG327" si="60">SUM(E123,E148)-E293</f>
        <v>0</v>
      </c>
      <c r="F327" s="649">
        <f t="shared" si="60"/>
        <v>0</v>
      </c>
      <c r="G327" s="649">
        <f t="shared" si="60"/>
        <v>0</v>
      </c>
      <c r="H327" s="649">
        <f t="shared" si="60"/>
        <v>0</v>
      </c>
      <c r="I327" s="649">
        <f t="shared" si="60"/>
        <v>0</v>
      </c>
      <c r="J327" s="649">
        <f t="shared" si="60"/>
        <v>0</v>
      </c>
      <c r="K327" s="649">
        <f t="shared" si="60"/>
        <v>0</v>
      </c>
      <c r="L327" s="649">
        <f t="shared" si="60"/>
        <v>0</v>
      </c>
      <c r="M327" s="649">
        <f t="shared" si="60"/>
        <v>0</v>
      </c>
      <c r="N327" s="649">
        <f t="shared" si="60"/>
        <v>0</v>
      </c>
      <c r="O327" s="393">
        <f t="shared" si="60"/>
        <v>0</v>
      </c>
      <c r="P327" s="649">
        <f t="shared" si="60"/>
        <v>0</v>
      </c>
      <c r="Q327" s="649">
        <f t="shared" si="60"/>
        <v>0</v>
      </c>
      <c r="R327" s="649">
        <f t="shared" si="60"/>
        <v>0</v>
      </c>
      <c r="S327" s="649">
        <f t="shared" si="60"/>
        <v>0</v>
      </c>
      <c r="T327" s="649">
        <f t="shared" si="60"/>
        <v>0</v>
      </c>
      <c r="U327" s="649">
        <f t="shared" si="60"/>
        <v>0</v>
      </c>
      <c r="V327" s="649">
        <f t="shared" si="60"/>
        <v>0</v>
      </c>
      <c r="W327" s="649">
        <f t="shared" si="60"/>
        <v>0</v>
      </c>
      <c r="X327" s="649">
        <f t="shared" si="60"/>
        <v>0</v>
      </c>
      <c r="Y327" s="649">
        <f t="shared" si="60"/>
        <v>0</v>
      </c>
      <c r="Z327" s="649">
        <f t="shared" si="60"/>
        <v>0</v>
      </c>
      <c r="AA327" s="649">
        <f t="shared" si="60"/>
        <v>0</v>
      </c>
      <c r="AB327" s="649">
        <f t="shared" si="60"/>
        <v>0</v>
      </c>
      <c r="AC327" s="649">
        <f t="shared" si="60"/>
        <v>0</v>
      </c>
      <c r="AD327" s="649">
        <f t="shared" si="60"/>
        <v>0</v>
      </c>
      <c r="AE327" s="649">
        <f t="shared" si="60"/>
        <v>0</v>
      </c>
      <c r="AF327" s="649">
        <f t="shared" si="60"/>
        <v>0</v>
      </c>
      <c r="AG327" s="649">
        <f t="shared" si="60"/>
        <v>0</v>
      </c>
    </row>
    <row r="328" spans="2:33" s="2086" customFormat="1" x14ac:dyDescent="0.2">
      <c r="B328" s="3206" t="s">
        <v>4712</v>
      </c>
      <c r="C328" s="3206"/>
      <c r="E328" s="649">
        <f t="shared" ref="E328:AG328" si="61">SUM(E119,E144)-E294</f>
        <v>0</v>
      </c>
      <c r="F328" s="649">
        <f t="shared" si="61"/>
        <v>0</v>
      </c>
      <c r="G328" s="649">
        <f t="shared" si="61"/>
        <v>0</v>
      </c>
      <c r="H328" s="649">
        <f t="shared" si="61"/>
        <v>0</v>
      </c>
      <c r="I328" s="649">
        <f t="shared" si="61"/>
        <v>0</v>
      </c>
      <c r="J328" s="649">
        <f t="shared" si="61"/>
        <v>0</v>
      </c>
      <c r="K328" s="649">
        <f t="shared" si="61"/>
        <v>0</v>
      </c>
      <c r="L328" s="649">
        <f t="shared" si="61"/>
        <v>0</v>
      </c>
      <c r="M328" s="649">
        <f t="shared" si="61"/>
        <v>0</v>
      </c>
      <c r="N328" s="649">
        <f t="shared" si="61"/>
        <v>0</v>
      </c>
      <c r="O328" s="649">
        <f t="shared" si="61"/>
        <v>0</v>
      </c>
      <c r="P328" s="649">
        <f t="shared" si="61"/>
        <v>0</v>
      </c>
      <c r="Q328" s="649">
        <f t="shared" si="61"/>
        <v>0</v>
      </c>
      <c r="R328" s="649">
        <f t="shared" si="61"/>
        <v>0</v>
      </c>
      <c r="S328" s="649">
        <f t="shared" si="61"/>
        <v>0</v>
      </c>
      <c r="T328" s="649">
        <f t="shared" si="61"/>
        <v>0</v>
      </c>
      <c r="U328" s="649">
        <f t="shared" si="61"/>
        <v>0</v>
      </c>
      <c r="V328" s="649">
        <f t="shared" si="61"/>
        <v>0</v>
      </c>
      <c r="W328" s="649">
        <f t="shared" si="61"/>
        <v>0</v>
      </c>
      <c r="X328" s="649">
        <f t="shared" si="61"/>
        <v>0</v>
      </c>
      <c r="Y328" s="649">
        <f t="shared" si="61"/>
        <v>0</v>
      </c>
      <c r="Z328" s="649">
        <f t="shared" si="61"/>
        <v>0</v>
      </c>
      <c r="AA328" s="649">
        <f t="shared" si="61"/>
        <v>0</v>
      </c>
      <c r="AB328" s="649">
        <f t="shared" si="61"/>
        <v>0</v>
      </c>
      <c r="AC328" s="649">
        <f t="shared" si="61"/>
        <v>0</v>
      </c>
      <c r="AD328" s="649">
        <f t="shared" si="61"/>
        <v>0</v>
      </c>
      <c r="AE328" s="649">
        <f t="shared" si="61"/>
        <v>0</v>
      </c>
      <c r="AF328" s="649">
        <f t="shared" si="61"/>
        <v>0</v>
      </c>
      <c r="AG328" s="649">
        <f t="shared" si="61"/>
        <v>0</v>
      </c>
    </row>
    <row r="329" spans="2:33" s="2086" customFormat="1" x14ac:dyDescent="0.2">
      <c r="B329" s="3206" t="s">
        <v>4677</v>
      </c>
      <c r="C329" s="3206"/>
      <c r="E329" s="649">
        <f>E108</f>
        <v>0</v>
      </c>
      <c r="F329" s="649">
        <f t="shared" ref="F329:AG329" si="62">F108</f>
        <v>0</v>
      </c>
      <c r="G329" s="649">
        <f t="shared" si="62"/>
        <v>0</v>
      </c>
      <c r="H329" s="649">
        <f t="shared" si="62"/>
        <v>0</v>
      </c>
      <c r="I329" s="649">
        <f t="shared" si="62"/>
        <v>0</v>
      </c>
      <c r="J329" s="649">
        <f t="shared" si="62"/>
        <v>0</v>
      </c>
      <c r="K329" s="649">
        <f t="shared" si="62"/>
        <v>0</v>
      </c>
      <c r="L329" s="649">
        <f t="shared" si="62"/>
        <v>0</v>
      </c>
      <c r="M329" s="649">
        <f t="shared" si="62"/>
        <v>0</v>
      </c>
      <c r="N329" s="649">
        <f t="shared" si="62"/>
        <v>0</v>
      </c>
      <c r="O329" s="649">
        <f t="shared" si="62"/>
        <v>0</v>
      </c>
      <c r="P329" s="649">
        <f t="shared" si="62"/>
        <v>0</v>
      </c>
      <c r="Q329" s="649">
        <f t="shared" si="62"/>
        <v>0</v>
      </c>
      <c r="R329" s="649">
        <f t="shared" si="62"/>
        <v>0</v>
      </c>
      <c r="S329" s="649">
        <f t="shared" si="62"/>
        <v>0</v>
      </c>
      <c r="T329" s="649">
        <f t="shared" si="62"/>
        <v>0</v>
      </c>
      <c r="U329" s="649">
        <f t="shared" si="62"/>
        <v>0</v>
      </c>
      <c r="V329" s="649">
        <f t="shared" si="62"/>
        <v>0</v>
      </c>
      <c r="W329" s="649">
        <f t="shared" si="62"/>
        <v>0</v>
      </c>
      <c r="X329" s="649">
        <f t="shared" si="62"/>
        <v>0</v>
      </c>
      <c r="Y329" s="649">
        <f t="shared" si="62"/>
        <v>0</v>
      </c>
      <c r="Z329" s="649">
        <f t="shared" si="62"/>
        <v>0</v>
      </c>
      <c r="AA329" s="649">
        <f t="shared" si="62"/>
        <v>0</v>
      </c>
      <c r="AB329" s="649">
        <f t="shared" si="62"/>
        <v>0</v>
      </c>
      <c r="AC329" s="649">
        <f t="shared" si="62"/>
        <v>0</v>
      </c>
      <c r="AD329" s="649">
        <f t="shared" si="62"/>
        <v>0</v>
      </c>
      <c r="AE329" s="649">
        <f t="shared" si="62"/>
        <v>0</v>
      </c>
      <c r="AF329" s="649">
        <f t="shared" si="62"/>
        <v>0</v>
      </c>
      <c r="AG329" s="649">
        <f t="shared" si="62"/>
        <v>0</v>
      </c>
    </row>
    <row r="330" spans="2:33" x14ac:dyDescent="0.2">
      <c r="B330" s="3206" t="s">
        <v>93</v>
      </c>
      <c r="C330" s="3206"/>
      <c r="E330" s="649">
        <f t="shared" ref="E330:AG330" si="63">SUM(E124,E149)-E297</f>
        <v>0</v>
      </c>
      <c r="F330" s="649">
        <f t="shared" si="63"/>
        <v>0</v>
      </c>
      <c r="G330" s="649">
        <f t="shared" si="63"/>
        <v>0</v>
      </c>
      <c r="H330" s="649">
        <f t="shared" si="63"/>
        <v>0</v>
      </c>
      <c r="I330" s="649">
        <f t="shared" si="63"/>
        <v>0</v>
      </c>
      <c r="J330" s="649">
        <f t="shared" si="63"/>
        <v>0</v>
      </c>
      <c r="K330" s="649">
        <f t="shared" si="63"/>
        <v>0</v>
      </c>
      <c r="L330" s="649">
        <f t="shared" si="63"/>
        <v>0</v>
      </c>
      <c r="M330" s="649">
        <f t="shared" si="63"/>
        <v>0</v>
      </c>
      <c r="N330" s="649">
        <f t="shared" si="63"/>
        <v>0</v>
      </c>
      <c r="O330" s="393">
        <f t="shared" si="63"/>
        <v>0</v>
      </c>
      <c r="P330" s="649">
        <f t="shared" si="63"/>
        <v>0</v>
      </c>
      <c r="Q330" s="649">
        <f t="shared" si="63"/>
        <v>0</v>
      </c>
      <c r="R330" s="649">
        <f t="shared" si="63"/>
        <v>0</v>
      </c>
      <c r="S330" s="649">
        <f t="shared" si="63"/>
        <v>0</v>
      </c>
      <c r="T330" s="649">
        <f t="shared" si="63"/>
        <v>0</v>
      </c>
      <c r="U330" s="649">
        <f t="shared" si="63"/>
        <v>0</v>
      </c>
      <c r="V330" s="649">
        <f t="shared" si="63"/>
        <v>0</v>
      </c>
      <c r="W330" s="649">
        <f t="shared" si="63"/>
        <v>0</v>
      </c>
      <c r="X330" s="649">
        <f t="shared" si="63"/>
        <v>0</v>
      </c>
      <c r="Y330" s="649">
        <f t="shared" si="63"/>
        <v>0</v>
      </c>
      <c r="Z330" s="649">
        <f t="shared" si="63"/>
        <v>0</v>
      </c>
      <c r="AA330" s="649">
        <f t="shared" si="63"/>
        <v>0</v>
      </c>
      <c r="AB330" s="649">
        <f t="shared" si="63"/>
        <v>0</v>
      </c>
      <c r="AC330" s="649">
        <f t="shared" si="63"/>
        <v>0</v>
      </c>
      <c r="AD330" s="649">
        <f t="shared" si="63"/>
        <v>0</v>
      </c>
      <c r="AE330" s="649">
        <f t="shared" si="63"/>
        <v>0</v>
      </c>
      <c r="AF330" s="649">
        <f t="shared" si="63"/>
        <v>0</v>
      </c>
      <c r="AG330" s="649">
        <f t="shared" si="63"/>
        <v>0</v>
      </c>
    </row>
    <row r="331" spans="2:33" x14ac:dyDescent="0.2">
      <c r="B331" s="3206" t="s">
        <v>1226</v>
      </c>
      <c r="C331" s="3206"/>
      <c r="E331" s="649">
        <f t="shared" ref="E331:AG331" si="64">SUM(E125,E150)-E299</f>
        <v>0</v>
      </c>
      <c r="F331" s="649">
        <f t="shared" si="64"/>
        <v>0</v>
      </c>
      <c r="G331" s="649">
        <f t="shared" si="64"/>
        <v>0</v>
      </c>
      <c r="H331" s="649">
        <f t="shared" si="64"/>
        <v>0</v>
      </c>
      <c r="I331" s="649">
        <f t="shared" si="64"/>
        <v>0</v>
      </c>
      <c r="J331" s="649">
        <f t="shared" si="64"/>
        <v>0</v>
      </c>
      <c r="K331" s="649">
        <f t="shared" si="64"/>
        <v>0</v>
      </c>
      <c r="L331" s="649">
        <f t="shared" si="64"/>
        <v>0</v>
      </c>
      <c r="M331" s="649">
        <f t="shared" si="64"/>
        <v>0</v>
      </c>
      <c r="N331" s="649">
        <f t="shared" si="64"/>
        <v>0</v>
      </c>
      <c r="O331" s="393">
        <f t="shared" si="64"/>
        <v>0</v>
      </c>
      <c r="P331" s="649">
        <f t="shared" si="64"/>
        <v>0</v>
      </c>
      <c r="Q331" s="649">
        <f t="shared" si="64"/>
        <v>0</v>
      </c>
      <c r="R331" s="649">
        <f t="shared" si="64"/>
        <v>0</v>
      </c>
      <c r="S331" s="649">
        <f t="shared" si="64"/>
        <v>0</v>
      </c>
      <c r="T331" s="649">
        <f t="shared" si="64"/>
        <v>0</v>
      </c>
      <c r="U331" s="649">
        <f t="shared" si="64"/>
        <v>0</v>
      </c>
      <c r="V331" s="649">
        <f t="shared" si="64"/>
        <v>0</v>
      </c>
      <c r="W331" s="649">
        <f t="shared" si="64"/>
        <v>0</v>
      </c>
      <c r="X331" s="649">
        <f t="shared" si="64"/>
        <v>0</v>
      </c>
      <c r="Y331" s="649">
        <f t="shared" si="64"/>
        <v>0</v>
      </c>
      <c r="Z331" s="649">
        <f t="shared" si="64"/>
        <v>0</v>
      </c>
      <c r="AA331" s="649">
        <f t="shared" si="64"/>
        <v>0</v>
      </c>
      <c r="AB331" s="649">
        <f t="shared" si="64"/>
        <v>0</v>
      </c>
      <c r="AC331" s="649">
        <f t="shared" si="64"/>
        <v>0</v>
      </c>
      <c r="AD331" s="649">
        <f t="shared" si="64"/>
        <v>0</v>
      </c>
      <c r="AE331" s="649">
        <f t="shared" si="64"/>
        <v>0</v>
      </c>
      <c r="AF331" s="649">
        <f t="shared" si="64"/>
        <v>0</v>
      </c>
      <c r="AG331" s="649">
        <f t="shared" si="64"/>
        <v>0</v>
      </c>
    </row>
    <row r="332" spans="2:33" s="2086" customFormat="1" x14ac:dyDescent="0.2">
      <c r="B332" s="3206" t="s">
        <v>4714</v>
      </c>
      <c r="C332" s="3206"/>
      <c r="E332" s="649">
        <f t="shared" ref="E332:AG332" si="65">SUM(E126,E151)-E300</f>
        <v>0</v>
      </c>
      <c r="F332" s="649">
        <f t="shared" si="65"/>
        <v>0</v>
      </c>
      <c r="G332" s="649">
        <f t="shared" si="65"/>
        <v>0</v>
      </c>
      <c r="H332" s="649">
        <f t="shared" si="65"/>
        <v>0</v>
      </c>
      <c r="I332" s="649">
        <f t="shared" si="65"/>
        <v>0</v>
      </c>
      <c r="J332" s="649">
        <f t="shared" si="65"/>
        <v>0</v>
      </c>
      <c r="K332" s="649">
        <f t="shared" si="65"/>
        <v>0</v>
      </c>
      <c r="L332" s="649">
        <f t="shared" si="65"/>
        <v>0</v>
      </c>
      <c r="M332" s="649">
        <f t="shared" si="65"/>
        <v>0</v>
      </c>
      <c r="N332" s="649">
        <f t="shared" si="65"/>
        <v>0</v>
      </c>
      <c r="O332" s="649">
        <f t="shared" si="65"/>
        <v>0</v>
      </c>
      <c r="P332" s="649">
        <f t="shared" si="65"/>
        <v>0</v>
      </c>
      <c r="Q332" s="649">
        <f t="shared" si="65"/>
        <v>0</v>
      </c>
      <c r="R332" s="649">
        <f t="shared" si="65"/>
        <v>0</v>
      </c>
      <c r="S332" s="649">
        <f t="shared" si="65"/>
        <v>0</v>
      </c>
      <c r="T332" s="649">
        <f t="shared" si="65"/>
        <v>0</v>
      </c>
      <c r="U332" s="649">
        <f t="shared" si="65"/>
        <v>0</v>
      </c>
      <c r="V332" s="649">
        <f t="shared" si="65"/>
        <v>0</v>
      </c>
      <c r="W332" s="649">
        <f t="shared" si="65"/>
        <v>0</v>
      </c>
      <c r="X332" s="649">
        <f t="shared" si="65"/>
        <v>0</v>
      </c>
      <c r="Y332" s="649">
        <f t="shared" si="65"/>
        <v>0</v>
      </c>
      <c r="Z332" s="649">
        <f t="shared" si="65"/>
        <v>0</v>
      </c>
      <c r="AA332" s="649">
        <f t="shared" si="65"/>
        <v>0</v>
      </c>
      <c r="AB332" s="649">
        <f t="shared" si="65"/>
        <v>0</v>
      </c>
      <c r="AC332" s="649">
        <f t="shared" si="65"/>
        <v>0</v>
      </c>
      <c r="AD332" s="649">
        <f t="shared" si="65"/>
        <v>0</v>
      </c>
      <c r="AE332" s="649">
        <f t="shared" si="65"/>
        <v>0</v>
      </c>
      <c r="AF332" s="649">
        <f t="shared" si="65"/>
        <v>0</v>
      </c>
      <c r="AG332" s="649">
        <f t="shared" si="65"/>
        <v>0</v>
      </c>
    </row>
    <row r="333" spans="2:33" x14ac:dyDescent="0.2">
      <c r="B333" s="3206" t="s">
        <v>4711</v>
      </c>
      <c r="C333" s="3206"/>
      <c r="E333" s="649">
        <f t="shared" ref="E333:AG333" si="66">SUM(E127,E152)-E301</f>
        <v>0</v>
      </c>
      <c r="F333" s="649">
        <f t="shared" si="66"/>
        <v>0</v>
      </c>
      <c r="G333" s="649">
        <f t="shared" si="66"/>
        <v>0</v>
      </c>
      <c r="H333" s="649">
        <f t="shared" si="66"/>
        <v>0</v>
      </c>
      <c r="I333" s="649">
        <f t="shared" si="66"/>
        <v>0</v>
      </c>
      <c r="J333" s="649">
        <f t="shared" si="66"/>
        <v>0</v>
      </c>
      <c r="K333" s="649">
        <f t="shared" si="66"/>
        <v>0</v>
      </c>
      <c r="L333" s="649">
        <f t="shared" si="66"/>
        <v>0</v>
      </c>
      <c r="M333" s="649">
        <f t="shared" si="66"/>
        <v>0</v>
      </c>
      <c r="N333" s="649">
        <f t="shared" si="66"/>
        <v>0</v>
      </c>
      <c r="O333" s="393">
        <f t="shared" si="66"/>
        <v>0</v>
      </c>
      <c r="P333" s="649">
        <f t="shared" si="66"/>
        <v>0</v>
      </c>
      <c r="Q333" s="649">
        <f t="shared" si="66"/>
        <v>0</v>
      </c>
      <c r="R333" s="649">
        <f t="shared" si="66"/>
        <v>0</v>
      </c>
      <c r="S333" s="649">
        <f t="shared" si="66"/>
        <v>0</v>
      </c>
      <c r="T333" s="649">
        <f t="shared" si="66"/>
        <v>0</v>
      </c>
      <c r="U333" s="649">
        <f t="shared" si="66"/>
        <v>0</v>
      </c>
      <c r="V333" s="649">
        <f t="shared" si="66"/>
        <v>0</v>
      </c>
      <c r="W333" s="649">
        <f t="shared" si="66"/>
        <v>0</v>
      </c>
      <c r="X333" s="649">
        <f t="shared" si="66"/>
        <v>0</v>
      </c>
      <c r="Y333" s="649">
        <f t="shared" si="66"/>
        <v>0</v>
      </c>
      <c r="Z333" s="649">
        <f t="shared" si="66"/>
        <v>0</v>
      </c>
      <c r="AA333" s="649">
        <f t="shared" si="66"/>
        <v>0</v>
      </c>
      <c r="AB333" s="649">
        <f t="shared" si="66"/>
        <v>0</v>
      </c>
      <c r="AC333" s="649">
        <f t="shared" si="66"/>
        <v>0</v>
      </c>
      <c r="AD333" s="649">
        <f t="shared" si="66"/>
        <v>0</v>
      </c>
      <c r="AE333" s="649">
        <f t="shared" si="66"/>
        <v>0</v>
      </c>
      <c r="AF333" s="649">
        <f t="shared" si="66"/>
        <v>0</v>
      </c>
      <c r="AG333" s="649">
        <f t="shared" si="66"/>
        <v>0</v>
      </c>
    </row>
    <row r="334" spans="2:33" s="2086" customFormat="1" x14ac:dyDescent="0.2">
      <c r="B334" s="3206" t="s">
        <v>4360</v>
      </c>
      <c r="C334" s="3206"/>
      <c r="E334" s="649">
        <f t="shared" ref="E334:AG334" si="67">SUM(E128,E153)-E302</f>
        <v>0</v>
      </c>
      <c r="F334" s="649">
        <f t="shared" si="67"/>
        <v>0</v>
      </c>
      <c r="G334" s="649">
        <f t="shared" si="67"/>
        <v>0</v>
      </c>
      <c r="H334" s="649">
        <f t="shared" si="67"/>
        <v>0</v>
      </c>
      <c r="I334" s="649">
        <f t="shared" si="67"/>
        <v>0</v>
      </c>
      <c r="J334" s="649">
        <f t="shared" si="67"/>
        <v>0</v>
      </c>
      <c r="K334" s="649">
        <f t="shared" si="67"/>
        <v>0</v>
      </c>
      <c r="L334" s="649">
        <f t="shared" si="67"/>
        <v>0</v>
      </c>
      <c r="M334" s="649">
        <f t="shared" si="67"/>
        <v>0</v>
      </c>
      <c r="N334" s="649">
        <f t="shared" si="67"/>
        <v>0</v>
      </c>
      <c r="O334" s="649">
        <f t="shared" si="67"/>
        <v>0</v>
      </c>
      <c r="P334" s="649">
        <f t="shared" si="67"/>
        <v>0</v>
      </c>
      <c r="Q334" s="649">
        <f t="shared" si="67"/>
        <v>0</v>
      </c>
      <c r="R334" s="649">
        <f t="shared" si="67"/>
        <v>0</v>
      </c>
      <c r="S334" s="649">
        <f t="shared" si="67"/>
        <v>0</v>
      </c>
      <c r="T334" s="649">
        <f t="shared" si="67"/>
        <v>0</v>
      </c>
      <c r="U334" s="649">
        <f t="shared" si="67"/>
        <v>0</v>
      </c>
      <c r="V334" s="649">
        <f t="shared" si="67"/>
        <v>0</v>
      </c>
      <c r="W334" s="649">
        <f t="shared" si="67"/>
        <v>0</v>
      </c>
      <c r="X334" s="649">
        <f t="shared" si="67"/>
        <v>0</v>
      </c>
      <c r="Y334" s="649">
        <f t="shared" si="67"/>
        <v>0</v>
      </c>
      <c r="Z334" s="649">
        <f t="shared" si="67"/>
        <v>0</v>
      </c>
      <c r="AA334" s="649">
        <f t="shared" si="67"/>
        <v>0</v>
      </c>
      <c r="AB334" s="649">
        <f t="shared" si="67"/>
        <v>0</v>
      </c>
      <c r="AC334" s="649">
        <f t="shared" si="67"/>
        <v>0</v>
      </c>
      <c r="AD334" s="649">
        <f t="shared" si="67"/>
        <v>0</v>
      </c>
      <c r="AE334" s="649">
        <f t="shared" si="67"/>
        <v>0</v>
      </c>
      <c r="AF334" s="649">
        <f t="shared" si="67"/>
        <v>0</v>
      </c>
      <c r="AG334" s="649">
        <f t="shared" si="67"/>
        <v>0</v>
      </c>
    </row>
    <row r="335" spans="2:33" s="2086" customFormat="1" x14ac:dyDescent="0.2">
      <c r="B335" s="3206" t="s">
        <v>4713</v>
      </c>
      <c r="C335" s="3206"/>
      <c r="E335" s="649">
        <f t="shared" ref="E335:AG335" si="68">SUM(E129,E154)-E303</f>
        <v>0</v>
      </c>
      <c r="F335" s="649">
        <f t="shared" si="68"/>
        <v>0</v>
      </c>
      <c r="G335" s="649">
        <f t="shared" si="68"/>
        <v>0</v>
      </c>
      <c r="H335" s="649">
        <f t="shared" si="68"/>
        <v>0</v>
      </c>
      <c r="I335" s="649">
        <f t="shared" si="68"/>
        <v>0</v>
      </c>
      <c r="J335" s="649">
        <f t="shared" si="68"/>
        <v>0</v>
      </c>
      <c r="K335" s="649">
        <f t="shared" si="68"/>
        <v>0</v>
      </c>
      <c r="L335" s="649">
        <f t="shared" si="68"/>
        <v>0</v>
      </c>
      <c r="M335" s="649">
        <f t="shared" si="68"/>
        <v>0</v>
      </c>
      <c r="N335" s="649">
        <f t="shared" si="68"/>
        <v>0</v>
      </c>
      <c r="O335" s="649">
        <f t="shared" si="68"/>
        <v>0</v>
      </c>
      <c r="P335" s="649">
        <f t="shared" si="68"/>
        <v>0</v>
      </c>
      <c r="Q335" s="649">
        <f t="shared" si="68"/>
        <v>0</v>
      </c>
      <c r="R335" s="649">
        <f t="shared" si="68"/>
        <v>0</v>
      </c>
      <c r="S335" s="649">
        <f t="shared" si="68"/>
        <v>0</v>
      </c>
      <c r="T335" s="649">
        <f t="shared" si="68"/>
        <v>0</v>
      </c>
      <c r="U335" s="649">
        <f t="shared" si="68"/>
        <v>0</v>
      </c>
      <c r="V335" s="649">
        <f t="shared" si="68"/>
        <v>0</v>
      </c>
      <c r="W335" s="649">
        <f t="shared" si="68"/>
        <v>0</v>
      </c>
      <c r="X335" s="649">
        <f t="shared" si="68"/>
        <v>0</v>
      </c>
      <c r="Y335" s="649">
        <f t="shared" si="68"/>
        <v>0</v>
      </c>
      <c r="Z335" s="649">
        <f t="shared" si="68"/>
        <v>0</v>
      </c>
      <c r="AA335" s="649">
        <f t="shared" si="68"/>
        <v>0</v>
      </c>
      <c r="AB335" s="649">
        <f t="shared" si="68"/>
        <v>0</v>
      </c>
      <c r="AC335" s="649">
        <f t="shared" si="68"/>
        <v>0</v>
      </c>
      <c r="AD335" s="649">
        <f t="shared" si="68"/>
        <v>0</v>
      </c>
      <c r="AE335" s="649">
        <f t="shared" si="68"/>
        <v>0</v>
      </c>
      <c r="AF335" s="649">
        <f t="shared" si="68"/>
        <v>0</v>
      </c>
      <c r="AG335" s="649">
        <f t="shared" si="68"/>
        <v>0</v>
      </c>
    </row>
    <row r="336" spans="2:33" x14ac:dyDescent="0.2">
      <c r="B336" s="3206" t="s">
        <v>1424</v>
      </c>
      <c r="C336" s="3206"/>
      <c r="E336" s="649">
        <f t="shared" ref="E336:AG336" si="69">SUM(E130,E155)-E304</f>
        <v>0</v>
      </c>
      <c r="F336" s="649">
        <f t="shared" si="69"/>
        <v>0</v>
      </c>
      <c r="G336" s="649">
        <f t="shared" si="69"/>
        <v>0</v>
      </c>
      <c r="H336" s="649">
        <f t="shared" si="69"/>
        <v>0</v>
      </c>
      <c r="I336" s="649">
        <f t="shared" si="69"/>
        <v>0</v>
      </c>
      <c r="J336" s="649">
        <f t="shared" si="69"/>
        <v>0</v>
      </c>
      <c r="K336" s="649">
        <f t="shared" si="69"/>
        <v>0</v>
      </c>
      <c r="L336" s="649">
        <f t="shared" si="69"/>
        <v>0</v>
      </c>
      <c r="M336" s="649">
        <f t="shared" si="69"/>
        <v>0</v>
      </c>
      <c r="N336" s="649">
        <f t="shared" si="69"/>
        <v>0</v>
      </c>
      <c r="O336" s="393">
        <f t="shared" si="69"/>
        <v>0</v>
      </c>
      <c r="P336" s="649">
        <f t="shared" si="69"/>
        <v>0</v>
      </c>
      <c r="Q336" s="649">
        <f t="shared" si="69"/>
        <v>0</v>
      </c>
      <c r="R336" s="649">
        <f t="shared" si="69"/>
        <v>0</v>
      </c>
      <c r="S336" s="649">
        <f t="shared" si="69"/>
        <v>0</v>
      </c>
      <c r="T336" s="649">
        <f t="shared" si="69"/>
        <v>0</v>
      </c>
      <c r="U336" s="649">
        <f t="shared" si="69"/>
        <v>0</v>
      </c>
      <c r="V336" s="649">
        <f t="shared" si="69"/>
        <v>0</v>
      </c>
      <c r="W336" s="649">
        <f t="shared" si="69"/>
        <v>0</v>
      </c>
      <c r="X336" s="649">
        <f t="shared" si="69"/>
        <v>0</v>
      </c>
      <c r="Y336" s="649">
        <f t="shared" si="69"/>
        <v>0</v>
      </c>
      <c r="Z336" s="649">
        <f t="shared" si="69"/>
        <v>0</v>
      </c>
      <c r="AA336" s="649">
        <f t="shared" si="69"/>
        <v>0</v>
      </c>
      <c r="AB336" s="649">
        <f t="shared" si="69"/>
        <v>0</v>
      </c>
      <c r="AC336" s="649">
        <f t="shared" si="69"/>
        <v>0</v>
      </c>
      <c r="AD336" s="649">
        <f t="shared" si="69"/>
        <v>0</v>
      </c>
      <c r="AE336" s="649">
        <f t="shared" si="69"/>
        <v>0</v>
      </c>
      <c r="AF336" s="649">
        <f t="shared" si="69"/>
        <v>0</v>
      </c>
      <c r="AG336" s="649">
        <f t="shared" si="69"/>
        <v>0</v>
      </c>
    </row>
    <row r="337" spans="1:33" x14ac:dyDescent="0.2">
      <c r="B337" s="3206" t="s">
        <v>1549</v>
      </c>
      <c r="C337" s="3206"/>
      <c r="E337" s="649">
        <f t="shared" ref="E337:AG337" si="70">SUM(E131,E156)-E305</f>
        <v>0</v>
      </c>
      <c r="F337" s="649">
        <f t="shared" si="70"/>
        <v>0</v>
      </c>
      <c r="G337" s="649">
        <f t="shared" si="70"/>
        <v>0</v>
      </c>
      <c r="H337" s="649">
        <f t="shared" si="70"/>
        <v>0</v>
      </c>
      <c r="I337" s="649">
        <f t="shared" si="70"/>
        <v>0</v>
      </c>
      <c r="J337" s="649">
        <f t="shared" si="70"/>
        <v>0</v>
      </c>
      <c r="K337" s="649">
        <f t="shared" si="70"/>
        <v>0</v>
      </c>
      <c r="L337" s="649">
        <f t="shared" si="70"/>
        <v>0</v>
      </c>
      <c r="M337" s="649">
        <f t="shared" si="70"/>
        <v>0</v>
      </c>
      <c r="N337" s="649">
        <f t="shared" si="70"/>
        <v>0</v>
      </c>
      <c r="O337" s="393">
        <f t="shared" si="70"/>
        <v>0</v>
      </c>
      <c r="P337" s="649">
        <f t="shared" si="70"/>
        <v>0</v>
      </c>
      <c r="Q337" s="649">
        <f t="shared" si="70"/>
        <v>0</v>
      </c>
      <c r="R337" s="649">
        <f t="shared" si="70"/>
        <v>0</v>
      </c>
      <c r="S337" s="649">
        <f t="shared" si="70"/>
        <v>0</v>
      </c>
      <c r="T337" s="649">
        <f t="shared" si="70"/>
        <v>0</v>
      </c>
      <c r="U337" s="649">
        <f t="shared" si="70"/>
        <v>0</v>
      </c>
      <c r="V337" s="649">
        <f t="shared" si="70"/>
        <v>0</v>
      </c>
      <c r="W337" s="649">
        <f t="shared" si="70"/>
        <v>0</v>
      </c>
      <c r="X337" s="649">
        <f t="shared" si="70"/>
        <v>0</v>
      </c>
      <c r="Y337" s="649">
        <f t="shared" si="70"/>
        <v>0</v>
      </c>
      <c r="Z337" s="649">
        <f t="shared" si="70"/>
        <v>0</v>
      </c>
      <c r="AA337" s="649">
        <f t="shared" si="70"/>
        <v>0</v>
      </c>
      <c r="AB337" s="649">
        <f t="shared" si="70"/>
        <v>0</v>
      </c>
      <c r="AC337" s="649">
        <f t="shared" si="70"/>
        <v>0</v>
      </c>
      <c r="AD337" s="649">
        <f t="shared" si="70"/>
        <v>0</v>
      </c>
      <c r="AE337" s="649">
        <f t="shared" si="70"/>
        <v>0</v>
      </c>
      <c r="AF337" s="649">
        <f t="shared" si="70"/>
        <v>0</v>
      </c>
      <c r="AG337" s="649">
        <f t="shared" si="70"/>
        <v>0</v>
      </c>
    </row>
    <row r="338" spans="1:33" x14ac:dyDescent="0.2">
      <c r="E338" s="649"/>
    </row>
    <row r="339" spans="1:33" ht="13.5" thickBot="1" x14ac:dyDescent="0.25">
      <c r="E339" s="649"/>
    </row>
    <row r="340" spans="1:33" ht="46.5" customHeight="1" x14ac:dyDescent="0.2">
      <c r="A340" s="3377" t="s">
        <v>5677</v>
      </c>
      <c r="B340" s="3378"/>
      <c r="C340" s="3379"/>
      <c r="E340" s="649"/>
    </row>
    <row r="341" spans="1:33" ht="25.35" customHeight="1" thickBot="1" x14ac:dyDescent="0.25">
      <c r="A341" s="3380"/>
      <c r="B341" s="3381"/>
      <c r="C341" s="3382"/>
    </row>
  </sheetData>
  <sheetProtection algorithmName="SHA-512" hashValue="LVquAcRAbgfLvzQwD+Eii4l1aY7+Tv7xUE++74LQnkWiolifr3WFhgn2QgMwDnEIsA2mfXdHii8g6YshGWqjSQ==" saltValue="F+Lz+5d7j0B3dMzkbuSqiw==" spinCount="100000" sheet="1" objects="1" scenarios="1" autoFilter="0"/>
  <customSheetViews>
    <customSheetView guid="{B08879A4-635B-4C39-9937-AC7883D562FC}" topLeftCell="A223">
      <pageMargins left="0.7" right="0.7" top="0.75" bottom="0.75" header="0.3" footer="0.3"/>
    </customSheetView>
    <customSheetView guid="{9FCFC836-1CA5-48BF-958D-24D2EA94B219}" topLeftCell="A223">
      <pageMargins left="0.7" right="0.7" top="0.75" bottom="0.75" header="0.3" footer="0.3"/>
    </customSheetView>
  </customSheetViews>
  <mergeCells count="243">
    <mergeCell ref="B240:C240"/>
    <mergeCell ref="B241:C241"/>
    <mergeCell ref="B242:C242"/>
    <mergeCell ref="B243:C243"/>
    <mergeCell ref="B235:C235"/>
    <mergeCell ref="B236:C236"/>
    <mergeCell ref="B237:C237"/>
    <mergeCell ref="B239:C239"/>
    <mergeCell ref="B272:C272"/>
    <mergeCell ref="B250:C250"/>
    <mergeCell ref="B251:C251"/>
    <mergeCell ref="B252:C252"/>
    <mergeCell ref="B253:C253"/>
    <mergeCell ref="B244:C244"/>
    <mergeCell ref="B245:C245"/>
    <mergeCell ref="B246:C246"/>
    <mergeCell ref="B247:C247"/>
    <mergeCell ref="B248:C248"/>
    <mergeCell ref="B249:C249"/>
    <mergeCell ref="B238:C238"/>
    <mergeCell ref="B267:C267"/>
    <mergeCell ref="B268:C268"/>
    <mergeCell ref="B269:C269"/>
    <mergeCell ref="B270:C270"/>
    <mergeCell ref="B331:C331"/>
    <mergeCell ref="B333:C333"/>
    <mergeCell ref="B336:C336"/>
    <mergeCell ref="B337:C337"/>
    <mergeCell ref="B324:C324"/>
    <mergeCell ref="B325:C325"/>
    <mergeCell ref="B326:C326"/>
    <mergeCell ref="B327:C327"/>
    <mergeCell ref="B330:C330"/>
    <mergeCell ref="B328:C328"/>
    <mergeCell ref="B329:C329"/>
    <mergeCell ref="B334:C334"/>
    <mergeCell ref="B335:C335"/>
    <mergeCell ref="B332:C332"/>
    <mergeCell ref="B1:H1"/>
    <mergeCell ref="B2:H2"/>
    <mergeCell ref="B3:H3"/>
    <mergeCell ref="B4:H4"/>
    <mergeCell ref="G6:H6"/>
    <mergeCell ref="C6:E6"/>
    <mergeCell ref="F5:H5"/>
    <mergeCell ref="B228:C228"/>
    <mergeCell ref="B230:C230"/>
    <mergeCell ref="B212:C212"/>
    <mergeCell ref="B213:C213"/>
    <mergeCell ref="B215:C215"/>
    <mergeCell ref="B216:C216"/>
    <mergeCell ref="B199:C199"/>
    <mergeCell ref="B200:C200"/>
    <mergeCell ref="B201:C201"/>
    <mergeCell ref="B202:C202"/>
    <mergeCell ref="B203:C203"/>
    <mergeCell ref="B206:C206"/>
    <mergeCell ref="B193:C193"/>
    <mergeCell ref="B194:C194"/>
    <mergeCell ref="B195:C195"/>
    <mergeCell ref="B196:C196"/>
    <mergeCell ref="B197:C197"/>
    <mergeCell ref="B217:C217"/>
    <mergeCell ref="B207:C207"/>
    <mergeCell ref="B208:C208"/>
    <mergeCell ref="B209:C209"/>
    <mergeCell ref="B210:C210"/>
    <mergeCell ref="B211:C211"/>
    <mergeCell ref="B231:C231"/>
    <mergeCell ref="B232:C232"/>
    <mergeCell ref="B234:C234"/>
    <mergeCell ref="B218:C218"/>
    <mergeCell ref="B219:C219"/>
    <mergeCell ref="B222:C222"/>
    <mergeCell ref="B223:C223"/>
    <mergeCell ref="B224:C224"/>
    <mergeCell ref="B226:C226"/>
    <mergeCell ref="B233:C233"/>
    <mergeCell ref="B225:C225"/>
    <mergeCell ref="B227:C227"/>
    <mergeCell ref="B229:C229"/>
    <mergeCell ref="B198:C198"/>
    <mergeCell ref="B181:C181"/>
    <mergeCell ref="B182:C182"/>
    <mergeCell ref="B183:C183"/>
    <mergeCell ref="B185:C185"/>
    <mergeCell ref="B186:C186"/>
    <mergeCell ref="B192:C192"/>
    <mergeCell ref="B175:C175"/>
    <mergeCell ref="B177:C177"/>
    <mergeCell ref="B178:C178"/>
    <mergeCell ref="B179:C179"/>
    <mergeCell ref="B184:C184"/>
    <mergeCell ref="B149:C149"/>
    <mergeCell ref="B150:C150"/>
    <mergeCell ref="B154:C154"/>
    <mergeCell ref="B162:C162"/>
    <mergeCell ref="B144:C144"/>
    <mergeCell ref="B151:C151"/>
    <mergeCell ref="B163:C163"/>
    <mergeCell ref="B172:C172"/>
    <mergeCell ref="B164:C164"/>
    <mergeCell ref="B165:C165"/>
    <mergeCell ref="B171:C171"/>
    <mergeCell ref="B167:C167"/>
    <mergeCell ref="B169:C169"/>
    <mergeCell ref="B152:C152"/>
    <mergeCell ref="B155:C155"/>
    <mergeCell ref="B156:C156"/>
    <mergeCell ref="B157:C157"/>
    <mergeCell ref="B159:C159"/>
    <mergeCell ref="B170:C170"/>
    <mergeCell ref="B138:C138"/>
    <mergeCell ref="B139:C139"/>
    <mergeCell ref="B140:C140"/>
    <mergeCell ref="B141:C141"/>
    <mergeCell ref="B142:C142"/>
    <mergeCell ref="B143:C143"/>
    <mergeCell ref="B148:C148"/>
    <mergeCell ref="B130:C130"/>
    <mergeCell ref="B131:C131"/>
    <mergeCell ref="B145:C145"/>
    <mergeCell ref="B146:C146"/>
    <mergeCell ref="B147:C147"/>
    <mergeCell ref="B137:C137"/>
    <mergeCell ref="B132:C132"/>
    <mergeCell ref="B136:C136"/>
    <mergeCell ref="B129:C129"/>
    <mergeCell ref="B126:C126"/>
    <mergeCell ref="B120:C120"/>
    <mergeCell ref="B121:C121"/>
    <mergeCell ref="B122:C122"/>
    <mergeCell ref="B124:C124"/>
    <mergeCell ref="B125:C125"/>
    <mergeCell ref="B127:C127"/>
    <mergeCell ref="B86:C86"/>
    <mergeCell ref="B88:C88"/>
    <mergeCell ref="B93:C93"/>
    <mergeCell ref="B94:C94"/>
    <mergeCell ref="B90:C90"/>
    <mergeCell ref="B91:C91"/>
    <mergeCell ref="B123:C123"/>
    <mergeCell ref="B114:C114"/>
    <mergeCell ref="B115:C115"/>
    <mergeCell ref="B116:C116"/>
    <mergeCell ref="B117:C117"/>
    <mergeCell ref="B118:C118"/>
    <mergeCell ref="B119:C119"/>
    <mergeCell ref="B106:C106"/>
    <mergeCell ref="B109:C109"/>
    <mergeCell ref="B110:C110"/>
    <mergeCell ref="B111:C111"/>
    <mergeCell ref="B112:C112"/>
    <mergeCell ref="B113:C113"/>
    <mergeCell ref="B107:C107"/>
    <mergeCell ref="B108:C108"/>
    <mergeCell ref="B52:C52"/>
    <mergeCell ref="B53:C53"/>
    <mergeCell ref="B54:C54"/>
    <mergeCell ref="B58:C58"/>
    <mergeCell ref="B59:C59"/>
    <mergeCell ref="B105:C105"/>
    <mergeCell ref="B64:C64"/>
    <mergeCell ref="B66:C66"/>
    <mergeCell ref="B67:C67"/>
    <mergeCell ref="B69:C69"/>
    <mergeCell ref="B65:C65"/>
    <mergeCell ref="B70:C70"/>
    <mergeCell ref="B81:C81"/>
    <mergeCell ref="B82:C82"/>
    <mergeCell ref="B84:C84"/>
    <mergeCell ref="B71:C71"/>
    <mergeCell ref="B72:C72"/>
    <mergeCell ref="B77:C77"/>
    <mergeCell ref="B78:C78"/>
    <mergeCell ref="B79:C79"/>
    <mergeCell ref="B80:C80"/>
    <mergeCell ref="B99:C99"/>
    <mergeCell ref="B100:C100"/>
    <mergeCell ref="B87:C87"/>
    <mergeCell ref="B24:C24"/>
    <mergeCell ref="B25:C25"/>
    <mergeCell ref="B26:C26"/>
    <mergeCell ref="B27:C27"/>
    <mergeCell ref="B28:C28"/>
    <mergeCell ref="B29:C29"/>
    <mergeCell ref="B49:C49"/>
    <mergeCell ref="B50:C50"/>
    <mergeCell ref="B51:C51"/>
    <mergeCell ref="B30:C30"/>
    <mergeCell ref="B48:C48"/>
    <mergeCell ref="B73:C73"/>
    <mergeCell ref="B74:C74"/>
    <mergeCell ref="B75:C75"/>
    <mergeCell ref="B76:C76"/>
    <mergeCell ref="B20:C20"/>
    <mergeCell ref="B21:C21"/>
    <mergeCell ref="B22:C22"/>
    <mergeCell ref="B103:C103"/>
    <mergeCell ref="B41:C41"/>
    <mergeCell ref="B43:C43"/>
    <mergeCell ref="B44:C44"/>
    <mergeCell ref="B45:C45"/>
    <mergeCell ref="B46:C46"/>
    <mergeCell ref="B47:C47"/>
    <mergeCell ref="B31:C31"/>
    <mergeCell ref="B32:C32"/>
    <mergeCell ref="B33:C33"/>
    <mergeCell ref="B34:C34"/>
    <mergeCell ref="B37:C37"/>
    <mergeCell ref="B40:C40"/>
    <mergeCell ref="B35:C35"/>
    <mergeCell ref="B36:C36"/>
    <mergeCell ref="B55:C55"/>
    <mergeCell ref="B56:C56"/>
    <mergeCell ref="B57:C57"/>
    <mergeCell ref="B61:C61"/>
    <mergeCell ref="B62:C62"/>
    <mergeCell ref="B63:C63"/>
    <mergeCell ref="B23:C23"/>
    <mergeCell ref="A340:C341"/>
    <mergeCell ref="B13:C13"/>
    <mergeCell ref="B14:C14"/>
    <mergeCell ref="B15:C15"/>
    <mergeCell ref="B16:C16"/>
    <mergeCell ref="B17:C17"/>
    <mergeCell ref="B19:C19"/>
    <mergeCell ref="B275:C275"/>
    <mergeCell ref="B271:C271"/>
    <mergeCell ref="B263:C263"/>
    <mergeCell ref="B264:C264"/>
    <mergeCell ref="B265:C265"/>
    <mergeCell ref="B266:C266"/>
    <mergeCell ref="B273:C273"/>
    <mergeCell ref="B274:C274"/>
    <mergeCell ref="B89:C89"/>
    <mergeCell ref="B92:C92"/>
    <mergeCell ref="B128:C128"/>
    <mergeCell ref="B153:C153"/>
    <mergeCell ref="B166:C166"/>
    <mergeCell ref="B168:C168"/>
    <mergeCell ref="B101:C101"/>
    <mergeCell ref="B102:C102"/>
  </mergeCells>
  <hyperlinks>
    <hyperlink ref="B1:H1" location="Index!A1" display="Index!A1" xr:uid="{00000000-0004-0000-5A00-000000000000}"/>
  </hyperlinks>
  <printOptions gridLines="1"/>
  <pageMargins left="0.25" right="0.25" top="0.25" bottom="0.2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239</vt:i4>
      </vt:variant>
    </vt:vector>
  </HeadingPairs>
  <TitlesOfParts>
    <vt:vector size="344" baseType="lpstr">
      <vt:lpstr>Instruct</vt:lpstr>
      <vt:lpstr>Pkg Updates</vt:lpstr>
      <vt:lpstr>Index</vt:lpstr>
      <vt:lpstr>Dashboard</vt:lpstr>
      <vt:lpstr>101</vt:lpstr>
      <vt:lpstr>105</vt:lpstr>
      <vt:lpstr>110</vt:lpstr>
      <vt:lpstr>120</vt:lpstr>
      <vt:lpstr>201</vt:lpstr>
      <vt:lpstr>202</vt:lpstr>
      <vt:lpstr>203</vt:lpstr>
      <vt:lpstr>210</vt:lpstr>
      <vt:lpstr>215</vt:lpstr>
      <vt:lpstr>220</vt:lpstr>
      <vt:lpstr>301</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501</vt:lpstr>
      <vt:lpstr>505</vt:lpstr>
      <vt:lpstr>510</vt:lpstr>
      <vt:lpstr>515</vt:lpstr>
      <vt:lpstr>520</vt:lpstr>
      <vt:lpstr>525</vt:lpstr>
      <vt:lpstr>530</vt:lpstr>
      <vt:lpstr>535</vt:lpstr>
      <vt:lpstr>540</vt:lpstr>
      <vt:lpstr>545</vt:lpstr>
      <vt:lpstr>550</vt:lpstr>
      <vt:lpstr>555</vt:lpstr>
      <vt:lpstr>560</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For 905-NCAS Acct Roll-up</vt:lpstr>
      <vt:lpstr>905Hosp</vt:lpstr>
      <vt:lpstr>906-6B</vt:lpstr>
      <vt:lpstr>906-6C</vt:lpstr>
      <vt:lpstr>906-6BC</vt:lpstr>
      <vt:lpstr>907</vt:lpstr>
      <vt:lpstr>910</vt:lpstr>
      <vt:lpstr>910Hosp</vt:lpstr>
      <vt:lpstr>911-6B</vt:lpstr>
      <vt:lpstr>911-6C</vt:lpstr>
      <vt:lpstr>Explanations</vt:lpstr>
      <vt:lpstr>Comments</vt:lpstr>
      <vt:lpstr>Agencies</vt:lpstr>
      <vt:lpstr>Functional</vt:lpstr>
      <vt:lpstr>NetPosition</vt:lpstr>
      <vt:lpstr>PriorYr905</vt:lpstr>
      <vt:lpstr>PriorYr906</vt:lpstr>
      <vt:lpstr>All Agencies</vt:lpstr>
      <vt:lpstr>OSC Analysts</vt:lpstr>
      <vt:lpstr>Data</vt:lpstr>
      <vt:lpstr>Errors</vt:lpstr>
      <vt:lpstr>Notes</vt:lpstr>
      <vt:lpstr>__Agy301</vt:lpstr>
      <vt:lpstr>__AGY305</vt:lpstr>
      <vt:lpstr>__AGY310</vt:lpstr>
      <vt:lpstr>__Agy501</vt:lpstr>
      <vt:lpstr>__Agy510</vt:lpstr>
      <vt:lpstr>__Agy515</vt:lpstr>
      <vt:lpstr>__Agy520</vt:lpstr>
      <vt:lpstr>__Agy525</vt:lpstr>
      <vt:lpstr>__Agy530</vt:lpstr>
      <vt:lpstr>__FMD320</vt:lpstr>
      <vt:lpstr>__OID320</vt:lpstr>
      <vt:lpstr>__TO320</vt:lpstr>
      <vt:lpstr>_AGY201</vt:lpstr>
      <vt:lpstr>_AGY210</vt:lpstr>
      <vt:lpstr>_Agy301</vt:lpstr>
      <vt:lpstr>_AGY305</vt:lpstr>
      <vt:lpstr>_AGY310</vt:lpstr>
      <vt:lpstr>'315'!_AGY315</vt:lpstr>
      <vt:lpstr>_AGY320</vt:lpstr>
      <vt:lpstr>_AGY325</vt:lpstr>
      <vt:lpstr>_Agy501</vt:lpstr>
      <vt:lpstr>_Agy510</vt:lpstr>
      <vt:lpstr>_Agy515</vt:lpstr>
      <vt:lpstr>_Agy520</vt:lpstr>
      <vt:lpstr>_Agy525</vt:lpstr>
      <vt:lpstr>_Agy530</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AgyName</vt:lpstr>
      <vt:lpstr>AgyNum</vt:lpstr>
      <vt:lpstr>NetPosition!BeginningNetAssets</vt:lpstr>
      <vt:lpstr>compgasb</vt:lpstr>
      <vt:lpstr>compname</vt:lpstr>
      <vt:lpstr>compnum</vt:lpstr>
      <vt:lpstr>compnumtxt</vt:lpstr>
      <vt:lpstr>comptable</vt:lpstr>
      <vt:lpstr>ConcNum</vt:lpstr>
      <vt:lpstr>CurrentAssets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DeferredOutflows</vt:lpstr>
      <vt:lpstr>Derivative</vt:lpstr>
      <vt:lpstr>ErrorCode</vt:lpstr>
      <vt:lpstr>ErrorKey</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Gasb535</vt:lpstr>
      <vt:lpstr>hk</vt:lpstr>
      <vt:lpstr>IdxNa</vt:lpstr>
      <vt:lpstr>IdxSheetNum</vt:lpstr>
      <vt:lpstr>IdxTable</vt:lpstr>
      <vt:lpstr>LeaseCol301</vt:lpstr>
      <vt:lpstr>LeaseDat301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'201'!Print_Area</vt:lpstr>
      <vt:lpstr>'202'!Print_Area</vt:lpstr>
      <vt:lpstr>'203'!Print_Area</vt:lpstr>
      <vt:lpstr>'210'!Print_Area</vt:lpstr>
      <vt:lpstr>'215'!Print_Area</vt:lpstr>
      <vt:lpstr>'301'!Print_Area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'501'!Print_Area</vt:lpstr>
      <vt:lpstr>'505'!Print_Area</vt:lpstr>
      <vt:lpstr>'510'!Print_Area</vt:lpstr>
      <vt:lpstr>'515'!Print_Area</vt:lpstr>
      <vt:lpstr>'520'!Print_Area</vt:lpstr>
      <vt:lpstr>'525'!Print_Area</vt:lpstr>
      <vt:lpstr>'530'!Print_Area</vt:lpstr>
      <vt:lpstr>'535'!Print_Area</vt:lpstr>
      <vt:lpstr>'540'!Print_Area</vt:lpstr>
      <vt:lpstr>'545'!Print_Area</vt:lpstr>
      <vt:lpstr>'550'!Print_Area</vt:lpstr>
      <vt:lpstr>'555'!Print_Area</vt:lpstr>
      <vt:lpstr>'560'!Print_Area</vt:lpstr>
      <vt:lpstr>'565'!Print_Area</vt:lpstr>
      <vt:lpstr>'570'!Print_Area</vt:lpstr>
      <vt:lpstr>'602'!Print_Area</vt:lpstr>
      <vt:lpstr>'605'!Print_Area</vt:lpstr>
      <vt:lpstr>'615'!Print_Area</vt:lpstr>
      <vt:lpstr>'616'!Print_Area</vt:lpstr>
      <vt:lpstr>'625'!Print_Area</vt:lpstr>
      <vt:lpstr>'635'!Print_Area</vt:lpstr>
      <vt:lpstr>'705'!Print_Area</vt:lpstr>
      <vt:lpstr>'710'!Print_Area</vt:lpstr>
      <vt:lpstr>'715'!Print_Area</vt:lpstr>
      <vt:lpstr>'720'!Print_Area</vt:lpstr>
      <vt:lpstr>'725'!Print_Area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'910'!Print_Area</vt:lpstr>
      <vt:lpstr>'910Hosp'!Print_Area</vt:lpstr>
      <vt:lpstr>'911-6B'!Print_Area</vt:lpstr>
      <vt:lpstr>'911-6C'!Print_Area</vt:lpstr>
      <vt:lpstr>Dashboard!Print_Area</vt:lpstr>
      <vt:lpstr>'For 905-NCAS Acct Roll-up'!Print_Area</vt:lpstr>
      <vt:lpstr>Index!Print_Area</vt:lpstr>
      <vt:lpstr>'755'!Print_Titles</vt:lpstr>
      <vt:lpstr>'905'!Print_Titles</vt:lpstr>
      <vt:lpstr>'905Hosp'!Print_Titles</vt:lpstr>
      <vt:lpstr>'910'!Print_Titles</vt:lpstr>
      <vt:lpstr>'910Hosp'!Print_Titles</vt:lpstr>
      <vt:lpstr>'All Agencies'!Print_Titles</vt:lpstr>
      <vt:lpstr>'Pkg Updates'!Print_Titles</vt:lpstr>
      <vt:lpstr>PriorYr905!Print_Titles</vt:lpstr>
      <vt:lpstr>PY905Col</vt:lpstr>
      <vt:lpstr>PY905Data</vt:lpstr>
      <vt:lpstr>PY905Row</vt:lpstr>
      <vt:lpstr>'315'!TYPE315</vt:lpstr>
      <vt:lpstr>TYPE320</vt:lpstr>
      <vt:lpstr>ValuationTech</vt:lpstr>
      <vt:lpstr>w220Data</vt:lpstr>
      <vt:lpstr>w301DataA</vt:lpstr>
      <vt:lpstr>w305Data</vt:lpstr>
      <vt:lpstr>w310Data</vt:lpstr>
      <vt:lpstr>w325col</vt:lpstr>
      <vt:lpstr>w325Data</vt:lpstr>
      <vt:lpstr>w325Row</vt:lpstr>
      <vt:lpstr>w325Type</vt:lpstr>
      <vt:lpstr>w501Data</vt:lpstr>
    </vt:vector>
  </TitlesOfParts>
  <Company>North Carolina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State Controller</dc:creator>
  <cp:lastModifiedBy>Saucier, Joan T</cp:lastModifiedBy>
  <cp:lastPrinted>2022-06-17T19:01:50Z</cp:lastPrinted>
  <dcterms:created xsi:type="dcterms:W3CDTF">2000-03-13T18:28:09Z</dcterms:created>
  <dcterms:modified xsi:type="dcterms:W3CDTF">2022-06-17T19:02:08Z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